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850" yWindow="90" windowWidth="13950" windowHeight="13110" tabRatio="899" firstSheet="10"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 name="酒店" sheetId="80"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E34" i="77" l="1"/>
  <c r="D34" i="77"/>
  <c r="D14" i="77" l="1"/>
  <c r="C11" i="39"/>
  <c r="N19" i="1"/>
  <c r="C38" i="39"/>
  <c r="C66" i="9"/>
  <c r="G46" i="39" l="1"/>
  <c r="I46" i="39"/>
  <c r="B4" i="77" l="1"/>
  <c r="E117" i="39" l="1"/>
  <c r="F117" i="39" s="1"/>
  <c r="G117" i="39" s="1"/>
  <c r="H117" i="39" s="1"/>
  <c r="D117" i="39"/>
  <c r="E116" i="39"/>
  <c r="F116" i="39" s="1"/>
  <c r="G116" i="39" s="1"/>
  <c r="H116" i="39" s="1"/>
  <c r="D116" i="39"/>
  <c r="I38" i="39"/>
  <c r="G38" i="39"/>
  <c r="E38" i="39"/>
  <c r="E70" i="39"/>
  <c r="F70" i="39" s="1"/>
  <c r="G70" i="39" s="1"/>
  <c r="H70" i="39" s="1"/>
  <c r="I70" i="39" s="1"/>
  <c r="J70" i="39" s="1"/>
  <c r="K70" i="39" s="1"/>
  <c r="L70" i="39" s="1"/>
  <c r="M70" i="39" s="1"/>
  <c r="D70" i="39"/>
  <c r="I7" i="39"/>
  <c r="G7" i="39"/>
  <c r="E7" i="39"/>
  <c r="I5" i="39"/>
  <c r="G5" i="39"/>
  <c r="E5" i="39"/>
  <c r="C5" i="39"/>
  <c r="Y6" i="1"/>
  <c r="N6" i="1"/>
  <c r="F19" i="6"/>
  <c r="I13" i="3"/>
  <c r="D3" i="4"/>
  <c r="B10" i="78" l="1"/>
  <c r="G15" i="73" l="1"/>
  <c r="F15" i="73"/>
  <c r="E15" i="73"/>
  <c r="G16" i="73" l="1"/>
  <c r="F16" i="73"/>
  <c r="E16" i="73"/>
  <c r="G13" i="73" l="1"/>
  <c r="F13" i="73"/>
  <c r="E13" i="73"/>
  <c r="AH5" i="71" l="1"/>
  <c r="AG5" i="71"/>
  <c r="AE5" i="71"/>
  <c r="AF5" i="71" s="1"/>
  <c r="AD5" i="71"/>
  <c r="Q5" i="71"/>
  <c r="P5" i="71"/>
  <c r="O5" i="71"/>
  <c r="N5"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AB6" i="71" s="1"/>
  <c r="P7" i="71"/>
  <c r="AA6" i="71" s="1"/>
  <c r="O7" i="71"/>
  <c r="Y6" i="71" s="1"/>
  <c r="Z6" i="71" s="1"/>
  <c r="N7" i="71"/>
  <c r="X6" i="71" s="1"/>
  <c r="R5" i="77" l="1"/>
  <c r="V9" i="71"/>
  <c r="U9" i="71"/>
  <c r="T9" i="71"/>
  <c r="S9" i="71"/>
  <c r="U5" i="77" l="1"/>
  <c r="D6" i="77"/>
  <c r="E20" i="43"/>
  <c r="C23" i="77" l="1"/>
  <c r="D15" i="77"/>
  <c r="D18" i="77"/>
  <c r="D17" i="77"/>
  <c r="D16" i="77"/>
  <c r="D10" i="77"/>
  <c r="D9" i="77"/>
  <c r="AH8" i="71"/>
  <c r="AG8" i="71"/>
  <c r="AE8" i="71"/>
  <c r="AF8" i="71" s="1"/>
  <c r="AD8" i="71"/>
  <c r="Q8" i="71"/>
  <c r="AB7" i="71" s="1"/>
  <c r="P8" i="71"/>
  <c r="AA7" i="71" s="1"/>
  <c r="O8" i="71"/>
  <c r="Y7" i="71" s="1"/>
  <c r="Z7" i="71" s="1"/>
  <c r="N8" i="71"/>
  <c r="X7" i="71" s="1"/>
  <c r="D23" i="77" l="1"/>
  <c r="C29" i="77"/>
  <c r="AH9" i="71"/>
  <c r="AG9" i="71"/>
  <c r="AE9" i="71"/>
  <c r="AF9" i="71" s="1"/>
  <c r="AD9" i="71"/>
  <c r="Q9" i="71"/>
  <c r="P9" i="71"/>
  <c r="O9" i="71"/>
  <c r="N9" i="71"/>
  <c r="D29" i="77" l="1"/>
  <c r="E23" i="77"/>
  <c r="E29" i="77" s="1"/>
  <c r="AH10" i="7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G94" i="39" s="1"/>
  <c r="D92" i="39"/>
  <c r="E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H31" i="39"/>
  <c r="AB31" i="39" s="1"/>
  <c r="F31" i="39"/>
  <c r="AA31" i="39" s="1"/>
  <c r="E100" i="39"/>
  <c r="F19" i="39"/>
  <c r="AA19" i="39" s="1"/>
  <c r="H17" i="39"/>
  <c r="AB17" i="39" s="1"/>
  <c r="F17" i="39"/>
  <c r="AA17" i="39" s="1"/>
  <c r="J23" i="40"/>
  <c r="AC23" i="40"/>
  <c r="F21" i="40"/>
  <c r="AA21" i="40"/>
  <c r="J21" i="40"/>
  <c r="W21" i="40"/>
  <c r="H42" i="39"/>
  <c r="AB42" i="39" s="1"/>
  <c r="J34" i="39"/>
  <c r="AC34" i="39" s="1"/>
  <c r="J31" i="39"/>
  <c r="F100" i="39"/>
  <c r="H27" i="39"/>
  <c r="U27" i="39" s="1"/>
  <c r="J17" i="39"/>
  <c r="J27" i="39"/>
  <c r="AC27" i="39" s="1"/>
  <c r="F27" i="39"/>
  <c r="AA27" i="39" s="1"/>
  <c r="F11" i="21"/>
  <c r="S11" i="21"/>
  <c r="S40" i="21"/>
  <c r="U34" i="21"/>
  <c r="S34" i="21"/>
  <c r="C25" i="39"/>
  <c r="C27" i="39"/>
  <c r="C21" i="39"/>
  <c r="H11"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AB34" i="39"/>
  <c r="S42" i="39"/>
  <c r="W9" i="39"/>
  <c r="W8" i="39"/>
  <c r="J19" i="40"/>
  <c r="AC19" i="40"/>
  <c r="J50" i="40"/>
  <c r="H103" i="9"/>
  <c r="D8" i="53" s="1"/>
  <c r="B16" i="53"/>
  <c r="B33" i="72" s="1"/>
  <c r="C7" i="37"/>
  <c r="C7" i="34"/>
  <c r="C7" i="36"/>
  <c r="W35" i="40"/>
  <c r="A118" i="9"/>
  <c r="A4" i="52"/>
  <c r="B41" i="72" s="1"/>
  <c r="J11" i="39"/>
  <c r="W11" i="39" s="1"/>
  <c r="F11" i="39"/>
  <c r="AA11" i="39" s="1"/>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F31"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E12" i="6"/>
  <c r="E15" i="6"/>
  <c r="E60" i="40" s="1"/>
  <c r="K6" i="1"/>
  <c r="E13" i="6"/>
  <c r="E58" i="40" s="1"/>
  <c r="G29" i="6"/>
  <c r="E29" i="6" s="1"/>
  <c r="E30"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24" i="12"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F32" i="39"/>
  <c r="S32" i="39" s="1"/>
  <c r="F106" i="39"/>
  <c r="G106" i="39" s="1"/>
  <c r="H106" i="39" s="1"/>
  <c r="I106" i="39" s="1"/>
  <c r="J106" i="39" s="1"/>
  <c r="K106" i="39" s="1"/>
  <c r="L106" i="39" s="1"/>
  <c r="M106" i="39" s="1"/>
  <c r="U25" i="39"/>
  <c r="U31" i="39"/>
  <c r="J21" i="39"/>
  <c r="W21" i="39" s="1"/>
  <c r="F21" i="39"/>
  <c r="AA21" i="39" s="1"/>
  <c r="H21" i="39"/>
  <c r="AB21" i="39" s="1"/>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G5" i="3" s="1"/>
  <c r="B3" i="3" s="1"/>
  <c r="BA13" i="3"/>
  <c r="E10" i="6"/>
  <c r="E16" i="6" s="1"/>
  <c r="BA5" i="3"/>
  <c r="E27" i="6"/>
  <c r="K20" i="6" s="1"/>
  <c r="E11" i="6"/>
  <c r="E60" i="39"/>
  <c r="BL17" i="3"/>
  <c r="AZ17" i="3"/>
  <c r="BL13" i="3"/>
  <c r="E64" i="39"/>
  <c r="G30" i="6"/>
  <c r="G31" i="6"/>
  <c r="J56" i="9"/>
  <c r="J57" i="9" s="1"/>
  <c r="J59" i="9" s="1"/>
  <c r="J61" i="9" s="1"/>
  <c r="A24" i="51"/>
  <c r="B18" i="72" s="1"/>
  <c r="U29" i="34"/>
  <c r="E14" i="6"/>
  <c r="E63" i="39"/>
  <c r="E5" i="6"/>
  <c r="D9" i="11"/>
  <c r="C9" i="11" s="1"/>
  <c r="E32" i="6"/>
  <c r="L19" i="6"/>
  <c r="G1" i="68"/>
  <c r="K1" i="12"/>
  <c r="F30" i="6"/>
  <c r="E28" i="6"/>
  <c r="E57" i="40"/>
  <c r="E56" i="40"/>
  <c r="AR12" i="1"/>
  <c r="T12"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1" i="39"/>
  <c r="E56" i="39"/>
  <c r="E51" i="40"/>
  <c r="B6" i="1"/>
  <c r="E6" i="1"/>
  <c r="S8" i="1"/>
  <c r="K11" i="1"/>
  <c r="M11" i="1" s="1"/>
  <c r="O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W25" i="39"/>
  <c r="AC25" i="39"/>
  <c r="U13" i="39"/>
  <c r="AB13" i="39"/>
  <c r="AA13" i="39"/>
  <c r="S13" i="39"/>
  <c r="S14" i="39"/>
  <c r="AA14" i="39"/>
  <c r="U43" i="39"/>
  <c r="AB43" i="39"/>
  <c r="AB11" i="39"/>
  <c r="U11" i="39"/>
  <c r="S27" i="39"/>
  <c r="W17" i="39"/>
  <c r="AC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E62" i="39"/>
  <c r="D9" i="69"/>
  <c r="C9" i="69" s="1"/>
  <c r="D19" i="12"/>
  <c r="C19" i="12" s="1"/>
  <c r="AR11" i="1"/>
  <c r="E59" i="40"/>
  <c r="K15" i="1"/>
  <c r="T13" i="1"/>
  <c r="D9" i="68"/>
  <c r="C9" i="68" s="1"/>
  <c r="S7" i="1"/>
  <c r="AR7" i="1" s="1"/>
  <c r="E7" i="70"/>
  <c r="AA39" i="40"/>
  <c r="S39" i="40"/>
  <c r="S12" i="33"/>
  <c r="AA12" i="33"/>
  <c r="J32" i="39"/>
  <c r="W32" i="39" s="1"/>
  <c r="H32" i="39"/>
  <c r="AB32" i="39" s="1"/>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24" i="6"/>
  <c r="M24" i="6" s="1"/>
  <c r="I24" i="6" s="1"/>
  <c r="K14" i="1"/>
  <c r="M14" i="1" s="1"/>
  <c r="O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19" i="6"/>
  <c r="S6" i="1"/>
  <c r="AQ6" i="1"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M20" i="6"/>
  <c r="I20" i="6" s="1"/>
  <c r="AP7" i="1"/>
  <c r="C36" i="69" s="1"/>
  <c r="AB45" i="21"/>
  <c r="AC33" i="21"/>
  <c r="W33" i="21"/>
  <c r="S33" i="21"/>
  <c r="AA33" i="21"/>
  <c r="W32" i="21"/>
  <c r="AC32" i="21"/>
  <c r="AB9" i="21"/>
  <c r="U9" i="21"/>
  <c r="AA32" i="21"/>
  <c r="S32" i="21"/>
  <c r="W9" i="21"/>
  <c r="AC9" i="21"/>
  <c r="AB32" i="21"/>
  <c r="U32" i="21"/>
  <c r="AA10" i="21"/>
  <c r="S10" i="21"/>
  <c r="E6" i="70"/>
  <c r="E2" i="70" s="1"/>
  <c r="D3" i="34"/>
  <c r="D3" i="33"/>
  <c r="U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7" i="4"/>
  <c r="B4" i="52" s="1"/>
  <c r="B43" i="72"/>
  <c r="L18" i="9"/>
  <c r="D3" i="37"/>
  <c r="S20" i="6"/>
  <c r="AC11" i="37"/>
  <c r="W11" i="37"/>
  <c r="W11" i="34"/>
  <c r="AC11" i="34"/>
  <c r="R7" i="1"/>
  <c r="F34" i="11"/>
  <c r="F11" i="12"/>
  <c r="C23" i="12" s="1"/>
  <c r="F34" i="68"/>
  <c r="R8" i="1"/>
  <c r="C34" i="69"/>
  <c r="C35" i="69" s="1"/>
  <c r="AE7" i="1"/>
  <c r="AE8" i="1"/>
  <c r="AG6" i="1"/>
  <c r="H109" i="9"/>
  <c r="H110" i="9"/>
  <c r="D18" i="53" s="1"/>
  <c r="B35" i="72" s="1"/>
  <c r="D124" i="9"/>
  <c r="H14" i="74" s="1"/>
  <c r="B7" i="74" s="1"/>
  <c r="D16" i="53"/>
  <c r="B34" i="72"/>
  <c r="D10" i="52"/>
  <c r="D17" i="53"/>
  <c r="B36" i="72" s="1"/>
  <c r="D125" i="9"/>
  <c r="D11" i="5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B8" i="76"/>
  <c r="L48" i="67"/>
  <c r="E10" i="76"/>
  <c r="F36" i="67"/>
  <c r="D2" i="36"/>
  <c r="F3" i="73"/>
  <c r="F9" i="15"/>
  <c r="D7" i="73"/>
  <c r="F40" i="67"/>
  <c r="F36" i="15"/>
  <c r="M6" i="67"/>
  <c r="F13" i="67"/>
  <c r="M22" i="67"/>
  <c r="F7" i="15"/>
  <c r="M27" i="67"/>
  <c r="AO9" i="1"/>
  <c r="F6" i="15"/>
  <c r="F6" i="67"/>
  <c r="F20" i="31"/>
  <c r="M24" i="15"/>
  <c r="M21" i="67"/>
  <c r="B12" i="76"/>
  <c r="AO13" i="1"/>
  <c r="M9" i="67"/>
  <c r="F41" i="67"/>
  <c r="F7" i="67"/>
  <c r="F4" i="73"/>
  <c r="L48" i="15"/>
  <c r="M9" i="15"/>
  <c r="M8" i="67"/>
  <c r="E9" i="76"/>
  <c r="D2" i="34"/>
  <c r="M23" i="15"/>
  <c r="F16" i="67"/>
  <c r="F37" i="67"/>
  <c r="D2" i="33"/>
  <c r="E12" i="76"/>
  <c r="F37" i="15"/>
  <c r="F7" i="73"/>
  <c r="B7" i="76"/>
  <c r="F26" i="67"/>
  <c r="F40" i="15"/>
  <c r="F16" i="15"/>
  <c r="F13" i="15"/>
  <c r="E11" i="76"/>
  <c r="AO7" i="1"/>
  <c r="M29" i="15"/>
  <c r="E2" i="69"/>
  <c r="B13" i="76"/>
  <c r="M24" i="67"/>
  <c r="J15" i="67"/>
  <c r="D2" i="21"/>
  <c r="AO12" i="1"/>
  <c r="M27" i="15"/>
  <c r="F9" i="67"/>
  <c r="F42" i="67"/>
  <c r="M6" i="15"/>
  <c r="D3" i="73"/>
  <c r="E2" i="68"/>
  <c r="C76" i="67"/>
  <c r="AO11" i="1"/>
  <c r="J15" i="15"/>
  <c r="D2" i="37"/>
  <c r="B11" i="76"/>
  <c r="M28" i="15"/>
  <c r="M26" i="15"/>
  <c r="F43" i="15"/>
  <c r="AO8" i="1"/>
  <c r="F6" i="73"/>
  <c r="F38" i="15"/>
  <c r="AO10" i="1"/>
  <c r="M22" i="15"/>
  <c r="F8" i="67"/>
  <c r="F26" i="15"/>
  <c r="D4" i="73"/>
  <c r="F43" i="67"/>
  <c r="F5" i="73"/>
  <c r="C76" i="15"/>
  <c r="L47" i="15"/>
  <c r="F42" i="15"/>
  <c r="D5" i="73"/>
  <c r="E7" i="76"/>
  <c r="F8" i="15"/>
  <c r="L47" i="67"/>
  <c r="B10" i="76"/>
  <c r="M8" i="15"/>
  <c r="E13" i="76"/>
  <c r="D2" i="35"/>
  <c r="M29" i="67"/>
  <c r="M23" i="67"/>
  <c r="M26" i="67"/>
  <c r="E8" i="76"/>
  <c r="F38" i="67"/>
  <c r="B9" i="76"/>
  <c r="D6" i="73"/>
  <c r="M28" i="67"/>
  <c r="F35" i="67"/>
  <c r="C36" i="11" l="1"/>
  <c r="C36" i="77"/>
  <c r="S40" i="39"/>
  <c r="U41" i="39"/>
  <c r="AC41" i="39"/>
  <c r="AA41" i="39"/>
  <c r="U40" i="39"/>
  <c r="AB35" i="39"/>
  <c r="U35" i="39"/>
  <c r="AC32" i="39"/>
  <c r="AB27" i="39"/>
  <c r="W27" i="39"/>
  <c r="S23" i="39"/>
  <c r="W23" i="39"/>
  <c r="S21" i="39"/>
  <c r="U21" i="39"/>
  <c r="F92" i="39"/>
  <c r="G92" i="39" s="1"/>
  <c r="H19" i="39"/>
  <c r="J19" i="39"/>
  <c r="AC19" i="39" s="1"/>
  <c r="S15" i="39"/>
  <c r="S19" i="39"/>
  <c r="AB8" i="39"/>
  <c r="U9" i="39"/>
  <c r="S11" i="39"/>
  <c r="P61" i="15"/>
  <c r="C92" i="9"/>
  <c r="C94" i="9"/>
  <c r="D68" i="9"/>
  <c r="F28" i="15"/>
  <c r="C28" i="15" s="1"/>
  <c r="F31" i="12"/>
  <c r="C31" i="12" s="1"/>
  <c r="M18" i="67"/>
  <c r="F30" i="68"/>
  <c r="F48" i="68" s="1"/>
  <c r="F48" i="9"/>
  <c r="O52" i="9" s="1"/>
  <c r="C30" i="68"/>
  <c r="C77" i="9"/>
  <c r="C74" i="9" s="1"/>
  <c r="C13" i="12"/>
  <c r="F54" i="9"/>
  <c r="M18" i="15"/>
  <c r="F32" i="15"/>
  <c r="F60" i="15" s="1"/>
  <c r="F30" i="69"/>
  <c r="F32" i="67"/>
  <c r="F60" i="67" s="1"/>
  <c r="F52" i="9"/>
  <c r="F28" i="67"/>
  <c r="C28" i="67" s="1"/>
  <c r="F30" i="11"/>
  <c r="C21" i="69"/>
  <c r="C19" i="11"/>
  <c r="C20" i="11" s="1"/>
  <c r="D22" i="67"/>
  <c r="K16" i="1"/>
  <c r="T11" i="1"/>
  <c r="AR10" i="1"/>
  <c r="L27" i="6"/>
  <c r="S16" i="1"/>
  <c r="M16" i="1"/>
  <c r="C34" i="11" s="1"/>
  <c r="P7" i="1"/>
  <c r="T6" i="1"/>
  <c r="AR6" i="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53" i="3"/>
  <c r="E125" i="3"/>
  <c r="E175" i="3"/>
  <c r="E217" i="3"/>
  <c r="E319" i="3"/>
  <c r="E366" i="3"/>
  <c r="E530" i="3"/>
  <c r="E526" i="3"/>
  <c r="E501" i="3"/>
  <c r="E553" i="3"/>
  <c r="E343" i="3"/>
  <c r="E268" i="3"/>
  <c r="E153" i="3"/>
  <c r="E282" i="3"/>
  <c r="E305" i="3"/>
  <c r="E322" i="3"/>
  <c r="E426" i="3"/>
  <c r="N6" i="3"/>
  <c r="E508" i="3"/>
  <c r="AJ6" i="3"/>
  <c r="AC6" i="3" s="1"/>
  <c r="E328" i="3"/>
  <c r="AY6" i="3"/>
  <c r="AY87" i="3" s="1"/>
  <c r="E329" i="3"/>
  <c r="E347" i="3"/>
  <c r="E539" i="3"/>
  <c r="E583" i="3"/>
  <c r="E545" i="3"/>
  <c r="AA6" i="3"/>
  <c r="E567" i="3"/>
  <c r="X6" i="3"/>
  <c r="E510" i="3"/>
  <c r="E399" i="3"/>
  <c r="E461" i="3"/>
  <c r="E336" i="3"/>
  <c r="E352" i="3"/>
  <c r="E280" i="3"/>
  <c r="E227" i="3"/>
  <c r="E246" i="3"/>
  <c r="E205" i="3"/>
  <c r="E124" i="3"/>
  <c r="E165" i="3"/>
  <c r="E293" i="3"/>
  <c r="E128" i="3"/>
  <c r="E65" i="39"/>
  <c r="S26" i="6"/>
  <c r="S24" i="6"/>
  <c r="D3" i="21"/>
  <c r="E6" i="6"/>
  <c r="D37" i="11"/>
  <c r="C37" i="11" s="1"/>
  <c r="D14" i="12"/>
  <c r="D17" i="12" s="1"/>
  <c r="C17" i="12" s="1"/>
  <c r="M18" i="9"/>
  <c r="B118" i="9" s="1"/>
  <c r="B14" i="74" s="1"/>
  <c r="B1" i="74" s="1"/>
  <c r="M19" i="6"/>
  <c r="AY83" i="3"/>
  <c r="AY66" i="3"/>
  <c r="AY23" i="3"/>
  <c r="AY176" i="3"/>
  <c r="AY155" i="3"/>
  <c r="AY115" i="3"/>
  <c r="AY59" i="3"/>
  <c r="AY188" i="3"/>
  <c r="AY131" i="3"/>
  <c r="AY276" i="3"/>
  <c r="AY58" i="3"/>
  <c r="AY297" i="3"/>
  <c r="AY253" i="3"/>
  <c r="AY268" i="3"/>
  <c r="AY236" i="3"/>
  <c r="AY225" i="3"/>
  <c r="AY382" i="3"/>
  <c r="AY371" i="3"/>
  <c r="AY366" i="3"/>
  <c r="AY335" i="3"/>
  <c r="AY303" i="3"/>
  <c r="AY318" i="3"/>
  <c r="AY473" i="3"/>
  <c r="P11" i="1"/>
  <c r="O9" i="1"/>
  <c r="P9" i="1" s="1"/>
  <c r="P14" i="1"/>
  <c r="AQ7" i="1"/>
  <c r="T7" i="1"/>
  <c r="O12" i="1"/>
  <c r="P12" i="1" s="1"/>
  <c r="O8" i="1"/>
  <c r="H16" i="1"/>
  <c r="Q16" i="1"/>
  <c r="K23" i="6"/>
  <c r="M23" i="6" s="1"/>
  <c r="I23" i="6" s="1"/>
  <c r="K25" i="6"/>
  <c r="M25" i="6" s="1"/>
  <c r="I25" i="6" s="1"/>
  <c r="K22" i="6"/>
  <c r="M22" i="6" s="1"/>
  <c r="I22" i="6" s="1"/>
  <c r="K21" i="6"/>
  <c r="M21" i="6" s="1"/>
  <c r="I21" i="6" s="1"/>
  <c r="E31" i="6"/>
  <c r="T9" i="1"/>
  <c r="AQ9"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C7" i="74"/>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G1" i="73"/>
  <c r="C14" i="15"/>
  <c r="C16" i="67"/>
  <c r="C16" i="15"/>
  <c r="C17" i="15"/>
  <c r="C14" i="67"/>
  <c r="H7" i="34" l="1"/>
  <c r="J7" i="34"/>
  <c r="F36" i="77"/>
  <c r="W19" i="39"/>
  <c r="AB19" i="39"/>
  <c r="U19" i="39"/>
  <c r="AY168" i="3"/>
  <c r="AY111" i="3"/>
  <c r="AY281" i="3"/>
  <c r="AY152" i="3"/>
  <c r="AY42" i="3"/>
  <c r="AY95" i="3"/>
  <c r="AY124" i="3"/>
  <c r="AY144" i="3"/>
  <c r="AY207" i="3"/>
  <c r="AY34" i="3"/>
  <c r="AY51" i="3"/>
  <c r="H6" i="3"/>
  <c r="E6" i="3" s="1"/>
  <c r="C48" i="68"/>
  <c r="C48" i="11"/>
  <c r="C30" i="11"/>
  <c r="F48" i="69"/>
  <c r="C48" i="69"/>
  <c r="C30" i="69"/>
  <c r="C38" i="11"/>
  <c r="C35" i="11"/>
  <c r="K27" i="6"/>
  <c r="C14" i="12"/>
  <c r="C18" i="15"/>
  <c r="C15" i="15"/>
  <c r="N16" i="1"/>
  <c r="L16" i="1"/>
  <c r="C34" i="68"/>
  <c r="O16" i="1"/>
  <c r="AY103" i="3"/>
  <c r="AY67" i="3"/>
  <c r="AY50" i="3"/>
  <c r="AY196" i="3"/>
  <c r="AY160" i="3"/>
  <c r="AY139" i="3"/>
  <c r="AY289" i="3"/>
  <c r="AY74" i="3"/>
  <c r="AY183" i="3"/>
  <c r="AY123" i="3"/>
  <c r="AY261" i="3"/>
  <c r="AY204" i="3"/>
  <c r="AY284" i="3"/>
  <c r="AY252" i="3"/>
  <c r="AY209" i="3"/>
  <c r="AY363" i="3"/>
  <c r="AY319" i="3"/>
  <c r="AY489"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82" i="3"/>
  <c r="AY191" i="3"/>
  <c r="AY132" i="3"/>
  <c r="AY31" i="3"/>
  <c r="AY292" i="3"/>
  <c r="AY147" i="3"/>
  <c r="AY220" i="3"/>
  <c r="AY350"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18" i="3"/>
  <c r="AY90" i="3"/>
  <c r="AY75" i="3"/>
  <c r="AY387" i="3"/>
  <c r="AY455" i="3"/>
  <c r="AY497" i="3"/>
  <c r="AY116" i="3"/>
  <c r="AY212" i="3"/>
  <c r="AY343" i="3"/>
  <c r="AY478" i="3"/>
  <c r="AY417" i="3"/>
  <c r="AY573" i="3"/>
  <c r="AY539" i="3"/>
  <c r="AY100" i="3"/>
  <c r="AY84" i="3"/>
  <c r="AY20" i="3"/>
  <c r="AY193" i="3"/>
  <c r="AY173" i="3"/>
  <c r="AY134" i="3"/>
  <c r="AY286"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171" i="3"/>
  <c r="AY163" i="3"/>
  <c r="AY237" i="3"/>
  <c r="AY334" i="3"/>
  <c r="AY412" i="3"/>
  <c r="AY43" i="3"/>
  <c r="AY229" i="3"/>
  <c r="AY379" i="3"/>
  <c r="AY326" i="3"/>
  <c r="AY436" i="3"/>
  <c r="AY557" i="3"/>
  <c r="AY540" i="3"/>
  <c r="AY105" i="3"/>
  <c r="AY69" i="3"/>
  <c r="AY52" i="3"/>
  <c r="AY198" i="3"/>
  <c r="AY162" i="3"/>
  <c r="AY141" i="3"/>
  <c r="AY291" i="3"/>
  <c r="AY255"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21" i="6"/>
  <c r="H21" i="6"/>
  <c r="H25" i="6"/>
  <c r="S25" i="6"/>
  <c r="F27" i="68"/>
  <c r="F27" i="69"/>
  <c r="F28" i="12"/>
  <c r="C29" i="12" s="1"/>
  <c r="D28" i="12" s="1"/>
  <c r="F27" i="11"/>
  <c r="P8" i="1"/>
  <c r="P16" i="1" s="1"/>
  <c r="C11" i="12" s="1"/>
  <c r="T16" i="1"/>
  <c r="M27" i="6"/>
  <c r="I19" i="6"/>
  <c r="D10" i="68"/>
  <c r="D6" i="6"/>
  <c r="D10" i="11"/>
  <c r="C10" i="11" s="1"/>
  <c r="D20" i="12"/>
  <c r="C20" i="12" s="1"/>
  <c r="D10" i="69"/>
  <c r="S22" i="6"/>
  <c r="H22" i="6"/>
  <c r="H23" i="6"/>
  <c r="S23" i="6"/>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D22" i="43"/>
  <c r="F107" i="43"/>
  <c r="F106" i="43"/>
  <c r="F103" i="43"/>
  <c r="F104" i="43"/>
  <c r="F102" i="43"/>
  <c r="F105" i="43"/>
  <c r="F109" i="43"/>
  <c r="F7" i="34"/>
  <c r="AA7" i="34" s="1"/>
  <c r="R49" i="34" s="1"/>
  <c r="J10" i="40"/>
  <c r="W10" i="40" s="1"/>
  <c r="H10" i="39"/>
  <c r="U10" i="39" s="1"/>
  <c r="F10" i="40"/>
  <c r="AA10" i="40" s="1"/>
  <c r="J10" i="39"/>
  <c r="W10" i="39" s="1"/>
  <c r="H10" i="40"/>
  <c r="U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S7" i="34"/>
  <c r="AC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0" i="15" s="1"/>
  <c r="C26" i="15" s="1"/>
  <c r="C33" i="11"/>
  <c r="C39" i="11" s="1"/>
  <c r="AB10" i="39"/>
  <c r="C35" i="68"/>
  <c r="C38" i="68"/>
  <c r="F50" i="68"/>
  <c r="F50" i="69"/>
  <c r="F50" i="11"/>
  <c r="H20" i="6"/>
  <c r="M19" i="9"/>
  <c r="C118" i="9" s="1"/>
  <c r="C14" i="74" s="1"/>
  <c r="B2" i="74" s="1"/>
  <c r="D25" i="6"/>
  <c r="R25" i="6" s="1"/>
  <c r="D15" i="6"/>
  <c r="D22" i="6"/>
  <c r="R22" i="6" s="1"/>
  <c r="D21" i="6"/>
  <c r="R21" i="6" s="1"/>
  <c r="D24" i="6"/>
  <c r="D20" i="6"/>
  <c r="D5" i="6"/>
  <c r="D9" i="6"/>
  <c r="D10" i="6"/>
  <c r="L19" i="9"/>
  <c r="D29" i="6"/>
  <c r="D19" i="6"/>
  <c r="D26" i="6"/>
  <c r="C18" i="4"/>
  <c r="D8" i="6"/>
  <c r="D23" i="6"/>
  <c r="R23" i="6" s="1"/>
  <c r="D14" i="6"/>
  <c r="D12" i="6"/>
  <c r="D11" i="6"/>
  <c r="D13" i="6"/>
  <c r="D28" i="6"/>
  <c r="D30" i="6" s="1"/>
  <c r="E61" i="40"/>
  <c r="H26" i="6"/>
  <c r="R26" i="6" s="1"/>
  <c r="H24" i="6"/>
  <c r="S10" i="40"/>
  <c r="AB10" i="40"/>
  <c r="H19" i="6"/>
  <c r="S19" i="6"/>
  <c r="S27" i="6" s="1"/>
  <c r="I27" i="6"/>
  <c r="C47" i="11"/>
  <c r="D45" i="11" s="1"/>
  <c r="C29" i="11"/>
  <c r="D27" i="11" s="1"/>
  <c r="C28" i="11"/>
  <c r="C27" i="11" s="1"/>
  <c r="F45" i="69"/>
  <c r="C29" i="69"/>
  <c r="D27" i="69" s="1"/>
  <c r="C47" i="69"/>
  <c r="D45" i="69" s="1"/>
  <c r="C10" i="69"/>
  <c r="C8" i="69" s="1"/>
  <c r="C5" i="69" s="1"/>
  <c r="D19" i="69"/>
  <c r="C10" i="68"/>
  <c r="B29" i="1" s="1"/>
  <c r="C8" i="68" s="1"/>
  <c r="D19" i="68"/>
  <c r="C15" i="12"/>
  <c r="C12" i="12"/>
  <c r="F45" i="68"/>
  <c r="C47" i="68"/>
  <c r="D45" i="68" s="1"/>
  <c r="C29" i="68"/>
  <c r="D27" i="68" s="1"/>
  <c r="C115" i="43"/>
  <c r="D113" i="43" s="1"/>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AC10" i="39"/>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C46" i="11"/>
  <c r="C45" i="11" s="1"/>
  <c r="C18" i="12"/>
  <c r="E29" i="43"/>
  <c r="C16" i="12"/>
  <c r="R24" i="6"/>
  <c r="A7" i="51"/>
  <c r="B7" i="72" s="1"/>
  <c r="A10" i="51"/>
  <c r="B9" i="72" s="1"/>
  <c r="C4" i="52"/>
  <c r="B45" i="72" s="1"/>
  <c r="D27" i="6"/>
  <c r="D31" i="6" s="1"/>
  <c r="R20" i="6"/>
  <c r="D7" i="74"/>
  <c r="D16" i="6"/>
  <c r="C19" i="68"/>
  <c r="C24" i="68" s="1"/>
  <c r="D37" i="68"/>
  <c r="C37" i="68" s="1"/>
  <c r="C33" i="68" s="1"/>
  <c r="C39" i="68" s="1"/>
  <c r="C46" i="68" s="1"/>
  <c r="C45" i="68" s="1"/>
  <c r="C19" i="69"/>
  <c r="C20" i="69" s="1"/>
  <c r="D37" i="69"/>
  <c r="C37" i="69" s="1"/>
  <c r="C33" i="69" s="1"/>
  <c r="H27" i="6"/>
  <c r="R19"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23" i="69"/>
  <c r="C44" i="68"/>
  <c r="D41" i="68" s="1"/>
  <c r="C26" i="68"/>
  <c r="D22" i="68" s="1"/>
  <c r="C26" i="12"/>
  <c r="D25" i="12" s="1"/>
  <c r="C44" i="11"/>
  <c r="D41" i="11" s="1"/>
  <c r="C23" i="11"/>
  <c r="C24" i="11"/>
  <c r="C43" i="11"/>
  <c r="C25" i="11"/>
  <c r="C26" i="11"/>
  <c r="D22" i="11" s="1"/>
  <c r="C42" i="11"/>
  <c r="C38" i="67"/>
  <c r="C38" i="15"/>
  <c r="C66" i="67"/>
  <c r="C60" i="67"/>
  <c r="C23" i="67"/>
  <c r="C29" i="67" s="1"/>
  <c r="B6" i="76"/>
  <c r="E6" i="76"/>
  <c r="C21" i="12" l="1"/>
  <c r="C22" i="12" s="1"/>
  <c r="C27" i="12" s="1"/>
  <c r="C25" i="12" s="1"/>
  <c r="R27" i="6"/>
  <c r="R6" i="1"/>
  <c r="C43" i="68"/>
  <c r="C28" i="69"/>
  <c r="C27" i="69" s="1"/>
  <c r="C25" i="69"/>
  <c r="C24" i="69"/>
  <c r="I6" i="6"/>
  <c r="I5" i="6"/>
  <c r="C39" i="69"/>
  <c r="C43" i="69" s="1"/>
  <c r="C42" i="68"/>
  <c r="C42" i="69"/>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41" i="11"/>
  <c r="C49" i="11" s="1"/>
  <c r="C51" i="11" s="1"/>
  <c r="C22" i="11"/>
  <c r="C31" i="11" s="1"/>
  <c r="C36" i="67"/>
  <c r="C33" i="67"/>
  <c r="C31" i="67" s="1"/>
  <c r="J14" i="67"/>
  <c r="C13" i="67"/>
  <c r="J19" i="67"/>
  <c r="J17" i="67" s="1"/>
  <c r="C57" i="67"/>
  <c r="C61" i="67" s="1"/>
  <c r="Q49" i="67"/>
  <c r="J59" i="67"/>
  <c r="J60" i="67" s="1"/>
  <c r="F35" i="15"/>
  <c r="M21" i="15"/>
  <c r="C41" i="68" l="1"/>
  <c r="C49" i="68" s="1"/>
  <c r="J20" i="15"/>
  <c r="J17" i="15" s="1"/>
  <c r="F63" i="15"/>
  <c r="C62" i="15" s="1"/>
  <c r="C59" i="15" s="1"/>
  <c r="C34" i="15"/>
  <c r="C31" i="15" s="1"/>
  <c r="R16" i="1"/>
  <c r="C41" i="69"/>
  <c r="C22" i="69"/>
  <c r="C31" i="69" s="1"/>
  <c r="C30" i="12"/>
  <c r="C28" i="12" s="1"/>
  <c r="C32" i="12" s="1"/>
  <c r="B2" i="12" s="1"/>
  <c r="B3" i="12" s="1"/>
  <c r="C46" i="69"/>
  <c r="C45" i="69" s="1"/>
  <c r="I69" i="39"/>
  <c r="J67" i="39"/>
  <c r="B3" i="76"/>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51" i="68" l="1"/>
  <c r="D13" i="77"/>
  <c r="D12" i="77" s="1"/>
  <c r="D11" i="77" s="1"/>
  <c r="C49" i="69"/>
  <c r="C51" i="69" s="1"/>
  <c r="C52" i="69" s="1"/>
  <c r="B2" i="69" s="1"/>
  <c r="B3" i="69" s="1"/>
  <c r="C30" i="15"/>
  <c r="C39" i="15" s="1"/>
  <c r="C40" i="15" s="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8" i="15"/>
  <c r="C67" i="15" s="1"/>
  <c r="C68" i="15" s="1"/>
  <c r="C71" i="15" s="1"/>
  <c r="J16" i="15"/>
  <c r="J25" i="15" s="1"/>
  <c r="J16" i="67"/>
  <c r="J25" i="67" s="1"/>
  <c r="C80" i="67"/>
  <c r="C79" i="67" s="1"/>
  <c r="C58" i="67"/>
  <c r="C67" i="67" s="1"/>
  <c r="C68" i="67" s="1"/>
  <c r="Q69" i="67"/>
  <c r="Q68" i="67" s="1"/>
  <c r="C40" i="67"/>
  <c r="E11" i="77" l="1"/>
  <c r="E7" i="77" s="1"/>
  <c r="C27" i="77" s="1"/>
  <c r="D27" i="77" s="1"/>
  <c r="D7" i="77"/>
  <c r="C26" i="77" s="1"/>
  <c r="C32" i="77" s="1"/>
  <c r="C38" i="77" s="1"/>
  <c r="C39" i="77" s="1"/>
  <c r="Q69" i="15"/>
  <c r="Q68" i="15" s="1"/>
  <c r="C80" i="15"/>
  <c r="C79" i="15" s="1"/>
  <c r="C57" i="69"/>
  <c r="C56" i="69" s="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Q56" i="15"/>
  <c r="Q65" i="15"/>
  <c r="C43" i="15"/>
  <c r="Q47" i="15"/>
  <c r="Q53" i="15" s="1"/>
  <c r="C83" i="15"/>
  <c r="C82" i="15" s="1"/>
  <c r="C43" i="67"/>
  <c r="D2" i="67"/>
  <c r="Q47" i="67"/>
  <c r="Q53" i="67" s="1"/>
  <c r="Q56" i="67"/>
  <c r="Q65" i="67"/>
  <c r="C83" i="67"/>
  <c r="C82" i="67" s="1"/>
  <c r="C46" i="15"/>
  <c r="L51" i="15"/>
  <c r="D26" i="77" l="1"/>
  <c r="D32" i="77" s="1"/>
  <c r="D38" i="77" s="1"/>
  <c r="D39" i="77" s="1"/>
  <c r="C40" i="77" s="1"/>
  <c r="E27" i="77"/>
  <c r="E26" i="77" s="1"/>
  <c r="E32" i="77" s="1"/>
  <c r="E39" i="77" s="1"/>
  <c r="Q67" i="15"/>
  <c r="L57" i="15"/>
  <c r="L60" i="15" s="1"/>
  <c r="L46" i="15" s="1"/>
  <c r="B2" i="15" s="1"/>
  <c r="B3" i="1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AO6" i="1"/>
  <c r="C41" i="77" l="1"/>
  <c r="B2" i="77"/>
  <c r="Q57" i="15"/>
  <c r="Q62" i="15" s="1"/>
  <c r="Q66" i="15"/>
  <c r="Q75" i="15" s="1"/>
  <c r="B6" i="70"/>
  <c r="B2" i="70" s="1"/>
  <c r="B3" i="70" s="1"/>
  <c r="M69" i="39"/>
  <c r="N67" i="39"/>
  <c r="R39" i="35"/>
  <c r="E38" i="35"/>
  <c r="M63" i="40"/>
  <c r="L65" i="40"/>
  <c r="D19" i="9"/>
  <c r="D21" i="9" l="1"/>
  <c r="D102" i="9"/>
  <c r="B3" i="77"/>
  <c r="O67" i="39"/>
  <c r="O69" i="39" s="1"/>
  <c r="N69" i="39"/>
  <c r="F7" i="39"/>
  <c r="C39" i="35"/>
  <c r="B2" i="35" s="1"/>
  <c r="B3" i="35" s="1"/>
  <c r="C38" i="35"/>
  <c r="N63" i="40"/>
  <c r="M65" i="40"/>
  <c r="E43" i="35"/>
  <c r="F43" i="35" s="1"/>
  <c r="E42" i="35"/>
  <c r="F42" i="35" s="1"/>
  <c r="I43" i="35"/>
  <c r="J43" i="35" s="1"/>
  <c r="D20" i="9"/>
  <c r="D103" i="9" l="1"/>
  <c r="H7" i="39"/>
  <c r="J7" i="39"/>
  <c r="S7" i="39"/>
  <c r="AA7" i="39"/>
  <c r="R47" i="39" s="1"/>
  <c r="O63" i="40"/>
  <c r="O65" i="40" s="1"/>
  <c r="N65" i="40"/>
  <c r="W7" i="39" l="1"/>
  <c r="AC7" i="39"/>
  <c r="V47" i="39" s="1"/>
  <c r="I47" i="39" s="1"/>
  <c r="E47" i="39"/>
  <c r="U7" i="39"/>
  <c r="AB7" i="39"/>
  <c r="T47" i="39" s="1"/>
  <c r="G47" i="39" s="1"/>
  <c r="J7" i="40"/>
  <c r="F7" i="40"/>
  <c r="H7" i="40"/>
  <c r="R48" i="39" l="1"/>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3" i="39" s="1"/>
  <c r="C7" i="68" s="1"/>
  <c r="C5" i="68" s="1"/>
  <c r="C42" i="40"/>
  <c r="C43" i="40"/>
  <c r="E47" i="40"/>
  <c r="F47" i="40" s="1"/>
  <c r="E46" i="40"/>
  <c r="F46" i="40" s="1"/>
  <c r="I47" i="40"/>
  <c r="J47" i="40" s="1"/>
  <c r="C23" i="68" l="1"/>
  <c r="C20" i="68"/>
  <c r="C25" i="68" s="1"/>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2" i="68"/>
  <c r="C31" i="68" l="1"/>
  <c r="C52" i="68" s="1"/>
  <c r="B2" i="68" s="1"/>
  <c r="C19" i="9"/>
  <c r="D22" i="9" l="1"/>
  <c r="C102" i="9"/>
  <c r="G19" i="9"/>
  <c r="G21" i="9" s="1"/>
  <c r="C21" i="9"/>
  <c r="B3" i="68"/>
  <c r="C57" i="68"/>
  <c r="C56" i="68" s="1"/>
  <c r="D34" i="9"/>
  <c r="C20" i="9"/>
  <c r="D35" i="9"/>
  <c r="C103" i="9" l="1"/>
  <c r="G20" i="9"/>
  <c r="C32" i="9" s="1"/>
  <c r="C35" i="9" l="1"/>
  <c r="C34" i="9" s="1"/>
  <c r="D118" i="9" s="1"/>
  <c r="D4" i="52" s="1"/>
  <c r="B47" i="72" s="1"/>
  <c r="H118" i="9"/>
  <c r="C104" i="9" s="1"/>
  <c r="D119" i="9" l="1"/>
  <c r="D5" i="52" s="1"/>
  <c r="B49" i="72" s="1"/>
  <c r="F118" i="9"/>
  <c r="F119" i="9" s="1"/>
  <c r="F5" i="52" s="1"/>
  <c r="B53" i="72" s="1"/>
  <c r="H101" i="9"/>
  <c r="M48" i="9" s="1"/>
  <c r="I118" i="9"/>
  <c r="I4" i="52" s="1"/>
  <c r="D45" i="9"/>
  <c r="F4" i="52"/>
  <c r="B51" i="72" s="1"/>
  <c r="D5" i="53"/>
  <c r="D14" i="74"/>
  <c r="H4" i="52"/>
  <c r="H119" i="9"/>
  <c r="H5" i="52" s="1"/>
  <c r="G118" i="9" l="1"/>
  <c r="G4" i="52" s="1"/>
  <c r="B52" i="72" s="1"/>
  <c r="C105" i="9"/>
  <c r="H102" i="9"/>
  <c r="D7" i="53" s="1"/>
  <c r="B21" i="72" s="1"/>
  <c r="H107" i="9"/>
  <c r="D13" i="53" s="1"/>
  <c r="B5" i="74"/>
  <c r="F14" i="74"/>
  <c r="E14" i="74"/>
  <c r="B20" i="72"/>
  <c r="D6" i="53"/>
  <c r="B22" i="72" s="1"/>
  <c r="D53" i="9"/>
  <c r="D55" i="9"/>
  <c r="M53" i="9" s="1"/>
  <c r="D52" i="9"/>
  <c r="C93" i="9"/>
  <c r="C86" i="9" s="1"/>
  <c r="C78" i="9"/>
  <c r="C73" i="9" s="1"/>
  <c r="C64" i="9"/>
  <c r="C63" i="9" s="1"/>
  <c r="C67" i="9" s="1"/>
  <c r="C85" i="9"/>
  <c r="C72" i="9"/>
  <c r="C79" i="9" l="1"/>
  <c r="C80" i="9" s="1"/>
  <c r="E80" i="9" s="1"/>
  <c r="E81" i="9" s="1"/>
  <c r="E118" i="9"/>
  <c r="E4" i="52" s="1"/>
  <c r="B48" i="72" s="1"/>
  <c r="D122" i="9"/>
  <c r="G14" i="74" s="1"/>
  <c r="B6" i="74" s="1"/>
  <c r="H108" i="9"/>
  <c r="D15" i="53" s="1"/>
  <c r="B31" i="72" s="1"/>
  <c r="M49" i="9"/>
  <c r="L65" i="9" s="1"/>
  <c r="M65" i="9" s="1"/>
  <c r="C95" i="9"/>
  <c r="C68" i="9"/>
  <c r="D54" i="9" s="1"/>
  <c r="D48" i="9" s="1"/>
  <c r="M52" i="9" s="1"/>
  <c r="D59" i="9"/>
  <c r="M55" i="9" s="1"/>
  <c r="D5" i="74"/>
  <c r="C5" i="74"/>
  <c r="D8" i="52"/>
  <c r="B30" i="72"/>
  <c r="D14" i="53"/>
  <c r="B32" i="72" s="1"/>
  <c r="L64" i="9" l="1"/>
  <c r="M64" i="9" s="1"/>
  <c r="L63" i="9"/>
  <c r="M63" i="9" s="1"/>
  <c r="L67" i="9"/>
  <c r="M67" i="9" s="1"/>
  <c r="D123" i="9"/>
  <c r="D9" i="52" s="1"/>
  <c r="L66" i="9"/>
  <c r="M66" i="9" s="1"/>
  <c r="L68" i="9"/>
  <c r="M68" i="9" s="1"/>
  <c r="D6" i="74"/>
  <c r="C6" i="74"/>
  <c r="C81" i="9"/>
  <c r="C96" i="9"/>
  <c r="E96" i="9" s="1"/>
  <c r="E97" i="9" s="1"/>
  <c r="M69" i="9" l="1"/>
  <c r="N69" i="9" s="1"/>
  <c r="C97" i="9"/>
  <c r="D58" i="9" s="1"/>
  <c r="D56" i="9" s="1"/>
  <c r="M54" i="9" s="1"/>
  <c r="N57" i="9" s="1"/>
  <c r="N58" i="9" s="1"/>
  <c r="P57" i="9" l="1"/>
  <c r="N59" i="9"/>
  <c r="N61" i="9" l="1"/>
  <c r="H112" i="9" s="1"/>
  <c r="D21" i="53" s="1"/>
  <c r="B39" i="72" s="1"/>
  <c r="H111" i="9"/>
  <c r="N60" i="9"/>
  <c r="D126" i="9" l="1"/>
  <c r="D19" i="53"/>
  <c r="I14" i="74" l="1"/>
  <c r="B8" i="74" s="1"/>
  <c r="D12" i="52"/>
  <c r="D127" i="9"/>
  <c r="D13" i="52"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<sst xmlns="http://schemas.openxmlformats.org/spreadsheetml/2006/main" count="8883" uniqueCount="3560">
  <si>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</si>
  <si>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</si>
  <si>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</si>
  <si>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</si>
  <si>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</si>
  <si>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</si>
  <si>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</si>
  <si>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</si>
  <si>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</si>
  <si>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</si>
  <si>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</si>
  <si>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</si>
  <si>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</si>
  <si>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</si>
  <si>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</si>
  <si>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</si>
  <si>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</si>
  <si>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</si>
  <si>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</si>
  <si>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</si>
  <si>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</si>
  <si>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</si>
  <si>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</si>
  <si>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</si>
  <si>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</si>
  <si>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</si>
  <si>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</si>
  <si>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</si>
  <si>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</si>
  <si>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</si>
  <si>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</si>
  <si>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</si>
  <si>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</si>
  <si>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</si>
  <si>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</si>
  <si>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</si>
  <si>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</si>
  <si>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</si>
  <si>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</si>
  <si>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</si>
  <si>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</si>
  <si>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</si>
  <si>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</si>
  <si>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</si>
  <si>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</si>
  <si>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</si>
  <si>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</si>
  <si>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</si>
  <si>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</si>
  <si>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</si>
  <si>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</si>
  <si>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</si>
  <si>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</si>
  <si>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</si>
  <si>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</si>
  <si>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</si>
  <si>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</si>
  <si>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</si>
  <si>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</si>
  <si>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</si>
  <si>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</si>
  <si>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</si>
  <si>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</si>
  <si>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</si>
  <si>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</si>
  <si>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</si>
  <si>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</si>
  <si>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</si>
  <si>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</si>
  <si>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</si>
  <si>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</si>
  <si>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</si>
  <si>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</si>
  <si>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</si>
  <si>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</si>
  <si>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</si>
  <si>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</si>
  <si>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</si>
  <si>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</si>
  <si>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</si>
  <si>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</si>
  <si>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</si>
  <si>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</si>
  <si>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</si>
  <si>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</si>
  <si>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</si>
  <si>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</si>
  <si>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</si>
  <si>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</si>
  <si>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</si>
  <si>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</si>
  <si>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</si>
  <si>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</si>
  <si>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</si>
  <si>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</si>
  <si>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</si>
  <si>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</si>
  <si>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</si>
  <si>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</si>
  <si>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</si>
  <si>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</si>
  <si>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</si>
  <si>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</si>
  <si>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</si>
  <si>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</si>
  <si>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</si>
  <si>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</si>
  <si>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</si>
  <si>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</si>
  <si>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</si>
  <si>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</si>
  <si>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</si>
  <si>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</si>
  <si>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</si>
  <si>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</si>
  <si>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</si>
  <si>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</si>
  <si>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</si>
  <si>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</si>
  <si>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</si>
  <si>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</si>
  <si>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</si>
  <si>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</si>
  <si>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</si>
  <si>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</si>
  <si>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</si>
  <si>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</si>
  <si>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</si>
  <si>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</si>
  <si>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</si>
  <si>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</si>
  <si>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</si>
  <si>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</si>
  <si>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</si>
  <si>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</si>
  <si>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</si>
  <si>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</si>
  <si>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</si>
  <si>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</si>
  <si>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</si>
  <si>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</si>
  <si>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</si>
  <si>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</si>
  <si>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</si>
  <si>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</si>
  <si>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</si>
  <si>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</si>
  <si>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</si>
  <si>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</si>
  <si>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</si>
  <si>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</si>
  <si>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</si>
  <si>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</si>
  <si>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</si>
  <si>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</si>
  <si>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</si>
  <si>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</si>
  <si>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</si>
  <si>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</si>
  <si>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</si>
  <si>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</si>
  <si>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</si>
  <si>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</si>
  <si>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</si>
  <si>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</si>
  <si>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</si>
  <si>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</si>
  <si>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</si>
  <si>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</si>
  <si>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</si>
  <si>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</si>
  <si>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</si>
  <si>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</si>
  <si>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</si>
  <si>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</si>
  <si>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</si>
  <si>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</si>
  <si>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</si>
  <si>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</si>
  <si>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</si>
  <si>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</si>
  <si>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</si>
  <si>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</si>
  <si>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</si>
  <si>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</si>
  <si>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</si>
  <si>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</si>
  <si>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</si>
  <si>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</si>
  <si>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</si>
  <si>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</si>
  <si>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</si>
  <si>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</si>
  <si>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</si>
  <si>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</si>
  <si>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</si>
  <si>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</si>
  <si>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</si>
  <si>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</si>
  <si>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</si>
  <si>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</si>
  <si>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</si>
  <si>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</si>
  <si>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</si>
  <si>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</si>
  <si>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</si>
  <si>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</si>
  <si>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</si>
  <si>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</si>
  <si>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</si>
  <si>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</si>
  <si>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</si>
  <si>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</si>
  <si>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</si>
  <si>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</si>
  <si>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</si>
  <si>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</si>
  <si>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</si>
  <si>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</si>
  <si>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</si>
  <si>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</si>
  <si>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</si>
  <si>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</si>
  <si>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</si>
  <si>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</si>
  <si>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</si>
  <si>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</si>
  <si>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</si>
  <si>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</si>
  <si>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</si>
  <si>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</si>
  <si>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</si>
  <si>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</si>
  <si>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</si>
  <si>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</si>
  <si>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</si>
  <si>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</si>
  <si>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</si>
  <si>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</si>
  <si>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</si>
  <si>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</si>
  <si>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</si>
  <si>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</si>
  <si>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</si>
  <si>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</si>
  <si>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</si>
  <si>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</si>
  <si>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</si>
  <si>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</si>
  <si>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</si>
  <si>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</si>
  <si>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</si>
  <si>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</si>
  <si>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</si>
  <si>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</si>
  <si>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</si>
  <si>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</si>
  <si>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</si>
  <si>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</si>
  <si>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</si>
  <si>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</si>
  <si>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</si>
  <si>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</si>
  <si>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</si>
  <si>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</si>
  <si>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</si>
  <si>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</si>
  <si>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</si>
  <si>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</si>
  <si>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</si>
  <si>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</si>
  <si>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</si>
  <si>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</si>
  <si>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</si>
  <si>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</si>
  <si>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</si>
  <si>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</si>
  <si>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</si>
  <si>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</si>
  <si>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</si>
  <si>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</si>
  <si>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</si>
  <si>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</si>
  <si>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</si>
  <si>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</si>
  <si>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</si>
  <si>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</si>
  <si>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</si>
  <si>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</si>
  <si>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</si>
  <si>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</si>
  <si>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</si>
  <si>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</si>
  <si>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</si>
  <si>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</si>
  <si>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</si>
  <si>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</si>
  <si>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</si>
  <si>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</si>
  <si>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</si>
  <si>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</si>
  <si>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</si>
  <si>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</si>
  <si>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</si>
  <si>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</si>
  <si>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</si>
  <si>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</si>
  <si>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</si>
  <si>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</si>
  <si>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</si>
  <si>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</si>
  <si>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</si>
  <si>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</si>
  <si>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</si>
  <si>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</si>
  <si>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</si>
  <si>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</si>
  <si>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</si>
  <si>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</si>
  <si>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</si>
  <si>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</si>
  <si>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</si>
  <si>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</si>
  <si>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</si>
  <si>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</si>
  <si>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</si>
  <si>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</si>
  <si>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</si>
  <si>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</si>
  <si>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</si>
  <si>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</si>
  <si>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</si>
  <si>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</si>
  <si>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</si>
  <si>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</si>
  <si>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</si>
  <si>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</si>
  <si>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</si>
  <si>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</si>
  <si>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</si>
  <si>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</si>
  <si>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</si>
  <si>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</si>
  <si>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</si>
  <si>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</si>
  <si>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</si>
  <si>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</si>
  <si>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</si>
  <si>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</si>
  <si>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</si>
  <si>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</si>
  <si>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</si>
  <si>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</si>
  <si>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</si>
  <si>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</si>
  <si>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</si>
  <si>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</si>
  <si>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</si>
  <si>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</si>
  <si>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</si>
  <si>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</si>
  <si>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</si>
  <si>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</si>
  <si>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</si>
  <si>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</si>
  <si>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</si>
  <si>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</si>
  <si>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</si>
  <si>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</si>
  <si>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</si>
  <si>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</si>
  <si>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</si>
  <si>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</si>
  <si>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</si>
  <si>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</si>
  <si>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</si>
  <si>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</si>
  <si>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</si>
  <si>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</si>
  <si>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</si>
  <si>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</si>
  <si>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</si>
  <si>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</si>
  <si>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</si>
  <si>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</si>
  <si>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</si>
  <si>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</si>
  <si>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</si>
  <si>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</si>
  <si>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</si>
  <si>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</si>
  <si>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</si>
  <si>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</si>
  <si>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</si>
  <si>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</si>
  <si>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</si>
  <si>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</si>
  <si>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</si>
  <si>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</si>
  <si>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</si>
  <si>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</si>
  <si>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</si>
  <si>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</si>
  <si>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</si>
  <si>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</si>
  <si>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</si>
  <si>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</si>
  <si>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</si>
  <si>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</si>
  <si>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</si>
  <si>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</si>
  <si>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</si>
  <si>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</si>
  <si>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</si>
  <si>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</si>
  <si>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</si>
  <si>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</si>
  <si>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</si>
  <si>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</si>
  <si>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</si>
  <si>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</si>
  <si>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</si>
  <si>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</si>
  <si>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</si>
  <si>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</si>
  <si>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</si>
  <si>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</si>
  <si>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</si>
  <si>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</si>
  <si>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</si>
  <si>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</si>
  <si>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</si>
  <si>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</si>
  <si>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</si>
  <si>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</si>
  <si>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</si>
  <si>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</si>
  <si>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</si>
  <si>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</si>
  <si>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</si>
  <si>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</si>
  <si>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</si>
  <si>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</si>
  <si>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</si>
  <si>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</si>
  <si>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</si>
  <si>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</si>
  <si>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</si>
  <si>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</si>
  <si>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</si>
  <si>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</si>
  <si>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</si>
  <si>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</si>
  <si>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</si>
  <si>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</si>
  <si>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</si>
  <si>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</si>
  <si>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</si>
  <si>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</si>
  <si>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</si>
  <si>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</si>
  <si>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</si>
  <si>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</si>
  <si>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</si>
  <si>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</si>
  <si>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</si>
  <si>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</si>
  <si>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</si>
  <si>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</si>
  <si>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</si>
  <si>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</si>
  <si>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</si>
  <si>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</si>
  <si>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</si>
  <si>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</si>
  <si>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</si>
  <si>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</si>
  <si>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</si>
  <si>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</si>
  <si>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</si>
  <si>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</si>
  <si>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</si>
  <si>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</si>
  <si>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</si>
  <si>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</si>
  <si>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</si>
  <si>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</si>
  <si>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</si>
  <si>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</si>
  <si>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</si>
  <si>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</si>
  <si>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</si>
  <si>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</si>
  <si>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</si>
  <si>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</si>
  <si>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</si>
  <si>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</si>
  <si>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</si>
  <si>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</si>
  <si>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</si>
  <si>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</si>
  <si>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</si>
  <si>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</si>
  <si>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</si>
  <si>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</si>
  <si>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</si>
  <si>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</si>
  <si>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</si>
  <si>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</si>
  <si>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</si>
  <si>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</si>
  <si>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</si>
  <si>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</si>
  <si>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</si>
  <si>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</si>
  <si>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</si>
  <si>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</si>
  <si>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</si>
  <si>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</si>
  <si>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</si>
  <si>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</si>
  <si>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</si>
  <si>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</si>
  <si>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</si>
  <si>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</si>
  <si>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</si>
  <si>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</si>
  <si>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</si>
  <si>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</si>
  <si>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</si>
  <si>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</si>
  <si>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</si>
  <si>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</si>
  <si>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</si>
  <si>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</si>
  <si>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</si>
  <si>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</si>
  <si>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</si>
  <si>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</si>
  <si>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</si>
  <si>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</si>
  <si>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</si>
  <si>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</si>
  <si>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</si>
  <si>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</si>
  <si>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</si>
  <si>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</si>
  <si>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</si>
  <si>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</si>
  <si>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</si>
  <si>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</si>
  <si>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</si>
  <si>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</si>
  <si>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</si>
  <si>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</si>
  <si>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</si>
  <si>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</si>
  <si>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</si>
  <si>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</si>
  <si>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</si>
  <si>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</si>
  <si>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</si>
  <si>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</si>
  <si>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</si>
  <si>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</si>
  <si>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</si>
  <si>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</si>
  <si>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</si>
  <si>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</si>
  <si>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</si>
  <si>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</si>
  <si>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</si>
  <si>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</si>
  <si>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</si>
  <si>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</si>
  <si>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</si>
  <si>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</si>
  <si>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</si>
  <si>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</si>
  <si>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</si>
  <si>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</si>
  <si>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</si>
  <si>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</si>
  <si>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</si>
  <si>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</si>
  <si>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</si>
  <si>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</si>
  <si>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</si>
  <si>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</si>
  <si>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</si>
  <si>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</si>
  <si>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</si>
  <si>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</si>
  <si>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</si>
  <si>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</si>
  <si>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</si>
  <si>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</si>
  <si>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</si>
  <si>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</si>
  <si>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</si>
  <si>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</si>
  <si>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</si>
  <si>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</si>
  <si>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</si>
  <si>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</si>
  <si>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</si>
  <si>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</si>
  <si>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</si>
  <si>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</si>
  <si>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</si>
  <si>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</si>
  <si>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</si>
  <si>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</si>
  <si>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</si>
  <si>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</si>
  <si>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</si>
  <si>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</si>
  <si>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</si>
  <si>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</si>
  <si>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</si>
  <si>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</si>
  <si>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</si>
  <si>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</si>
  <si>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</si>
  <si>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</si>
  <si>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</si>
  <si>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</si>
  <si>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</si>
  <si>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</si>
  <si>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</si>
  <si>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</si>
  <si>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</si>
  <si>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</si>
  <si>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</si>
  <si>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</si>
  <si>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</si>
  <si>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</si>
  <si>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</si>
  <si>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</si>
  <si>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</si>
  <si>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</si>
  <si>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</si>
  <si>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</si>
  <si>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</si>
  <si>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</si>
  <si>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</si>
  <si>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</si>
  <si>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</si>
  <si>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</si>
  <si>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</si>
  <si>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</si>
  <si>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</si>
  <si>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</si>
  <si>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</si>
  <si>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</si>
  <si>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</si>
  <si>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</si>
  <si>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</si>
  <si>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</si>
  <si>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</si>
  <si>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</si>
  <si>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</si>
  <si>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</si>
  <si>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</si>
  <si>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</si>
  <si>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</si>
  <si>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</si>
  <si>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</si>
  <si>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</si>
  <si>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</si>
  <si>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</si>
  <si>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</si>
  <si>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</si>
  <si>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</si>
  <si>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</si>
  <si>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</si>
  <si>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</si>
  <si>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</si>
  <si>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</si>
  <si>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</si>
  <si>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</si>
  <si>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</si>
  <si>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</si>
  <si>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</si>
  <si>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</si>
  <si>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</si>
  <si>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</si>
  <si>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</si>
  <si>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</si>
  <si>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</si>
  <si>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</si>
  <si>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</si>
  <si>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</si>
  <si>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</si>
  <si>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</si>
  <si>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</si>
  <si>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</si>
  <si>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</si>
  <si>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</si>
  <si>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</si>
  <si>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</si>
  <si>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</si>
  <si>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</si>
  <si>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</si>
  <si>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</si>
  <si>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</si>
  <si>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</si>
  <si>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</si>
  <si>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</si>
  <si>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</si>
  <si>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</si>
  <si>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</si>
  <si>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</si>
  <si>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</si>
  <si>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</si>
  <si>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</si>
  <si>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</si>
  <si>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</si>
  <si>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</si>
  <si>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</si>
  <si>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</si>
  <si>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</si>
  <si>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</si>
  <si>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</si>
  <si>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</si>
  <si>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</si>
  <si>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</si>
  <si>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</si>
  <si>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</si>
  <si>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</si>
  <si>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</si>
  <si>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</si>
  <si>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</si>
  <si>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</si>
  <si>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</si>
  <si>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</si>
  <si>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</si>
  <si>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</si>
  <si>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</si>
  <si>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</si>
  <si>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</si>
  <si>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</si>
  <si>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</si>
  <si>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</si>
  <si>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</si>
  <si>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</si>
  <si>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</si>
  <si>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</si>
  <si>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</si>
  <si>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</si>
  <si>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</si>
  <si>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</si>
  <si>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</si>
  <si>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</si>
  <si>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</si>
  <si>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</si>
  <si>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</si>
  <si>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</si>
  <si>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</si>
  <si>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</si>
  <si>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</si>
  <si>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</si>
  <si>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</si>
  <si>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</si>
  <si>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</si>
  <si>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</si>
  <si>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</si>
  <si>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</si>
  <si>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</si>
  <si>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</si>
  <si>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</si>
  <si>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</si>
  <si>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</si>
  <si>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</si>
  <si>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</si>
  <si>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</si>
  <si>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</si>
  <si>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</si>
  <si>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</si>
  <si>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</si>
  <si>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</si>
  <si>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</si>
  <si>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</si>
  <si>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</si>
  <si>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</si>
  <si>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</si>
  <si>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</si>
  <si>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</si>
  <si>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</si>
  <si>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</si>
  <si>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</si>
  <si>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</si>
  <si>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</si>
  <si>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</si>
  <si>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</si>
  <si>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</si>
  <si>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</si>
  <si>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</si>
  <si>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</si>
  <si>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</si>
  <si>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</si>
  <si>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</si>
  <si>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</si>
  <si>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</si>
  <si>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</si>
  <si>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</si>
  <si>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</si>
  <si>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</si>
  <si>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</si>
  <si>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</si>
  <si>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</si>
  <si>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</si>
  <si>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</si>
  <si>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</si>
  <si>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</si>
  <si>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</si>
  <si>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</si>
  <si>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</si>
  <si>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</si>
  <si>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</si>
  <si>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</si>
  <si>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</si>
  <si>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</si>
  <si>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</si>
  <si>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</si>
  <si>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</si>
  <si>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</si>
  <si>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</si>
  <si>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</si>
  <si>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</si>
  <si>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</si>
  <si>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</si>
  <si>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</si>
  <si>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</si>
  <si>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</si>
  <si>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</si>
  <si>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</si>
  <si>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</si>
  <si>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</si>
  <si>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</si>
  <si>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</si>
  <si>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</si>
  <si>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</si>
  <si>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</si>
  <si>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</si>
  <si>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</si>
  <si>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</si>
  <si>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</si>
  <si>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</si>
  <si>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</si>
  <si>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</si>
  <si>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</si>
  <si>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</si>
  <si>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</si>
  <si>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</si>
  <si>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</si>
  <si>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</si>
  <si>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</si>
  <si>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</si>
  <si>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</si>
  <si>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</si>
  <si>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</si>
  <si>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</si>
  <si>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</si>
  <si>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</si>
  <si>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</si>
  <si>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</si>
  <si>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</si>
  <si>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</si>
  <si>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</si>
  <si>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</si>
  <si>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</si>
  <si>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</si>
  <si>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</si>
  <si>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</si>
  <si>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</si>
  <si>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</si>
  <si>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</si>
  <si>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</si>
  <si>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</si>
  <si>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</si>
  <si>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</si>
  <si>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</si>
  <si>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</si>
  <si>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</si>
  <si>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</si>
  <si>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</si>
  <si>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</si>
  <si>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</si>
  <si>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</si>
  <si>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</si>
  <si>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</si>
  <si>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</si>
  <si>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</si>
  <si>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</si>
  <si>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</si>
  <si>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</si>
  <si>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</si>
  <si>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</si>
  <si>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</si>
  <si>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</si>
  <si>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</si>
  <si>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</si>
  <si>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</si>
  <si>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</si>
  <si>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</si>
  <si>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</si>
  <si>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</si>
  <si>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</si>
  <si>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</si>
  <si>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</si>
  <si>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</si>
  <si>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</si>
  <si>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</si>
  <si>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</si>
  <si>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</si>
  <si>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</si>
  <si>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</si>
  <si>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</si>
  <si>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</si>
  <si>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</si>
  <si>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</si>
  <si>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</si>
  <si>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</si>
  <si>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</si>
  <si>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</si>
  <si>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</si>
  <si>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</si>
  <si>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</si>
  <si>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</si>
  <si>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</si>
  <si>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</si>
  <si>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</si>
  <si>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</si>
  <si>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</si>
  <si>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</si>
  <si>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</si>
  <si>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</si>
  <si>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</si>
  <si>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</si>
  <si>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</si>
  <si>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</si>
  <si>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</si>
  <si>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</si>
  <si>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</si>
  <si>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</si>
  <si>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</si>
  <si>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</si>
  <si>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</si>
  <si>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</si>
  <si>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</si>
  <si>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</si>
  <si>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</si>
  <si>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</si>
  <si>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</si>
  <si>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</si>
  <si>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</si>
  <si>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</si>
  <si>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</si>
  <si>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</si>
  <si>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</si>
  <si>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</si>
  <si>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</si>
  <si>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</si>
  <si>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</si>
  <si>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</si>
  <si>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</si>
  <si>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</si>
  <si>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</si>
  <si>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</si>
  <si>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</si>
  <si>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</si>
  <si>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</si>
  <si>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</si>
  <si>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</si>
  <si>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</si>
  <si>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</si>
  <si>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</si>
  <si>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</si>
  <si>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</si>
  <si>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</si>
  <si>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</si>
  <si>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</si>
  <si>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</si>
  <si>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</si>
  <si>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</si>
  <si>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</si>
  <si>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</si>
  <si>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</si>
  <si>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</si>
  <si>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</si>
  <si>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</si>
  <si>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</si>
  <si>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</si>
  <si>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</si>
  <si>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</si>
  <si>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</si>
  <si>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</si>
  <si>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</si>
  <si>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</si>
  <si>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</si>
  <si>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</si>
  <si>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</si>
  <si>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</si>
  <si>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</si>
  <si>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</si>
  <si>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</si>
  <si>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</si>
  <si>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</si>
  <si>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</si>
  <si>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</si>
  <si>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</si>
  <si>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</si>
  <si>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</si>
  <si>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</si>
  <si>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</si>
  <si>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</si>
  <si>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</si>
  <si>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</si>
  <si>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</si>
  <si>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</si>
  <si>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</si>
  <si>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</si>
  <si>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</si>
  <si>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</si>
  <si>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</si>
  <si>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</si>
  <si>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</si>
  <si>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</si>
  <si>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</si>
  <si>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</si>
  <si>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</si>
  <si>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</si>
  <si>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</si>
  <si>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</si>
  <si>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</si>
  <si>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</si>
  <si>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</si>
  <si>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</si>
  <si>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</si>
  <si>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</si>
  <si>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</si>
  <si>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</si>
  <si>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</si>
  <si>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</si>
  <si>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</si>
  <si>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</si>
  <si>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</si>
  <si>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</si>
  <si>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</si>
  <si>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</si>
  <si>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</si>
  <si>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</si>
  <si>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</si>
  <si>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</si>
  <si>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</si>
  <si>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</si>
  <si>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</si>
  <si>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</si>
  <si>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</si>
  <si>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</si>
  <si>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</si>
  <si>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</si>
  <si>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</si>
  <si>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</si>
  <si>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</si>
  <si>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</si>
  <si>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</si>
  <si>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</si>
  <si>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</si>
  <si>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</si>
  <si>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</si>
  <si>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</si>
  <si>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</si>
  <si>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</si>
  <si>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</si>
  <si>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</si>
  <si>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</si>
  <si>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</si>
  <si>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</si>
  <si>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</si>
  <si>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</si>
  <si>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</si>
  <si>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</si>
  <si>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</si>
  <si>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</si>
  <si>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</si>
  <si>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</si>
  <si>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</si>
  <si>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</si>
  <si>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</si>
  <si>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</si>
  <si>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</si>
  <si>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</si>
  <si>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</si>
  <si>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</si>
  <si>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</si>
  <si>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</si>
  <si>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</si>
  <si>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</si>
  <si>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</si>
  <si>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</si>
  <si>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</si>
  <si>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</si>
  <si>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</si>
  <si>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</si>
  <si>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</si>
  <si>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</si>
  <si>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</si>
  <si>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</si>
  <si>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</si>
  <si>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</si>
  <si>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</si>
  <si>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</si>
  <si>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</si>
  <si>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</si>
  <si>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</si>
  <si>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</si>
  <si>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</si>
  <si>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</si>
  <si>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</si>
  <si>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</si>
  <si>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</si>
  <si>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</si>
  <si>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</si>
  <si>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</si>
  <si>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</si>
  <si>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</si>
  <si>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</si>
  <si>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</si>
  <si>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</si>
  <si>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</si>
  <si>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</si>
  <si>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</si>
  <si>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</si>
  <si>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</si>
  <si>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</si>
  <si>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</si>
  <si>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</si>
  <si>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</si>
  <si>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</si>
  <si>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</si>
  <si>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</si>
  <si>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</si>
  <si>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</si>
  <si>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</si>
  <si>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</si>
  <si>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</si>
  <si>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</si>
  <si>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</si>
  <si>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</si>
  <si>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</si>
  <si>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</si>
  <si>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</si>
  <si>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</si>
  <si>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</si>
  <si>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</si>
  <si>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</si>
  <si>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</si>
  <si>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</si>
  <si>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</si>
  <si>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</si>
  <si>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</si>
  <si>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</si>
  <si>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</si>
  <si>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</si>
  <si>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</si>
  <si>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</si>
  <si>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</si>
  <si>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</si>
  <si>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</si>
  <si>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</si>
  <si>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</si>
  <si>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</si>
  <si>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</si>
  <si>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</si>
  <si>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</si>
  <si>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</si>
  <si>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</si>
  <si>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</si>
  <si>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</si>
  <si>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</si>
  <si>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</si>
  <si>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</si>
  <si>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</si>
  <si>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</si>
  <si>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</si>
  <si>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</si>
  <si>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</si>
  <si>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</si>
  <si>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</si>
  <si>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</si>
  <si>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</si>
  <si>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</si>
  <si>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</si>
  <si>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</si>
  <si>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</si>
  <si>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</si>
  <si>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</si>
  <si>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</si>
  <si>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</si>
  <si>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</si>
  <si>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</si>
  <si>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</si>
  <si>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</si>
  <si>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</si>
  <si>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</si>
  <si>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</si>
  <si>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</si>
  <si>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</si>
  <si>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</si>
  <si>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</si>
  <si>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</si>
  <si>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</si>
  <si>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</si>
  <si>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</si>
  <si>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</si>
  <si>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</si>
  <si>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</si>
  <si>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</si>
  <si>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</si>
  <si>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</si>
  <si>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</si>
  <si>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</si>
  <si>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</si>
  <si>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</si>
  <si>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</si>
  <si>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</si>
  <si>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</si>
  <si>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</si>
  <si>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</si>
  <si>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</si>
  <si>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</si>
  <si>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</si>
  <si>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</si>
  <si>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</si>
  <si>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</si>
  <si>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</si>
  <si>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</si>
  <si>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</si>
  <si>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</si>
  <si>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</si>
  <si>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</si>
  <si>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</si>
  <si>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</si>
  <si>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</si>
  <si>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</si>
  <si>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</si>
  <si>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</si>
  <si>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</si>
  <si>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</si>
  <si>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</si>
  <si>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</si>
  <si>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</si>
  <si>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</si>
  <si>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</si>
  <si>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</si>
  <si>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</si>
  <si>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</si>
  <si>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</si>
  <si>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</si>
  <si>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</si>
  <si>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</si>
  <si>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</si>
  <si>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</si>
  <si>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</si>
  <si>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</si>
  <si>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</si>
  <si>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</si>
  <si>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</si>
  <si>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</si>
  <si>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</si>
  <si>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</si>
  <si>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</si>
  <si>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</si>
  <si>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</si>
  <si>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</si>
  <si>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</si>
  <si>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</si>
  <si>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</si>
  <si>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</si>
  <si>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</si>
  <si>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</si>
  <si>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</si>
  <si>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</si>
  <si>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</si>
  <si>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</si>
  <si>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</si>
  <si>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</si>
  <si>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</si>
  <si>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</si>
  <si>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</si>
  <si>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</si>
  <si>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</si>
  <si>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</si>
  <si>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</si>
  <si>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</si>
  <si>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</si>
  <si>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</si>
  <si>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</si>
  <si>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</si>
  <si>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</si>
  <si>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</si>
  <si>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</si>
  <si>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</si>
  <si>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</si>
  <si>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</si>
  <si>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</si>
  <si>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</si>
  <si>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</si>
  <si>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</si>
  <si>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</si>
  <si>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</si>
  <si>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</si>
  <si>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</si>
  <si>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</si>
  <si>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</si>
  <si>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</si>
  <si>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</si>
  <si>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</si>
  <si>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</si>
  <si>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</si>
  <si>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</si>
  <si>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</si>
  <si>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</si>
  <si>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</si>
  <si>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</si>
  <si>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</si>
  <si>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</si>
  <si>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</si>
  <si>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</si>
  <si>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</si>
  <si>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</si>
  <si>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</si>
  <si>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</si>
  <si>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</si>
  <si>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</si>
  <si>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</si>
  <si>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</si>
  <si>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</si>
  <si>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</si>
  <si>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</si>
  <si>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</si>
  <si>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</si>
  <si>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</si>
  <si>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</si>
  <si>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</si>
  <si>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</si>
  <si>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</si>
  <si>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</si>
  <si>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</si>
  <si>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</si>
  <si>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</si>
  <si>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</si>
  <si>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</si>
  <si>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</si>
  <si>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</si>
  <si>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</si>
  <si>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</si>
  <si>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</si>
  <si>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</si>
  <si>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</si>
  <si>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</si>
  <si>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</si>
  <si>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</si>
  <si>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</si>
  <si>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</si>
  <si>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</si>
  <si>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</si>
  <si>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</si>
  <si>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</si>
  <si>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</si>
  <si>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</si>
  <si>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</si>
  <si>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</si>
  <si>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</si>
  <si>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</si>
  <si>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</si>
  <si>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</si>
  <si>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</si>
  <si>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</si>
  <si>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</si>
  <si>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</si>
  <si>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</si>
  <si>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</si>
  <si>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</si>
  <si>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</si>
  <si>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</si>
  <si>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</si>
  <si>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</si>
  <si>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</si>
  <si>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</si>
  <si>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</si>
  <si>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</si>
  <si>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</si>
  <si>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</si>
  <si>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</si>
  <si>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</si>
  <si>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</si>
  <si>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</si>
  <si>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</si>
  <si>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</si>
  <si>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</si>
  <si>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</si>
  <si>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</si>
  <si>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</si>
  <si>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</si>
  <si>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</si>
  <si>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</si>
  <si>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</si>
  <si>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</si>
  <si>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</si>
  <si>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</si>
  <si>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</si>
  <si>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</si>
  <si>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</si>
  <si>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</si>
  <si>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</si>
  <si>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</si>
  <si>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</si>
  <si>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</si>
  <si>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</si>
  <si>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</si>
  <si>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</si>
  <si>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</si>
  <si>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</si>
  <si>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</si>
  <si>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</si>
  <si>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</si>
  <si>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</si>
  <si>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</si>
  <si>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</si>
  <si>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</si>
  <si>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</si>
  <si>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</si>
  <si>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</si>
  <si>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</si>
  <si>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</si>
  <si>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</si>
  <si>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</si>
  <si>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</si>
  <si>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</si>
  <si>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</si>
  <si>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</si>
  <si>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</si>
  <si>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</si>
  <si>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</si>
  <si>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</si>
  <si>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</si>
  <si>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</si>
  <si>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</si>
  <si>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</si>
  <si>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</si>
  <si>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</si>
  <si>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</si>
  <si>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</si>
  <si>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</si>
  <si>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</si>
  <si>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</si>
  <si>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</si>
  <si>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</si>
  <si>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</si>
  <si>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</si>
  <si>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</si>
  <si>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</si>
  <si>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</si>
  <si>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</si>
  <si>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</si>
  <si>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</si>
  <si>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</si>
  <si>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</si>
  <si>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</si>
  <si>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</si>
  <si>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</si>
  <si>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</si>
  <si>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</si>
  <si>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</si>
  <si>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</si>
  <si>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</si>
  <si>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</si>
  <si>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</si>
  <si>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</si>
  <si>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</si>
  <si>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</si>
  <si>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</si>
  <si>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</si>
  <si>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</si>
  <si>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</si>
  <si>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</si>
  <si>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</si>
  <si>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</si>
  <si>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</si>
  <si>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</si>
  <si>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</si>
  <si>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</si>
  <si>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</si>
  <si>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</si>
  <si>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</si>
  <si>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</si>
  <si>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</si>
  <si>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</si>
  <si>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</si>
  <si>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</si>
  <si>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</si>
  <si>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</si>
  <si>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</si>
  <si>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</si>
  <si>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</si>
  <si>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</si>
  <si>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</si>
  <si>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</si>
  <si>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</si>
  <si>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</si>
  <si>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</si>
  <si>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</si>
  <si>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</si>
  <si>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</si>
  <si>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</si>
  <si>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</si>
  <si>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</si>
  <si>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</si>
  <si>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</si>
  <si>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</si>
  <si>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</si>
  <si>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</si>
  <si>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</si>
  <si>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</si>
  <si>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</si>
  <si>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</si>
  <si>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</si>
  <si>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</si>
  <si>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</si>
  <si>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</si>
  <si>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</si>
  <si>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</si>
  <si>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</si>
  <si>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</si>
  <si>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</si>
  <si>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</si>
  <si>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</si>
  <si>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</si>
  <si>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</si>
  <si>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</si>
  <si>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</si>
  <si>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</si>
  <si>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</si>
  <si>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</si>
  <si>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</si>
  <si>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</si>
  <si>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</si>
  <si>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</si>
  <si>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</si>
  <si>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</si>
  <si>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</si>
  <si>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</si>
  <si>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</si>
  <si>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</si>
  <si>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</si>
  <si>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</si>
  <si>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</si>
  <si>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</si>
  <si>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</si>
  <si>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</si>
  <si>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</si>
  <si>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</si>
  <si>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</si>
  <si>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</si>
  <si>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</si>
  <si>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</si>
  <si>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</si>
  <si>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</si>
  <si>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</si>
  <si>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</si>
  <si>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</si>
  <si>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</si>
  <si>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</si>
  <si>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</si>
  <si>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</si>
  <si>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</si>
  <si>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</si>
  <si>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</si>
  <si>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</si>
  <si>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</si>
  <si>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</si>
  <si>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</si>
  <si>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</si>
  <si>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</si>
  <si>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</si>
  <si>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</si>
  <si>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</si>
  <si>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</si>
  <si>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</si>
  <si>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</si>
  <si>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</si>
  <si>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</si>
  <si>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</si>
  <si>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</si>
  <si>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</si>
  <si>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</si>
  <si>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</si>
  <si>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</si>
  <si>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</si>
  <si>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</si>
  <si>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</si>
  <si>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</si>
  <si>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</si>
  <si>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</si>
  <si>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</si>
  <si>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</si>
  <si>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</si>
  <si>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</si>
  <si>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</si>
  <si>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</si>
  <si>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</si>
  <si>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</si>
  <si>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</si>
  <si>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</si>
  <si>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</si>
  <si>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</si>
  <si>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</si>
  <si>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</si>
  <si>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</si>
  <si>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</si>
  <si>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</si>
  <si>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</si>
  <si>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</si>
  <si>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</si>
  <si>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</si>
  <si>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</si>
  <si>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</si>
  <si>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</si>
  <si>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</si>
  <si>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</si>
  <si>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</si>
  <si>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</si>
  <si>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</si>
  <si>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</si>
  <si>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</si>
  <si>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</si>
  <si>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</si>
  <si>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</si>
  <si>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</si>
  <si>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</si>
  <si>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</si>
  <si>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</si>
  <si>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</si>
  <si>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</si>
  <si>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</si>
  <si>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</si>
  <si>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</si>
  <si>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</si>
  <si>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</si>
  <si>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</si>
  <si>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</si>
  <si>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</si>
  <si>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</si>
  <si>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</si>
  <si>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</si>
  <si>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</si>
  <si>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</si>
  <si>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</si>
  <si>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</si>
  <si>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</si>
  <si>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</si>
  <si>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</si>
  <si>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</si>
  <si>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</si>
  <si>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</si>
  <si>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</si>
  <si>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</si>
  <si>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</si>
  <si>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</si>
  <si>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</si>
  <si>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</si>
  <si>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</si>
  <si>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</si>
  <si>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</si>
  <si>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</si>
  <si>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</si>
  <si>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</si>
  <si>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</si>
  <si>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</si>
  <si>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</si>
  <si>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</si>
  <si>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</si>
  <si>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</si>
  <si>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</si>
  <si>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</si>
  <si>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</si>
  <si>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</si>
  <si>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</si>
  <si>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</si>
  <si>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</si>
  <si>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</si>
  <si>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</si>
  <si>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</si>
  <si>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</si>
  <si>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</si>
  <si>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</si>
  <si>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</si>
  <si>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</si>
  <si>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</si>
  <si>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</si>
  <si>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</si>
  <si>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</si>
  <si>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</si>
  <si>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</si>
  <si>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</si>
  <si>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</si>
  <si>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</si>
  <si>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</si>
  <si>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</si>
  <si>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</si>
  <si>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</si>
  <si>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</si>
  <si>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</si>
  <si>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</si>
  <si>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</si>
  <si>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</si>
  <si>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</si>
  <si>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</si>
  <si>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</si>
  <si>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</si>
  <si>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</si>
  <si>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</si>
  <si>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</si>
  <si>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</si>
  <si>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</si>
  <si>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</si>
  <si>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</si>
  <si>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</si>
  <si>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</si>
  <si>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</si>
  <si>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</si>
  <si>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</si>
  <si>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</si>
  <si>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</si>
  <si>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</si>
  <si>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</si>
  <si>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</si>
  <si>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</si>
  <si>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</si>
  <si>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</si>
  <si>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</si>
  <si>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</si>
  <si>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</si>
  <si>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</si>
  <si>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</si>
  <si>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</si>
  <si>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</si>
  <si>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</si>
  <si>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</si>
  <si>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</si>
  <si>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</si>
  <si>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</si>
  <si>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</si>
  <si>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</si>
  <si>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</si>
  <si>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</si>
  <si>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</si>
  <si>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</si>
  <si>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</si>
  <si>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</si>
  <si>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</si>
  <si>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</si>
  <si>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</si>
  <si>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</si>
  <si>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</si>
  <si>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</si>
  <si>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</si>
  <si>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</si>
  <si>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</si>
  <si>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</si>
  <si>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</si>
  <si>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</si>
  <si>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</si>
  <si>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</si>
  <si>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</si>
  <si>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</si>
  <si>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</si>
  <si>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</si>
  <si>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</si>
  <si>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</si>
  <si>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</si>
  <si>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</si>
  <si>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</si>
  <si>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</si>
  <si>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</si>
  <si>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</si>
  <si>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</si>
  <si>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</si>
  <si>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</si>
  <si>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</si>
  <si>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</si>
  <si>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</si>
  <si>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</si>
  <si>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</si>
  <si>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</si>
  <si>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</si>
  <si>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</si>
  <si>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</si>
  <si>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</si>
  <si>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</si>
  <si>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</si>
  <si>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</si>
  <si>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</si>
  <si>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</si>
  <si>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</si>
  <si>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</si>
  <si>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</si>
  <si>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</si>
  <si>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</si>
  <si>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</si>
  <si>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</si>
  <si>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</si>
  <si>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</si>
  <si>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</si>
  <si>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</si>
  <si>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</si>
  <si>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</si>
  <si>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</si>
  <si>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</si>
  <si>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</si>
  <si>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</si>
  <si>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</si>
  <si>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</si>
  <si>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</si>
  <si>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</si>
  <si>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</si>
  <si>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</si>
  <si>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</si>
  <si>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</si>
  <si>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</si>
  <si>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</si>
  <si>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</si>
  <si>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</si>
  <si>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</si>
  <si>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</si>
  <si>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</si>
  <si>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</si>
  <si>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</si>
  <si>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</si>
  <si>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</si>
  <si>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</si>
  <si>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</si>
  <si>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</si>
  <si>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</si>
  <si>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</si>
  <si>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</si>
  <si>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</si>
  <si>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</si>
  <si>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</si>
  <si>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</si>
  <si>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</si>
  <si>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</si>
  <si>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</si>
  <si>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</si>
  <si>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</si>
  <si>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</si>
  <si>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</si>
  <si>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</si>
  <si>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</si>
  <si>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</si>
  <si>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</si>
  <si>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</si>
  <si>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</si>
  <si>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</si>
  <si>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</si>
  <si>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</si>
  <si>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</si>
  <si>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</si>
  <si>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</si>
  <si>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</si>
  <si>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</si>
  <si>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</si>
  <si>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</si>
  <si>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</si>
  <si>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</si>
  <si>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</si>
  <si>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</si>
  <si>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</si>
  <si>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</si>
  <si>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</si>
  <si>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</si>
  <si>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</si>
  <si>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</si>
  <si>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</si>
  <si>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</si>
  <si>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</si>
  <si>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</si>
  <si>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</si>
  <si>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</si>
  <si>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</si>
  <si>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</si>
  <si>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</si>
  <si>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</si>
  <si>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</si>
  <si>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</si>
  <si>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</si>
  <si>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</si>
  <si>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</si>
  <si>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</si>
  <si>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</si>
  <si>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</si>
  <si>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</si>
  <si>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</si>
  <si>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</si>
  <si>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</si>
  <si>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</si>
  <si>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</si>
  <si>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</si>
  <si>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</si>
  <si>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</si>
  <si>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</si>
  <si>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</si>
  <si>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</si>
  <si>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</si>
  <si>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</si>
  <si>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</si>
  <si>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</si>
  <si>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</si>
  <si>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</si>
  <si>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</si>
  <si>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</si>
  <si>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</si>
  <si>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</si>
  <si>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</si>
  <si>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</si>
  <si>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</si>
  <si>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</si>
  <si>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</si>
  <si>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</si>
  <si>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</si>
  <si>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</si>
  <si>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</si>
  <si>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</si>
  <si>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</si>
  <si>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</si>
  <si>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</si>
  <si>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</si>
  <si>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</si>
  <si>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</si>
  <si>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</si>
  <si>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</si>
  <si>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</si>
  <si>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</si>
  <si>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</si>
  <si>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</si>
  <si>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</si>
  <si>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</si>
  <si>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</si>
  <si>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</si>
  <si>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</si>
  <si>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</si>
  <si>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</si>
  <si>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</si>
  <si>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</si>
  <si>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</si>
  <si>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</si>
  <si>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</si>
  <si>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</si>
  <si>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</si>
  <si>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</si>
  <si>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</si>
  <si>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</si>
  <si>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</si>
  <si>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</si>
  <si>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</si>
  <si>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</si>
  <si>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</si>
  <si>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</si>
  <si>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</si>
  <si>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</si>
  <si>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</si>
  <si>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</si>
  <si>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</si>
  <si>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</si>
  <si>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</si>
  <si>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</si>
  <si>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</si>
  <si>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</si>
  <si>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</si>
  <si>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</si>
  <si>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</si>
  <si>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</si>
  <si>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</si>
  <si>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</si>
  <si>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</si>
  <si>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</si>
  <si>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</si>
  <si>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</si>
  <si>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</si>
  <si>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</si>
  <si>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</si>
  <si>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</si>
  <si>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</si>
  <si>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</si>
  <si>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</si>
  <si>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</si>
  <si>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</si>
  <si>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</si>
  <si>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</si>
  <si>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</si>
  <si>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</si>
  <si>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</si>
  <si>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</si>
  <si>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</si>
  <si>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</si>
  <si>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</si>
  <si>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</si>
  <si>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</si>
  <si>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</si>
  <si>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</si>
  <si>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</si>
  <si>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</si>
  <si>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</si>
  <si>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</si>
  <si>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</si>
  <si>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</si>
  <si>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</si>
  <si>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</si>
  <si>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</si>
  <si>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</si>
  <si>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</si>
  <si>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</si>
  <si>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</si>
  <si>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</si>
  <si>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</si>
  <si>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</si>
  <si>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</si>
  <si>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</si>
  <si>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</si>
  <si>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</si>
  <si>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</si>
  <si>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</si>
  <si>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</si>
  <si>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</si>
  <si>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</si>
  <si>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</si>
  <si>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</si>
  <si>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</si>
  <si>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</si>
  <si>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</si>
  <si>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</si>
  <si>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</si>
  <si>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</si>
  <si>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</si>
  <si>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</si>
  <si>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</si>
  <si>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</si>
  <si>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</si>
  <si>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</si>
  <si>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</si>
  <si>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</si>
  <si>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</si>
  <si>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</si>
  <si>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</si>
  <si>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</si>
  <si>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</si>
  <si>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</si>
  <si>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</si>
  <si>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</si>
  <si>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</si>
  <si>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</si>
  <si>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</si>
  <si>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</si>
  <si>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</si>
  <si>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</si>
  <si>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</si>
  <si>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</si>
  <si>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</si>
  <si>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</si>
  <si>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</si>
  <si>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</si>
  <si>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</si>
  <si>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</si>
  <si>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</si>
  <si>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</si>
  <si>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</si>
  <si>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</si>
  <si>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</si>
  <si>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</si>
  <si>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</si>
  <si>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</si>
  <si>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</si>
  <si>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</si>
  <si>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</si>
  <si>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</si>
  <si>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</si>
  <si>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</si>
  <si>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</si>
  <si>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</si>
  <si>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</si>
  <si>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</si>
  <si>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</si>
  <si>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</si>
  <si>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</si>
  <si>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</si>
  <si>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</si>
  <si>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</si>
  <si>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</si>
  <si>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</si>
  <si>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</si>
  <si>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</si>
  <si>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</si>
  <si>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</si>
  <si>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</si>
  <si>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</si>
  <si>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</si>
  <si>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</si>
  <si>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</si>
  <si>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</si>
  <si>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</si>
  <si>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</si>
  <si>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</si>
  <si>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</si>
  <si>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</si>
  <si>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</si>
  <si>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</si>
  <si>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</si>
  <si>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</si>
  <si>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</si>
  <si>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</si>
  <si>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</si>
  <si>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</si>
  <si>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</si>
  <si>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</si>
  <si>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</si>
  <si>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</si>
  <si>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</si>
  <si>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</si>
  <si>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</si>
  <si>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</si>
  <si>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</si>
  <si>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</si>
  <si>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</si>
  <si>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</si>
  <si>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</si>
  <si>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</si>
  <si>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</si>
  <si>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</si>
  <si>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</si>
  <si>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</si>
  <si>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</si>
  <si>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</si>
  <si>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</si>
  <si>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</si>
  <si>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</si>
  <si>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</si>
  <si>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</si>
  <si>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</si>
  <si>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</si>
  <si>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</si>
  <si>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</si>
  <si>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</si>
  <si>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</si>
  <si>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</si>
  <si>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</si>
  <si>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</si>
  <si>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</si>
  <si>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</si>
  <si>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</si>
  <si>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</si>
  <si>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</si>
  <si>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</si>
  <si>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</si>
  <si>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</si>
  <si>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</si>
  <si>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</si>
  <si>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</si>
  <si>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</si>
  <si>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</si>
  <si>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</si>
  <si>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</si>
  <si>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</si>
  <si>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</si>
  <si>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</si>
  <si>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</si>
  <si>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</si>
  <si>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</si>
  <si>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</si>
  <si>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</si>
  <si>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</si>
  <si>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</si>
  <si>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</si>
  <si>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</si>
  <si>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</si>
  <si>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</si>
  <si>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</si>
  <si>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</si>
  <si>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</si>
  <si>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</si>
  <si>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</si>
  <si>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</si>
  <si>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</si>
  <si>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</si>
  <si>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</si>
  <si>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</si>
  <si>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</si>
  <si>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</si>
  <si>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</si>
  <si>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</si>
  <si>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</si>
  <si>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</si>
  <si>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</si>
  <si>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</si>
  <si>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</si>
  <si>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</si>
  <si>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</si>
  <si>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</si>
  <si>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</si>
  <si>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</si>
  <si>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</si>
  <si>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</si>
  <si>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</si>
  <si>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</si>
  <si>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</si>
  <si>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</si>
  <si>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</si>
  <si>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</si>
  <si>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</si>
  <si>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</si>
  <si>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</si>
  <si>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</si>
  <si>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</si>
  <si>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</si>
  <si>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</si>
  <si>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</si>
  <si>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</si>
  <si>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</si>
  <si>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</si>
  <si>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</si>
  <si>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</si>
  <si>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</si>
  <si>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</si>
  <si>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</si>
  <si>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</si>
  <si>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</si>
  <si>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</si>
  <si>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</si>
  <si>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</si>
  <si>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</si>
  <si>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</si>
  <si>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</si>
  <si>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</si>
  <si>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</si>
  <si>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</si>
  <si>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</si>
  <si>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</si>
  <si>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</si>
  <si>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</si>
  <si>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</si>
  <si>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</si>
  <si>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</si>
  <si>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</si>
  <si>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</si>
  <si>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</si>
  <si>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</si>
  <si>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</si>
  <si>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</si>
  <si>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</si>
  <si>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</si>
  <si>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</si>
  <si>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</si>
  <si>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</si>
  <si>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</si>
  <si>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</si>
  <si>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</si>
  <si>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</si>
  <si>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</si>
  <si>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</si>
  <si>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</si>
  <si>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</si>
  <si>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</si>
  <si>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</si>
  <si>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</si>
  <si>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</si>
  <si>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</si>
  <si>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</si>
  <si>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</si>
  <si>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</si>
  <si>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</si>
  <si>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</si>
  <si>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</si>
  <si>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</si>
  <si>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</si>
  <si>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</si>
  <si>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</si>
  <si>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</si>
  <si>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</si>
  <si>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</si>
  <si>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</si>
  <si>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</si>
  <si>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</si>
  <si>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</si>
  <si>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</si>
  <si>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</si>
  <si>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</si>
  <si>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</si>
  <si>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</si>
  <si>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</si>
  <si>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</si>
  <si>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</si>
  <si>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</si>
  <si>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</si>
  <si>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</si>
  <si>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</si>
  <si>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</si>
  <si>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</si>
  <si>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</si>
  <si>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</si>
  <si>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</si>
  <si>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</si>
  <si>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</si>
  <si>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</si>
  <si>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</si>
  <si>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</si>
  <si>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</si>
  <si>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</si>
  <si>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</si>
  <si>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</si>
  <si>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</si>
  <si>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</si>
  <si>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</si>
  <si>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</si>
  <si>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</si>
  <si>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</si>
  <si>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</si>
  <si>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</si>
  <si>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</si>
  <si>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</si>
  <si>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</si>
  <si>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</si>
  <si>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</si>
  <si>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</si>
  <si>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</si>
  <si>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</si>
  <si>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</si>
  <si>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</si>
  <si>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</si>
  <si>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</si>
  <si>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</si>
  <si>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</si>
  <si>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</si>
  <si>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</si>
  <si>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</si>
  <si>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</si>
  <si>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</si>
  <si>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</si>
  <si>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</si>
  <si>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</si>
  <si>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</si>
  <si>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</si>
  <si>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</si>
  <si>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</si>
  <si>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</si>
  <si>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</si>
  <si>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</si>
  <si>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</si>
  <si>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</si>
  <si>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</si>
  <si>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</si>
  <si>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</si>
  <si>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</si>
  <si>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</si>
  <si>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</si>
  <si>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</si>
  <si>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</si>
  <si>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</si>
  <si>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</si>
  <si>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</si>
  <si>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</si>
  <si>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</si>
  <si>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</si>
  <si>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</si>
  <si>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</si>
  <si>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</si>
  <si>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</si>
  <si>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</si>
  <si>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</si>
  <si>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</si>
  <si>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</si>
  <si>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</si>
  <si>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</si>
  <si>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</si>
  <si>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</si>
  <si>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</si>
  <si>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</si>
  <si>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</si>
  <si>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</si>
  <si>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</si>
  <si>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</si>
  <si>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</si>
  <si>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</si>
  <si>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</si>
  <si>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</si>
  <si>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</si>
  <si>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</si>
  <si>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</si>
  <si>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</si>
  <si>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</si>
  <si>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</si>
  <si>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</si>
  <si>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</si>
  <si>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</si>
  <si>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</si>
  <si>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</si>
  <si>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</si>
  <si>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</si>
  <si>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</si>
  <si>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</si>
  <si>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</si>
  <si>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</si>
  <si>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</si>
  <si>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</si>
  <si>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</si>
  <si>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</si>
  <si>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</si>
  <si>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</si>
  <si>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</si>
  <si>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</si>
  <si>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</si>
  <si>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</si>
  <si>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</si>
  <si>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</si>
  <si>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</si>
  <si>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</si>
  <si>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</si>
  <si>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</si>
  <si>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</si>
  <si>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</si>
  <si>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</si>
  <si>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</si>
  <si>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</si>
  <si>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</si>
  <si>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</si>
  <si>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</si>
  <si>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</si>
  <si>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</si>
  <si>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</si>
  <si>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</si>
  <si>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</si>
  <si>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</si>
  <si>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</si>
  <si>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</si>
  <si>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</si>
  <si>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</si>
  <si>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</si>
  <si>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</si>
  <si>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</si>
  <si>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</si>
  <si>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</si>
  <si>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</si>
  <si>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</si>
  <si>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</si>
  <si>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</si>
  <si>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</si>
  <si>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</si>
  <si>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</si>
  <si>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</si>
  <si>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</si>
  <si>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</si>
  <si>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</si>
  <si>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</si>
  <si>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</si>
  <si>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</si>
  <si>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</si>
  <si>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</si>
  <si>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</si>
  <si>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</si>
  <si>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</si>
  <si>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</si>
  <si>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</si>
  <si>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</si>
  <si>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</si>
  <si>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</si>
  <si>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</si>
  <si>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</si>
  <si>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</si>
  <si>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</si>
  <si>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</si>
  <si>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</si>
  <si>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</si>
  <si>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</si>
  <si>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</si>
  <si>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</si>
  <si>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</si>
  <si>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</si>
  <si>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</si>
  <si>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</si>
  <si>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</si>
  <si>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</si>
  <si>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</si>
  <si>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</si>
  <si>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</si>
  <si>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</si>
  <si>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</si>
  <si>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</si>
  <si>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</si>
  <si>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</si>
  <si>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</si>
  <si>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</si>
  <si>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</si>
  <si>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</si>
  <si>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</si>
  <si>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</si>
  <si>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</si>
  <si>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</si>
  <si>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</si>
  <si>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</si>
  <si>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</si>
  <si>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</si>
  <si>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</si>
  <si>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</si>
  <si>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</si>
  <si>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</si>
  <si>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</si>
  <si>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</si>
  <si>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</si>
  <si>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</si>
  <si>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</si>
  <si>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</si>
  <si>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</si>
  <si>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</si>
  <si>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</si>
  <si>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</si>
  <si>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</si>
  <si>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</si>
  <si>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</si>
  <si>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</si>
  <si>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</si>
  <si>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</si>
  <si>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</si>
  <si>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</si>
  <si>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</si>
  <si>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</si>
  <si>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</si>
  <si>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</si>
  <si>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</si>
  <si>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</si>
  <si>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</si>
  <si>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</si>
  <si>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</si>
  <si>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</si>
  <si>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</si>
  <si>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</si>
  <si>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</si>
  <si>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</si>
  <si>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</si>
  <si>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</si>
  <si>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</si>
  <si>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</si>
  <si>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</si>
  <si>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</si>
  <si>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</si>
  <si>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</si>
  <si>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</si>
  <si>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</si>
  <si>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</si>
  <si>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</si>
  <si>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</si>
  <si>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</si>
  <si>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</si>
  <si>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</si>
  <si>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</si>
  <si>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</si>
  <si>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</si>
  <si>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</si>
  <si>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</si>
  <si>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</si>
  <si>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</si>
  <si>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</si>
  <si>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</si>
  <si>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</si>
  <si>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</si>
  <si>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</si>
  <si>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</si>
  <si>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</si>
  <si>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</si>
  <si>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</si>
  <si>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</si>
  <si>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</si>
  <si>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</si>
  <si>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</si>
  <si>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</si>
  <si>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</si>
  <si>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</si>
  <si>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</si>
  <si>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</si>
  <si>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</si>
  <si>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</si>
  <si>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</si>
  <si>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</si>
  <si>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</si>
  <si>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</si>
  <si>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</si>
  <si>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</si>
  <si>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</si>
  <si>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</si>
  <si>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</si>
  <si>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</si>
  <si>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</si>
  <si>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</si>
  <si>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</si>
  <si>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</si>
  <si>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</si>
  <si>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</si>
  <si>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</si>
  <si>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</si>
  <si>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</si>
  <si>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</si>
  <si>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</si>
  <si>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</si>
  <si>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</si>
  <si>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</si>
  <si>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</si>
  <si>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</si>
  <si>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</si>
  <si>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</si>
  <si>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</si>
  <si>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</si>
  <si>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</si>
  <si>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</si>
  <si>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</si>
  <si>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</si>
  <si>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</si>
  <si>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</si>
  <si>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</si>
  <si>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</si>
  <si>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</si>
  <si>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</si>
  <si>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</si>
  <si>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</si>
  <si>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</si>
  <si>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</si>
  <si>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</si>
  <si>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</si>
  <si>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</si>
  <si>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</si>
  <si>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</si>
  <si>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</si>
  <si>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</si>
  <si>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</si>
  <si>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</si>
  <si>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</si>
  <si>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</si>
  <si>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</si>
  <si>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</si>
  <si>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</si>
  <si>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</si>
  <si>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</si>
  <si>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</si>
  <si>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</si>
  <si>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</si>
  <si>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</si>
  <si>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</si>
  <si>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</si>
  <si>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</si>
  <si>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</si>
  <si>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</si>
  <si>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</si>
  <si>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</si>
  <si>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</si>
  <si>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</si>
  <si>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</si>
  <si>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</si>
  <si>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</si>
  <si>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</si>
  <si>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</si>
  <si>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</si>
  <si>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</si>
  <si>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</si>
  <si>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</si>
  <si>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</si>
  <si>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</si>
  <si>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</si>
  <si>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</si>
  <si>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</si>
  <si>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</si>
  <si>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</si>
  <si>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</si>
  <si>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</si>
  <si>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</si>
  <si>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</si>
  <si>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</si>
  <si>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</si>
  <si>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</si>
  <si>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</si>
  <si>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</si>
  <si>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</si>
  <si>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</si>
  <si>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</si>
  <si>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</si>
  <si>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</si>
  <si>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</si>
  <si>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</si>
  <si>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</si>
  <si>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</si>
  <si>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</si>
  <si>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</si>
  <si>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</si>
  <si>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</si>
  <si>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</si>
  <si>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</si>
  <si>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</si>
  <si>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</si>
  <si>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</si>
  <si>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</si>
  <si>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</si>
  <si>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</si>
  <si>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</si>
  <si>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</si>
  <si>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</si>
  <si>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</si>
  <si>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</si>
  <si>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</si>
  <si>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</si>
  <si>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</si>
  <si>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</si>
  <si>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</si>
  <si>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</si>
  <si>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</si>
  <si>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</si>
  <si>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</si>
  <si>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</si>
  <si>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</si>
  <si>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</si>
  <si>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</si>
  <si>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</si>
  <si>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</si>
  <si>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</si>
  <si>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</si>
  <si>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</si>
  <si>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</si>
  <si>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</si>
  <si>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</si>
  <si>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</si>
  <si>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</si>
  <si>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</si>
  <si>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</si>
  <si>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</si>
  <si>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</si>
  <si>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</si>
  <si>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</si>
  <si>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</si>
  <si>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</si>
  <si>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</si>
  <si>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</si>
  <si>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</si>
  <si>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</si>
  <si>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</si>
  <si>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</si>
  <si>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</si>
  <si>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</si>
  <si>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</si>
  <si>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</si>
  <si>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</si>
  <si>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</si>
  <si>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</si>
  <si>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</si>
  <si>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</si>
  <si>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</si>
  <si>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</si>
  <si>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</si>
  <si>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</si>
  <si>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</si>
  <si>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</si>
  <si>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</si>
  <si>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</si>
  <si>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</si>
  <si>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</si>
  <si>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</si>
  <si>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</si>
  <si>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</si>
  <si>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</si>
  <si>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</si>
  <si>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</si>
  <si>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</si>
  <si>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</si>
  <si>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</si>
  <si>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</si>
  <si>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</si>
  <si>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</si>
  <si>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</si>
  <si>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</si>
  <si>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</si>
  <si>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</si>
  <si>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</si>
  <si>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</si>
  <si>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</si>
  <si>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</si>
  <si>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</si>
  <si>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</si>
  <si>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</si>
  <si>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</si>
  <si>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</si>
  <si>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</si>
  <si>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</si>
  <si>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</si>
  <si>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</si>
  <si>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</si>
  <si>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</si>
  <si>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</si>
  <si>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</si>
  <si>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</si>
  <si>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</si>
  <si>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</si>
  <si>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</si>
  <si>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</si>
  <si>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</si>
  <si>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</si>
  <si>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</si>
  <si>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</si>
  <si>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</si>
  <si>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</si>
  <si>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</si>
  <si>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</si>
  <si>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</si>
  <si>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</si>
  <si>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</si>
  <si>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</si>
  <si>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</si>
  <si>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</si>
  <si>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</si>
  <si>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</si>
  <si>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</si>
  <si>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</si>
  <si>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</si>
  <si>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</si>
  <si>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</si>
  <si>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</si>
  <si>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</si>
  <si>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</si>
  <si>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</si>
  <si>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</si>
  <si>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</si>
  <si>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</si>
  <si>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</si>
  <si>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</si>
  <si>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</si>
  <si>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</si>
  <si>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</si>
  <si>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</si>
  <si>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</si>
  <si>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</si>
  <si>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</si>
  <si>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</si>
  <si>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</si>
  <si>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</si>
  <si>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</si>
  <si>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</si>
  <si>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</si>
  <si>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</si>
  <si>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</si>
  <si>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</si>
  <si>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</si>
  <si>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</si>
  <si>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</si>
  <si>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</si>
  <si>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</si>
  <si>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</si>
  <si>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</si>
  <si>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</si>
  <si>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</si>
  <si>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</si>
  <si>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</si>
  <si>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</si>
  <si>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</si>
  <si>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</si>
  <si>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</si>
  <si>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</si>
  <si>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</si>
  <si>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</si>
  <si>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</si>
  <si>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</si>
  <si>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</si>
  <si>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</si>
  <si>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</si>
  <si>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</si>
  <si>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</si>
  <si>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</si>
  <si>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</si>
  <si>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</si>
  <si>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</si>
  <si>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</si>
  <si>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</si>
  <si>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</si>
  <si>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</si>
  <si>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</si>
  <si>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</si>
  <si>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</si>
  <si>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</si>
  <si>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</si>
  <si>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</si>
  <si>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</si>
  <si>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</si>
  <si>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</si>
  <si>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</si>
  <si>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</si>
  <si>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</si>
  <si>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</si>
  <si>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</si>
  <si>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</si>
  <si>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</si>
  <si>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</si>
  <si>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</si>
  <si>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</si>
  <si>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</si>
  <si>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</si>
  <si>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</si>
  <si>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</si>
  <si>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</si>
  <si>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</si>
  <si>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</si>
  <si>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</si>
  <si>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</si>
  <si>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</si>
  <si>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</si>
  <si>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</si>
  <si>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</si>
  <si>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</si>
  <si>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</si>
  <si>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</si>
  <si>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</si>
  <si>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</si>
  <si>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</si>
  <si>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</si>
  <si>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</si>
  <si>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</si>
  <si>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</si>
  <si>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</si>
  <si>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</si>
  <si>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</si>
  <si>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</si>
  <si>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</si>
  <si>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</si>
  <si>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</si>
  <si>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</si>
  <si>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</si>
  <si>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</si>
  <si>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</si>
  <si>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</si>
  <si>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</si>
  <si>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</si>
  <si>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</si>
  <si>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</si>
  <si>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</si>
  <si>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</si>
  <si>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</si>
  <si>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</si>
  <si>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</si>
  <si>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</si>
  <si>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</si>
  <si>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</si>
  <si>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</si>
  <si>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</si>
  <si>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</si>
  <si>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</si>
  <si>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</si>
  <si>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</si>
  <si>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</si>
  <si>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</si>
  <si>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</si>
  <si>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</si>
  <si>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</si>
  <si>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</si>
  <si>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</si>
  <si>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</si>
  <si>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</si>
  <si>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</si>
  <si>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</si>
  <si>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</si>
  <si>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</si>
  <si>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</si>
  <si>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</si>
  <si>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</si>
  <si>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</si>
  <si>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</si>
  <si>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</si>
  <si>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</si>
  <si>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</si>
  <si>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</si>
  <si>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</si>
  <si>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</si>
  <si>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</si>
  <si>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</si>
  <si>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</si>
  <si>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</si>
  <si>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</si>
  <si>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</si>
  <si>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</si>
  <si>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</si>
  <si>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</si>
  <si>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</si>
  <si>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</si>
  <si>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</si>
  <si>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</si>
  <si>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</si>
  <si>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</si>
  <si>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</si>
  <si>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</si>
  <si>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</si>
  <si>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</si>
  <si>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</si>
  <si>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</si>
  <si>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</si>
  <si>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</si>
  <si>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</si>
  <si>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</si>
  <si>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</si>
  <si>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</si>
  <si>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</si>
  <si>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</si>
  <si>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</si>
  <si>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</si>
  <si>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</si>
  <si>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</si>
  <si>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</si>
  <si>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</si>
  <si>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</si>
  <si>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</si>
  <si>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</si>
  <si>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</si>
  <si>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</si>
  <si>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</si>
  <si>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</si>
  <si>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</si>
  <si>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</si>
  <si>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</si>
  <si>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</si>
  <si>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</si>
  <si>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</si>
  <si>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</si>
  <si>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</si>
  <si>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</si>
  <si>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</si>
  <si>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</si>
  <si>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</si>
  <si>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</si>
  <si>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</si>
  <si>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</si>
  <si>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</si>
  <si>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</si>
  <si>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</si>
  <si>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</si>
  <si>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</si>
  <si>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</si>
  <si>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</si>
  <si>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</si>
  <si>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</si>
  <si>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</si>
  <si>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</si>
  <si>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</si>
  <si>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</si>
  <si>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</si>
  <si>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</si>
  <si>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</si>
  <si>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</si>
  <si>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</si>
  <si>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</si>
  <si>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</si>
  <si>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</si>
  <si>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</si>
  <si>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</si>
  <si>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</si>
  <si>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</si>
  <si>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</si>
  <si>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</si>
  <si>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</si>
  <si>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</si>
  <si>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</si>
  <si>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</si>
  <si>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</si>
  <si>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</si>
  <si>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</si>
  <si>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</si>
  <si>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</si>
  <si>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</si>
  <si>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</si>
  <si>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</si>
  <si>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</si>
  <si>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</si>
  <si>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</si>
  <si>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</si>
  <si>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</si>
  <si>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</si>
  <si>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</si>
  <si>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</si>
  <si>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</si>
  <si>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</si>
  <si>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</si>
  <si>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</si>
  <si>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</si>
  <si>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</si>
  <si>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</si>
  <si>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</si>
  <si>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</si>
  <si>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</si>
  <si>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</si>
  <si>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</si>
  <si>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</si>
  <si>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</si>
  <si>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</si>
  <si>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</si>
  <si>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</si>
  <si>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</si>
  <si>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</si>
  <si>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</si>
  <si>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</si>
  <si>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</si>
  <si>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</si>
  <si>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</si>
  <si>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</si>
  <si>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</si>
  <si>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</si>
  <si>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</si>
  <si>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</si>
  <si>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</si>
  <si>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</si>
  <si>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</si>
  <si>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</si>
  <si>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</si>
  <si>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</si>
  <si>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</si>
  <si>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</si>
  <si>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</si>
  <si>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</si>
  <si>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</si>
  <si>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</si>
  <si>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</si>
  <si>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</si>
  <si>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</si>
  <si>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</si>
  <si>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</si>
  <si>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</si>
  <si>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</si>
  <si>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</si>
  <si>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</si>
  <si>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</si>
  <si>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</si>
  <si>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</si>
  <si>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</si>
  <si>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</si>
  <si>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</si>
  <si>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</si>
  <si>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</si>
  <si>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</si>
  <si>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</si>
  <si>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</si>
  <si>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</si>
  <si>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</si>
  <si>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</si>
  <si>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</si>
  <si>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</si>
  <si>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</si>
  <si>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</si>
  <si>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</si>
  <si>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</si>
  <si>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</si>
  <si>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</si>
  <si>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</si>
  <si>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</si>
  <si>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</si>
  <si>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</si>
  <si>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</si>
  <si>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</si>
  <si>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</si>
  <si>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</si>
  <si>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</si>
  <si>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</si>
  <si>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</si>
  <si>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</si>
  <si>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</si>
  <si>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</si>
  <si>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1层</t>
    <phoneticPr fontId="140" type="noConversion"/>
  </si>
  <si>
    <t>2层</t>
    <phoneticPr fontId="140" type="noConversion"/>
  </si>
  <si>
    <t>3层</t>
    <phoneticPr fontId="140" type="noConversion"/>
  </si>
  <si>
    <t>4层</t>
  </si>
  <si>
    <t>5层</t>
  </si>
  <si>
    <t>6层</t>
  </si>
  <si>
    <t>建筑面积</t>
    <phoneticPr fontId="140" type="noConversion"/>
  </si>
  <si>
    <t>楼层</t>
    <phoneticPr fontId="140" type="noConversion"/>
  </si>
  <si>
    <t>合计</t>
    <phoneticPr fontId="140" type="noConversion"/>
  </si>
  <si>
    <t>南京汇悦酒店管理有限公司</t>
    <phoneticPr fontId="140" type="noConversion"/>
  </si>
  <si>
    <t>用途：科教用地（科技研发）/其他服务设施</t>
    <phoneticPr fontId="140" type="noConversion"/>
  </si>
  <si>
    <t>终止日期：2061年12月4日</t>
    <phoneticPr fontId="140" type="noConversion"/>
  </si>
  <si>
    <t>账面值</t>
    <phoneticPr fontId="140" type="noConversion"/>
  </si>
  <si>
    <t>苏（2018）宁栖不动产权第0011042号</t>
    <phoneticPr fontId="140" type="noConversion"/>
  </si>
  <si>
    <t>2018年评估值</t>
    <phoneticPr fontId="140"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</si>
  <si>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</si>
  <si>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</si>
  <si>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</si>
  <si>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</si>
  <si>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</si>
  <si>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</si>
  <si>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</si>
  <si>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</si>
  <si>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</si>
  <si>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</si>
  <si>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</si>
  <si>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</si>
  <si>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</si>
  <si>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</si>
  <si>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</si>
  <si>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</si>
  <si>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</si>
  <si>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</si>
  <si>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</si>
  <si>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</si>
  <si>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</si>
  <si>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</si>
  <si>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</si>
  <si>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</si>
  <si>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</si>
  <si>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</si>
  <si>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</si>
  <si>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</si>
  <si>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</si>
  <si>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</si>
  <si>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</si>
  <si>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</si>
  <si>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</si>
  <si>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</si>
  <si>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</si>
  <si>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</si>
  <si>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</si>
  <si>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</si>
  <si>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</si>
  <si>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</si>
  <si>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</si>
  <si>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</si>
  <si>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</si>
  <si>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</si>
  <si>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</si>
  <si>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</si>
  <si>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</si>
  <si>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</si>
  <si>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</si>
  <si>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</si>
  <si>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鼓楼区水吉路以东、丽地路以北地块(NJZCb022-02-05)</t>
  </si>
  <si>
    <t>南京市</t>
  </si>
  <si>
    <t>No.宁2022Y07</t>
  </si>
  <si>
    <t xml:space="preserve"> 江苏省</t>
  </si>
  <si>
    <t xml:space="preserve"> 栖霞区</t>
  </si>
  <si>
    <t xml:space="preserve"> --</t>
  </si>
  <si>
    <t xml:space="preserve"> 鼓楼区水吉路以东、丽地路以北地块(NJZCb022-02-05),东至规划02-06地块,南至丽地路,西至水吉路,北至闻经路。</t>
  </si>
  <si>
    <t xml:space="preserve"> 其它用地</t>
  </si>
  <si>
    <t xml:space="preserve"> ≥2.2,≤2.3</t>
  </si>
  <si>
    <t xml:space="preserve"> 挂牌</t>
  </si>
  <si>
    <t xml:space="preserve"> 科研用地</t>
  </si>
  <si>
    <t xml:space="preserve">-- </t>
  </si>
  <si>
    <t xml:space="preserve"> -- </t>
  </si>
  <si>
    <t xml:space="preserve"> ≤24</t>
  </si>
  <si>
    <t xml:space="preserve"> 南京市本级挂[2022]年宁研第05号</t>
  </si>
  <si>
    <t xml:space="preserve"> 已成交</t>
  </si>
  <si>
    <t xml:space="preserve"> 南京中建鼓北城市发展有限公司  </t>
  </si>
  <si>
    <t>2022-08-03 16:00</t>
  </si>
  <si>
    <t xml:space="preserve"> 50年</t>
  </si>
  <si>
    <t>栖霞区南京经济技术开发区经十一路以东、恒广路以南地块(NJDBa010-05)</t>
  </si>
  <si>
    <t>No.宁2022Y06</t>
  </si>
  <si>
    <t xml:space="preserve"> 新尧</t>
  </si>
  <si>
    <t xml:space="preserve"> 栖霞区南京经济技术开发区经十一路以东、恒广路以南地块(NJDBa010-05),东至规划经十一支路,南至现状,西至规划经十一路,北至恒广路。</t>
  </si>
  <si>
    <t xml:space="preserve"> ≥2.5,≤3</t>
  </si>
  <si>
    <t xml:space="preserve"> ≤40%</t>
  </si>
  <si>
    <t xml:space="preserve"> ≤100</t>
  </si>
  <si>
    <t xml:space="preserve"> 南京市本级挂[2022]年宁研第04号</t>
  </si>
  <si>
    <t xml:space="preserve"> 南京新港产业投资发展有限公司  </t>
  </si>
  <si>
    <t>2022-08-01 16:00</t>
  </si>
  <si>
    <t>纬地路北侧地块(EAc030-02-09)</t>
  </si>
  <si>
    <t>No.宁2022Y02</t>
  </si>
  <si>
    <t xml:space="preserve"> 仙林湖</t>
  </si>
  <si>
    <t xml:space="preserve"> 纬地路北侧地块(EAc030-02-09),东至国有土地,南至纬地路,西至国有土地,北至国有土地。</t>
  </si>
  <si>
    <t xml:space="preserve"> ≤1.8</t>
  </si>
  <si>
    <t xml:space="preserve"> ≤30%</t>
  </si>
  <si>
    <t xml:space="preserve"> 南京市本级挂[2022]年宁研第02号</t>
  </si>
  <si>
    <t xml:space="preserve"> 南京科默生物医药有限公司  </t>
  </si>
  <si>
    <t>2022-05-23 16:00</t>
  </si>
  <si>
    <t>栖霞区南京经济技术开发区恒广路以南、经十八路以东地块(NJDBa010-14)</t>
  </si>
  <si>
    <t>No.宁2022Y03</t>
  </si>
  <si>
    <t xml:space="preserve"> 栖霞区南京经济技术开发区恒广路以南、经十八路以东地块(NJDBa010-14),东至国有土地,南至规划纬六路,西至规划经十八路,北至恒广路。</t>
  </si>
  <si>
    <t xml:space="preserve"> ≤80</t>
  </si>
  <si>
    <t xml:space="preserve"> 南京经开区国有资产运营有限公司  </t>
  </si>
  <si>
    <t>栖霞区南京经济技术开发区仙新路以西、恒广路以南地块(NJDBa010-14)</t>
  </si>
  <si>
    <t>No.宁2022GY05</t>
  </si>
  <si>
    <t xml:space="preserve"> 栖霞区南京经济技术开发区仙新路以西、恒广路以南地块(NJDBa010-14),东至仙新路,南至国有土地,西至国有土地,北至恒广路。</t>
  </si>
  <si>
    <t xml:space="preserve"> 南京市本级工挂[2022]年宁工第02号</t>
  </si>
  <si>
    <t xml:space="preserve"> 江苏龙蟠科技股份有限公司  </t>
  </si>
  <si>
    <t>2022-04-12 16:00</t>
  </si>
  <si>
    <t>栖霞区太平山公园西侧地块</t>
  </si>
  <si>
    <t>No.宁2020GY06</t>
  </si>
  <si>
    <t xml:space="preserve"> 栖霞区太平山公园西侧地块</t>
  </si>
  <si>
    <t xml:space="preserve"> 科教用地</t>
  </si>
  <si>
    <t xml:space="preserve"> ≤24m</t>
  </si>
  <si>
    <t xml:space="preserve"> 2020年宁工第04号</t>
  </si>
  <si>
    <t xml:space="preserve"> 南京尧智汇科技产业发展有限公司  </t>
  </si>
  <si>
    <t>2020-10-09 16:00</t>
  </si>
  <si>
    <t>栖霞区仙林街道大浦塘北侧养老地块</t>
  </si>
  <si>
    <t>NO.2020G25</t>
  </si>
  <si>
    <t xml:space="preserve"> 灵山</t>
  </si>
  <si>
    <t xml:space="preserve"> 栖霞区仙林街道大浦塘北侧养老地块</t>
  </si>
  <si>
    <t xml:space="preserve"> ≤1.1</t>
  </si>
  <si>
    <t xml:space="preserve"> A6社会福利用地</t>
  </si>
  <si>
    <t xml:space="preserve"> ≤30</t>
  </si>
  <si>
    <t xml:space="preserve"> ≤15</t>
  </si>
  <si>
    <t xml:space="preserve"> 2020年宁出第06号</t>
  </si>
  <si>
    <t xml:space="preserve"> 中国太平洋人寿保险股份有限公司  </t>
  </si>
  <si>
    <t>2020-07-02 16:00</t>
  </si>
  <si>
    <t>栖霞区仙林街道灵山养老社区地块</t>
  </si>
  <si>
    <t>NO.2020G09</t>
  </si>
  <si>
    <t xml:space="preserve"> 栖霞区仙林街道灵山养老社区地块</t>
  </si>
  <si>
    <t xml:space="preserve"> ≤1.05</t>
  </si>
  <si>
    <t xml:space="preserve"> ≤35%</t>
  </si>
  <si>
    <t xml:space="preserve"> ≤18.5</t>
  </si>
  <si>
    <t xml:space="preserve"> 2020年宁出第03号</t>
  </si>
  <si>
    <t xml:space="preserve"> 南京泰康之家养老服务有限公司  </t>
  </si>
  <si>
    <t xml:space="preserve"> 泰康保险集团</t>
  </si>
  <si>
    <t>2020-04-28 16:00</t>
  </si>
  <si>
    <t>栖霞区仙林街道学子路南延东侧地块</t>
  </si>
  <si>
    <t>NO.2019G100</t>
  </si>
  <si>
    <t xml:space="preserve"> 栖霞区仙林街道学子路南延东侧地块</t>
  </si>
  <si>
    <t xml:space="preserve"> 1.0≤far≤1.25</t>
  </si>
  <si>
    <t xml:space="preserve"> ≤45%</t>
  </si>
  <si>
    <t xml:space="preserve"> 2019年宁出第13号</t>
  </si>
  <si>
    <t xml:space="preserve"> 南京泰医医疗管理有限公司  </t>
  </si>
  <si>
    <t>2019-12-30 16:00</t>
  </si>
  <si>
    <t>栖霞区燕子矶街道经五路二期东侧科教地块</t>
  </si>
  <si>
    <t>NO.2019G43</t>
  </si>
  <si>
    <t xml:space="preserve"> 燕子矶</t>
  </si>
  <si>
    <t xml:space="preserve"> 东至山水苑住宅小区,南至燕尧路,西至泰晤士国际学校,北至神农路。</t>
  </si>
  <si>
    <t xml:space="preserve"> ≤2.0</t>
  </si>
  <si>
    <t xml:space="preserve"> A3教育科研用地</t>
  </si>
  <si>
    <t xml:space="preserve"> 2019年宁出第06号</t>
  </si>
  <si>
    <t xml:space="preserve"> 南京泰晤士学校  </t>
  </si>
  <si>
    <t>2019-08-06 16:00</t>
  </si>
  <si>
    <t>栖霞区尧化村地块</t>
  </si>
  <si>
    <t>No.宁2018GY14</t>
  </si>
  <si>
    <t xml:space="preserve"> 北至宁芜铁路、东南西均至栖霞区尧化街道尧化村集体土地</t>
  </si>
  <si>
    <t xml:space="preserve"> 容积率≤1.30</t>
  </si>
  <si>
    <t xml:space="preserve"> 南京市本级工挂[2018]宁工第07号</t>
  </si>
  <si>
    <t xml:space="preserve"> 杭州恒生科技园运营管理有限公司  </t>
  </si>
  <si>
    <t>南京经济技术开发区湖圣路东侧D地块</t>
  </si>
  <si>
    <t>No.宁2016GY04</t>
  </si>
  <si>
    <t xml:space="preserve"> 汤山</t>
  </si>
  <si>
    <t xml:space="preserve"> 东至西岗桦墅社区,南至西岗桦墅社区,西至西岗桦墅社区,北至西岗桦墅社区</t>
  </si>
  <si>
    <t xml:space="preserve"> ≤2.50</t>
  </si>
  <si>
    <t xml:space="preserve"> 公共设施用地</t>
  </si>
  <si>
    <t xml:space="preserve"> ≤50%</t>
  </si>
  <si>
    <t xml:space="preserve"> ≤36</t>
  </si>
  <si>
    <t xml:space="preserve"> 宁工[2016]01号-4</t>
  </si>
  <si>
    <t xml:space="preserve"> 南京健然农业科技有限公司  </t>
  </si>
  <si>
    <t>南京经济技术开发区湖圣路东侧A地块</t>
  </si>
  <si>
    <t>No.宁2016GY01</t>
  </si>
  <si>
    <t xml:space="preserve"> 东至西岗桦墅社区,南至江宁区,西至江宁区、栖霞区西岗桦墅社区,北至西岗桦墅社区</t>
  </si>
  <si>
    <t xml:space="preserve"> ≤1.50</t>
  </si>
  <si>
    <t xml:space="preserve"> 宁工[2016]01号-1</t>
  </si>
  <si>
    <t>南京经济技术开发区湖圣路东侧C地块</t>
  </si>
  <si>
    <t>No.宁2016GY03</t>
  </si>
  <si>
    <t xml:space="preserve"> 东至西岗街道桦墅社区,南至西岗桦墅社区,西至西岗桦墅社区,北至西岗桦墅社区</t>
  </si>
  <si>
    <t xml:space="preserve"> ≤1</t>
  </si>
  <si>
    <t xml:space="preserve"> 宁工[2016]01号-3</t>
  </si>
  <si>
    <t>南京经济技术开发区湖圣路东侧B地块</t>
  </si>
  <si>
    <t>No.宁2016GY02</t>
  </si>
  <si>
    <t xml:space="preserve"> ≤2</t>
  </si>
  <si>
    <t xml:space="preserve"> 宁工[2016]01号-2</t>
  </si>
  <si>
    <t>紫金(新港)科技创业特别社区管理委员会李家山路西侧地块</t>
  </si>
  <si>
    <t>No.宁2015GY36</t>
  </si>
  <si>
    <t xml:space="preserve"> 栖霞山</t>
  </si>
  <si>
    <t xml:space="preserve"> 紫金(新港)科技创业特别社区管理委员会李家山路西侧地块</t>
  </si>
  <si>
    <t xml:space="preserve"> 容积率≤2.60</t>
  </si>
  <si>
    <t xml:space="preserve"> ≤35m</t>
  </si>
  <si>
    <t xml:space="preserve"> 宁工[2015]11号-3</t>
  </si>
  <si>
    <t xml:space="preserve"> 南京紫金(新港)科技创业特别社区建设发展有限公司  </t>
  </si>
  <si>
    <t>紫金(新港)科技创业特别社区管理委员会科创路东侧地块</t>
  </si>
  <si>
    <t>No.宁2015GY27</t>
  </si>
  <si>
    <t xml:space="preserve"> 东至李家山路,南至九龙山路,西至科创路,北至沪宁铁路</t>
  </si>
  <si>
    <t xml:space="preserve"> ≤2.20</t>
  </si>
  <si>
    <t xml:space="preserve"> ≤60</t>
  </si>
  <si>
    <t xml:space="preserve"> 宁工〔2015〕09号-3</t>
  </si>
  <si>
    <t>高新区2015gx-k001地块</t>
  </si>
  <si>
    <t>No.宁 2015GY16</t>
  </si>
  <si>
    <t xml:space="preserve"> 高新区2015gx-k001地块</t>
  </si>
  <si>
    <t xml:space="preserve"> ≤2..0</t>
  </si>
  <si>
    <t xml:space="preserve"> ≥35%</t>
  </si>
  <si>
    <t xml:space="preserve"> 宁工〔2015〕04号-2</t>
  </si>
  <si>
    <t xml:space="preserve"> 南京软件园经济发展有限公司  </t>
  </si>
  <si>
    <t xml:space="preserve"> 江北新区产业投资集团</t>
  </si>
  <si>
    <t>栖霞区仙林大学城麒麟片区临汾旅西侧科研地块</t>
  </si>
  <si>
    <t>No.宁 2015GY15</t>
  </si>
  <si>
    <t xml:space="preserve"> 栖霞区仙林大学城麒麟片区临汾旅西侧科研地块</t>
  </si>
  <si>
    <t xml:space="preserve"> 1.5≤容积率≤2.30</t>
  </si>
  <si>
    <t xml:space="preserve"> 科教用地(科技研发)</t>
  </si>
  <si>
    <t xml:space="preserve"> ≥30%</t>
  </si>
  <si>
    <t xml:space="preserve"> 宁工〔2015〕04号-1</t>
  </si>
  <si>
    <t xml:space="preserve"> 中国电子科技集团公司第二十八研究所  </t>
  </si>
  <si>
    <t>栖霞区仙尧路北侧二期地块</t>
  </si>
  <si>
    <t>NO.2014G44</t>
  </si>
  <si>
    <t xml:space="preserve"> 东至现状道路,南至南京大公机动车驾驶员培训学校有限公司一期用地,西至宁芜铁路,北至沪宁城际铁路。</t>
  </si>
  <si>
    <t xml:space="preserve"> 综合容积率:1.79</t>
  </si>
  <si>
    <t xml:space="preserve"> 特殊教育用地</t>
  </si>
  <si>
    <t xml:space="preserve"> 2014年第11号-1</t>
  </si>
  <si>
    <t xml:space="preserve"> 南京大公机动车驾驶员培训学校有限公司  </t>
  </si>
  <si>
    <t>南京栖霞区学府路以西科研设计地块</t>
  </si>
  <si>
    <t>No.宁2014GY26</t>
  </si>
  <si>
    <t xml:space="preserve"> 东至王子楼村集体土地、国有空地,南至国有空地,西至道路,北至国有空地</t>
  </si>
  <si>
    <t xml:space="preserve"> 1.1≤r≤1.5</t>
  </si>
  <si>
    <t xml:space="preserve"> 科教用地(科研设计)</t>
  </si>
  <si>
    <t xml:space="preserve"> ≤35</t>
  </si>
  <si>
    <t xml:space="preserve"> ≤18</t>
  </si>
  <si>
    <t xml:space="preserve"> 宁工〔2014〕7号-1</t>
  </si>
  <si>
    <t xml:space="preserve"> 南京能瑞自动化设备股份有限公司  </t>
  </si>
  <si>
    <t>马群科技园P地块</t>
  </si>
  <si>
    <t>No.宁2013GY38</t>
  </si>
  <si>
    <t xml:space="preserve"> 东至上海铁路局,南至南京嘉元腾电力科技有限公司、天马路,西至天马路,北至国有空地</t>
  </si>
  <si>
    <t xml:space="preserve"> 1.2≤r≤1.5</t>
  </si>
  <si>
    <t xml:space="preserve"> 宁工〔2013〕14号</t>
  </si>
  <si>
    <t xml:space="preserve"> 南京建祥工程实业有限公司  </t>
  </si>
  <si>
    <t>恒泰路以南、仙新路以东地块</t>
  </si>
  <si>
    <t>No.宁2013GY41</t>
  </si>
  <si>
    <t xml:space="preserve"> 东至南京高科股份有限公司,南至弓箭玻璃器皿(南京)有限公司,西至仙新路,北至恒泰路</t>
  </si>
  <si>
    <t xml:space="preserve"> 1≤r≤4.5</t>
  </si>
  <si>
    <t>栖霞区迈皋桥合班村302号地块</t>
  </si>
  <si>
    <t>No.宁2013GY40</t>
  </si>
  <si>
    <t xml:space="preserve"> 东至中国能源建设集团江苏省电力建设第一工程公司,南至祥和佳园住宅小区,西至南京栖霞建设股份有限公司,北至中国能源建设集团江苏省电力建设第一工程公司</t>
  </si>
  <si>
    <t xml:space="preserve"> 1.2≤r≤2.5</t>
  </si>
  <si>
    <t xml:space="preserve"> 江苏省电力公司  </t>
  </si>
  <si>
    <t>仙林软件与服务外包产业园鲤鱼山D地块</t>
  </si>
  <si>
    <t>No.宁2013GY35</t>
  </si>
  <si>
    <t xml:space="preserve"> 东至栖霞区林山村集体土地,南至国有空地、栖霞区林山村集体土地,西至国有空地,北至道路</t>
  </si>
  <si>
    <t xml:space="preserve"> ≤3.8</t>
  </si>
  <si>
    <t xml:space="preserve"> 宁工〔2013〕12号</t>
  </si>
  <si>
    <t xml:space="preserve"> 南京紫金(仙林)科技创业特别社区建设发展有限公司  </t>
  </si>
  <si>
    <t>仙林软件与服务外包产业园北片区鲤鱼山E地块</t>
  </si>
  <si>
    <t>No.宁2013GY31</t>
  </si>
  <si>
    <t xml:space="preserve"> 东至规划道路,南至栖霞区林山村集体土地、国有空地,西至元化路,北至道路</t>
  </si>
  <si>
    <t xml:space="preserve"> ≤4.3</t>
  </si>
  <si>
    <t xml:space="preserve"> 宁工〔2013〕11号</t>
  </si>
  <si>
    <t>栖霞区仙林中心区羊山湖以北加油站地块</t>
  </si>
  <si>
    <t>NO.2013G15</t>
  </si>
  <si>
    <t xml:space="preserve"> 仙林中心</t>
  </si>
  <si>
    <t xml:space="preserve"> 东至白家山,南至白家山,西至仙境路,北至白家山公墓。</t>
  </si>
  <si>
    <t xml:space="preserve"> ≤0.5</t>
  </si>
  <si>
    <t xml:space="preserve"> 公共加油站用地</t>
  </si>
  <si>
    <t xml:space="preserve"> ≤9.5</t>
  </si>
  <si>
    <t xml:space="preserve"> 2013年第06号-1</t>
  </si>
  <si>
    <t xml:space="preserve"> 南京澳通石油化工产品储运有限公司  </t>
  </si>
  <si>
    <t>大浦塘西侧一号地块</t>
  </si>
  <si>
    <t>No.宁2013GY10</t>
  </si>
  <si>
    <t xml:space="preserve"> 东至国有空地、规划道路,南至规划道路,西至规划道路,北至灵山北路</t>
  </si>
  <si>
    <t xml:space="preserve"> ≤1.5</t>
  </si>
  <si>
    <t xml:space="preserve"> 宁工〔2013〕4号-1</t>
  </si>
  <si>
    <t xml:space="preserve"> 江苏兰德数码科技有限公司  </t>
  </si>
  <si>
    <t>南京金港科技创业中心二期</t>
  </si>
  <si>
    <t>No.宁2012GY60</t>
  </si>
  <si>
    <t xml:space="preserve"> 东至南京金港投资有限公司一期用地,南至国有空地,西至仙新路,北至国有空地</t>
  </si>
  <si>
    <t xml:space="preserve"> ≤3.0</t>
  </si>
  <si>
    <t xml:space="preserve"> ≤50</t>
  </si>
  <si>
    <t xml:space="preserve"> 南京市国有建设用地使用权公开出让公告宁工〔2012〕20号-4</t>
  </si>
  <si>
    <t xml:space="preserve"> 南京金港投资有限公司  </t>
  </si>
  <si>
    <t>长江以南、龙潭港一期以西地块</t>
  </si>
  <si>
    <t>No.宁2012GY59</t>
  </si>
  <si>
    <t xml:space="preserve"> 东至南京港有限公司等,西至南京市长江河道管理处,北至国有空地</t>
  </si>
  <si>
    <t xml:space="preserve"> 港口码头用地</t>
  </si>
  <si>
    <t xml:space="preserve"> 南京市国有建设用地使用权公开出让公告宁工〔2012〕20号-3</t>
  </si>
  <si>
    <t xml:space="preserve"> 南京港龙潭集装箱有限公司  </t>
  </si>
  <si>
    <t>紫金(玄武)科技创业特别社区聚宝山地块聚慧园项目</t>
  </si>
  <si>
    <t>No.宁2012GY57</t>
  </si>
  <si>
    <t xml:space="preserve"> 东至尧仙公路、南至玄武大道、西至新华日报、北至国有空地</t>
  </si>
  <si>
    <t xml:space="preserve"> ≤4.0</t>
  </si>
  <si>
    <t xml:space="preserve"> 南京市国有建设用地使用权公开出让公告宁工〔2012〕20号-1</t>
  </si>
  <si>
    <t xml:space="preserve"> 南京紫金(玄武)科技创业特别社区建设发展有限公司  </t>
  </si>
  <si>
    <t>疏港路以北、龙潭港一期以西地块</t>
  </si>
  <si>
    <t>No.宁2012GY58</t>
  </si>
  <si>
    <t xml:space="preserve"> 东至南京港(集团)有限公司,南至国有空地,西(104-112)号界址点至三官村集体土地,(112-113)号界址点至南京市长江河道管理处,(113-117)号点至三官村集体土地,北至南京市长江河道管理处</t>
  </si>
  <si>
    <t xml:space="preserve"> 南京市国有建设用地使用权公开出让公告宁工〔2012〕20号-2</t>
  </si>
  <si>
    <t>恒竞路以南、恒飞路以北、兴智路以东地块</t>
  </si>
  <si>
    <t>No.宁2012GY44</t>
  </si>
  <si>
    <t xml:space="preserve"> 东至南京新港高科技股份有限公司、南京紫金数字设备有限公司,南至恒发路,西至南京出口加工区中外运物流有限公司办公大楼,北至恒竞路</t>
  </si>
  <si>
    <t xml:space="preserve"> ≥1.2且≤5</t>
  </si>
  <si>
    <t xml:space="preserve"> 科教用地(生产研发)</t>
  </si>
  <si>
    <t xml:space="preserve"> ≤55%</t>
  </si>
  <si>
    <t>栖霞区栖霞大道与仙林路夹角加油站地块</t>
  </si>
  <si>
    <t>NO.2012G17</t>
  </si>
  <si>
    <t xml:space="preserve"> 东至现状;北至栖霞大道;西南至仙新路。</t>
  </si>
  <si>
    <t xml:space="preserve"> ≤0.4</t>
  </si>
  <si>
    <t xml:space="preserve"> 南京元通物资服务有限公司  </t>
  </si>
  <si>
    <t>栖霞区龙潭街道疏港大道1号十月加油站地块</t>
  </si>
  <si>
    <t>NO.2012G13</t>
  </si>
  <si>
    <t xml:space="preserve"> 龙潭</t>
  </si>
  <si>
    <t xml:space="preserve"> 西北至疏港大道;东南至南京中建钢结构公司;东北至现状;西南至现状。</t>
  </si>
  <si>
    <t>八卦洲大同生态产业园A地块</t>
  </si>
  <si>
    <t>No.宁2012GY13</t>
  </si>
  <si>
    <t xml:space="preserve"> 东至南京市栖霞区人民政府八卦洲办事处用地;南至西延路;西至道路;北至道路。</t>
  </si>
  <si>
    <t xml:space="preserve"> ≤1.3</t>
  </si>
  <si>
    <t xml:space="preserve"> 南京武家嘴船舶制造有限公司  </t>
  </si>
  <si>
    <t>南京经济技术开发区东区府前路地块</t>
  </si>
  <si>
    <t>No.宁2012GY12</t>
  </si>
  <si>
    <t xml:space="preserve"> 东至空地;南至空地;西至空地;北至龙锦路。</t>
  </si>
  <si>
    <t xml:space="preserve"> 江苏林爵黄金有限公司  </t>
  </si>
  <si>
    <t>栖霞区尧化街道尧仙路北侧</t>
  </si>
  <si>
    <t>NO.2011G58</t>
  </si>
  <si>
    <t xml:space="preserve"> 栖霞区尧化街道尧仙路北侧</t>
  </si>
  <si>
    <t xml:space="preserve"> 特殊学校用地</t>
  </si>
  <si>
    <t>栖霞区马群科技园L地块</t>
  </si>
  <si>
    <t>No.宁2011GY54</t>
  </si>
  <si>
    <t xml:space="preserve"> 东至宁芜铁路;南至江苏远锦投资集团公司;西至天马路;北至空地。</t>
  </si>
  <si>
    <t xml:space="preserve"> r≤1.5</t>
  </si>
  <si>
    <t xml:space="preserve"> 科教用地(通用设备制造业生产研发)</t>
  </si>
  <si>
    <t xml:space="preserve"> 南京斯诺威尔流体技术有限公司  </t>
  </si>
  <si>
    <t>南京市仙林新市区白象片区南大科学园地块</t>
  </si>
  <si>
    <t>No.宁2011GY51</t>
  </si>
  <si>
    <t xml:space="preserve"> 东至元化路,南至南京大学仙林校区,西至九乡河路,北至纬地路</t>
  </si>
  <si>
    <t xml:space="preserve"> 科教用地(信息电子、通讯、光电显示、环保科技类研发)</t>
  </si>
  <si>
    <t xml:space="preserve"> 南京仙林大学城科技园有限公司  </t>
  </si>
  <si>
    <t>栖霞区栖霞街道摄山村</t>
  </si>
  <si>
    <t>No.宁2008GY18</t>
  </si>
  <si>
    <t xml:space="preserve"> 栖霞区栖霞街道摄山村</t>
  </si>
  <si>
    <t xml:space="preserve"> ≤21米</t>
  </si>
  <si>
    <t>出让</t>
  </si>
  <si>
    <t>抵押</t>
  </si>
  <si>
    <t>房地产抵押价值</t>
  </si>
  <si>
    <t>其他：</t>
  </si>
  <si>
    <t>企业</t>
  </si>
  <si>
    <t>是</t>
  </si>
  <si>
    <t>地上</t>
  </si>
  <si>
    <t>酒店</t>
  </si>
  <si>
    <t>酒店</t>
    <phoneticPr fontId="7" type="noConversion"/>
  </si>
  <si>
    <t>成新度</t>
  </si>
  <si>
    <t>利息：取LPR加浮动点数</t>
  </si>
  <si>
    <t>成本法</t>
  </si>
  <si>
    <t>收益法</t>
  </si>
  <si>
    <t>押一</t>
  </si>
  <si>
    <t>按房产原值计税</t>
  </si>
  <si>
    <t>未包含在土地购买价格中</t>
  </si>
  <si>
    <t>已包含在土地取得成本中</t>
  </si>
  <si>
    <t>江苏省南京市</t>
    <phoneticPr fontId="6" type="noConversion"/>
  </si>
  <si>
    <t>栖霞区元化路8号2幢101室</t>
    <phoneticPr fontId="6" type="noConversion"/>
  </si>
  <si>
    <t>科研</t>
  </si>
  <si>
    <t>科研</t>
    <phoneticPr fontId="31" type="noConversion"/>
  </si>
  <si>
    <t>科教</t>
  </si>
  <si>
    <t>科教</t>
    <phoneticPr fontId="31" type="noConversion"/>
  </si>
  <si>
    <t>综合</t>
  </si>
  <si>
    <t>较好</t>
  </si>
  <si>
    <t>一般</t>
  </si>
  <si>
    <t>好</t>
  </si>
  <si>
    <t>六通</t>
  </si>
  <si>
    <t>收益法-酒店模型</t>
  </si>
  <si>
    <t>总价</t>
  </si>
  <si>
    <t>成本比率</t>
  </si>
  <si>
    <t>情况4</t>
  </si>
  <si>
    <t>正常</t>
  </si>
  <si>
    <t>转让取得</t>
  </si>
  <si>
    <t>非个人房产</t>
  </si>
  <si>
    <t>购房发票</t>
  </si>
  <si>
    <t>2016年5月1日后购买</t>
  </si>
  <si>
    <t>较规则</t>
  </si>
  <si>
    <t>较规则</t>
    <phoneticPr fontId="31" type="noConversion"/>
  </si>
  <si>
    <t>较适宜</t>
  </si>
  <si>
    <t>较适宜</t>
    <phoneticPr fontId="31" type="noConversion"/>
  </si>
  <si>
    <t>较差</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</si>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</sst>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
      <sz val="10"/>
      <color rgb="FFFF0000"/>
      <name val="宋体"/>
      <family val="2"/>
      <scheme val="minor"/>
    </font>
    <font>
      <sz val="10"/>
      <color rgb="FFFF0000"/>
      <name val="宋体"/>
      <family val="3"/>
      <charset val="134"/>
      <scheme val="minor"/>
    </font>
    <font>
      <sz val="10"/>
      <name val="宋体"/>
      <family val="2"/>
      <scheme val="minor"/>
    </font>
    <font>
      <sz val="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6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11" fillId="0" borderId="0" xfId="0" applyFont="1">
      <alignment vertical="center"/>
    </xf>
    <xf numFmtId="0" fontId="258" fillId="0" borderId="0" xfId="0" applyFont="1">
      <alignment vertical="center"/>
    </xf>
    <xf numFmtId="0" fontId="258" fillId="5" borderId="0" xfId="0" applyFont="1" applyFill="1">
      <alignment vertical="center"/>
    </xf>
    <xf numFmtId="177" fontId="79" fillId="0" borderId="1" xfId="1" applyNumberFormat="1" applyFont="1" applyFill="1" applyBorder="1" applyAlignment="1" applyProtection="1">
      <alignment vertical="center"/>
      <protection locked="0" hidden="1"/>
    </xf>
    <xf numFmtId="0" fontId="79" fillId="7" borderId="60" xfId="0" applyFont="1" applyFill="1" applyBorder="1" applyAlignment="1" applyProtection="1">
      <alignment vertical="center" wrapText="1"/>
      <protection locked="0"/>
    </xf>
    <xf numFmtId="49" fontId="232" fillId="12" borderId="4" xfId="0" applyNumberFormat="1" applyFont="1" applyFill="1" applyBorder="1" applyAlignment="1" applyProtection="1">
      <alignment horizontal="left" vertical="center"/>
      <protection locked="0"/>
    </xf>
    <xf numFmtId="0" fontId="111" fillId="5" borderId="0" xfId="0" applyFont="1" applyFill="1">
      <alignment vertical="center"/>
    </xf>
    <xf numFmtId="0" fontId="260" fillId="5" borderId="0" xfId="0" applyFont="1" applyFill="1">
      <alignment vertical="center"/>
    </xf>
    <xf numFmtId="0" fontId="260" fillId="0" borderId="0" xfId="0" applyFont="1" applyFill="1">
      <alignment vertical="center"/>
    </xf>
    <xf numFmtId="0" fontId="111" fillId="0" borderId="0" xfId="0" applyFont="1" applyFill="1">
      <alignment vertical="center"/>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3" fillId="6" borderId="15" xfId="0" applyNumberFormat="1" applyFont="1" applyFill="1" applyBorder="1" applyAlignment="1" applyProtection="1">
      <alignment horizontal="center" vertical="center" wrapText="1"/>
      <protection locked="0"/>
    </xf>
    <xf numFmtId="189" fontId="55" fillId="5" borderId="1" xfId="4" applyNumberFormat="1" applyFont="1" applyFill="1" applyBorder="1" applyAlignment="1">
      <alignment horizontal="left" vertical="center"/>
    </xf>
    <xf numFmtId="0" fontId="56" fillId="6" borderId="24" xfId="4" applyFont="1" applyFill="1" applyBorder="1" applyAlignment="1">
      <alignment vertical="center" wrapText="1"/>
    </xf>
    <xf numFmtId="0" fontId="56" fillId="6" borderId="49" xfId="4" applyFont="1" applyFill="1" applyBorder="1" applyAlignment="1">
      <alignment vertical="center" wrapText="1"/>
    </xf>
    <xf numFmtId="0" fontId="56" fillId="6" borderId="24" xfId="4" applyFont="1" applyFill="1" applyBorder="1" applyAlignment="1">
      <alignment horizontal="left" vertical="center" wrapText="1"/>
    </xf>
    <xf numFmtId="0" fontId="56" fillId="6" borderId="56" xfId="4" applyFont="1" applyFill="1" applyBorder="1" applyAlignment="1">
      <alignment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49" fontId="172" fillId="0" borderId="23" xfId="0" applyNumberFormat="1"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0" borderId="0" xfId="17" applyNumberFormat="1" applyFont="1"/>
    <xf numFmtId="14" fontId="111" fillId="0" borderId="0" xfId="17" applyNumberFormat="1" applyFont="1"/>
    <xf numFmtId="0" fontId="257" fillId="0" borderId="0" xfId="17" applyNumberFormat="1" applyFont="1"/>
    <xf numFmtId="14" fontId="258" fillId="0" borderId="0" xfId="17" applyNumberFormat="1" applyFont="1"/>
    <xf numFmtId="0" fontId="259" fillId="0" borderId="0" xfId="17" applyNumberFormat="1" applyFont="1" applyFill="1"/>
    <xf numFmtId="14" fontId="260" fillId="0" borderId="0" xfId="17" applyNumberFormat="1" applyFont="1" applyFill="1"/>
    <xf numFmtId="0" fontId="256" fillId="0" borderId="0" xfId="17" applyNumberFormat="1" applyFont="1" applyFill="1"/>
    <xf numFmtId="14" fontId="111" fillId="0" borderId="0" xfId="17" applyNumberFormat="1" applyFont="1" applyFill="1"/>
    <xf numFmtId="0" fontId="259" fillId="5" borderId="0" xfId="17" applyNumberFormat="1" applyFont="1" applyFill="1"/>
    <xf numFmtId="14" fontId="260" fillId="5" borderId="0" xfId="17" applyNumberFormat="1" applyFont="1" applyFill="1"/>
    <xf numFmtId="0" fontId="256" fillId="5" borderId="0" xfId="17" applyNumberFormat="1" applyFont="1" applyFill="1"/>
    <xf numFmtId="14" fontId="111" fillId="5" borderId="0" xfId="17" applyNumberFormat="1" applyFont="1" applyFill="1"/>
    <xf numFmtId="0" fontId="257" fillId="5" borderId="0" xfId="17" applyNumberFormat="1" applyFont="1" applyFill="1"/>
    <xf numFmtId="14" fontId="258" fillId="5" borderId="0" xfId="17" applyNumberFormat="1" applyFont="1" applyFill="1"/>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43</xdr:row>
      <xdr:rowOff>19050</xdr:rowOff>
    </xdr:from>
    <xdr:to>
      <xdr:col>39</xdr:col>
      <xdr:colOff>83709</xdr:colOff>
      <xdr:row>99</xdr:row>
      <xdr:rowOff>141793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572250"/>
          <a:ext cx="16133334" cy="8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484858</xdr:colOff>
      <xdr:row>18</xdr:row>
      <xdr:rowOff>28186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42858" cy="3114286"/>
        </a:xfrm>
        <a:prstGeom prst="rect">
          <a:avLst/>
        </a:prstGeom>
      </xdr:spPr>
    </xdr:pic>
    <xdr:clientData/>
  </xdr:twoCellAnchor>
  <xdr:twoCellAnchor editAs="oneCell">
    <xdr:from>
      <xdr:col>0</xdr:col>
      <xdr:colOff>0</xdr:colOff>
      <xdr:row>19</xdr:row>
      <xdr:rowOff>0</xdr:rowOff>
    </xdr:from>
    <xdr:to>
      <xdr:col>7</xdr:col>
      <xdr:colOff>285115</xdr:colOff>
      <xdr:row>59</xdr:row>
      <xdr:rowOff>103905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5085715" cy="6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江苏省南京市栖霞区元化路8号2幢101室房地产抵押价值预评估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受贵公司委托，我公司对江苏省南京市栖霞区元化路8号2幢101室房地产抵押价值进行了预评估。</v>
      </c>
    </row>
    <row r="7" spans="1:2" s="1318" customFormat="1">
      <c r="A7" s="1316" t="s">
        <v>991</v>
      </c>
      <c r="B7" s="1317" t="str">
        <f>'预评函-1'!A7</f>
        <v>估价对象为江苏省南京市栖霞区元化路8号2幢101室房地产，为所有。根据《国有土地使用证》[]，估价对象（分摊）出让国有建设用地使用权面积为0平方米，建筑面积为17198.24平方米。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江苏省南京市栖霞区元化路8号2幢101室房地产,属开发建设的，该项目尚在开发建设中。根据《国有土地使用证》[]，估价对象（分摊）出让国有建设用地使用权面积为0平方米，规划建筑面积为17198.24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江苏省南京市栖霞区元化路8号2幢101室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2022年8月31日（评估专业人员实地查勘之日）</v>
      </c>
    </row>
    <row r="13" spans="1:2" s="1318" customFormat="1">
      <c r="A13" s="1316" t="s">
        <v>954</v>
      </c>
      <c r="B13" s="1317" t="str">
        <f>'预评函-1'!A18</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29224</v>
      </c>
    </row>
    <row r="21" spans="1:2" s="1318" customFormat="1">
      <c r="A21" s="1316" t="s">
        <v>962</v>
      </c>
      <c r="B21" s="1317">
        <f ca="1">'预评函-2'!D7</f>
        <v>16992</v>
      </c>
    </row>
    <row r="22" spans="1:2" s="1318" customFormat="1">
      <c r="A22" s="1316" t="s">
        <v>963</v>
      </c>
      <c r="B22" s="1317" t="str">
        <f ca="1">'预评函-2'!D6</f>
        <v>贰亿玖仟贰佰贰拾肆万元整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29224</v>
      </c>
    </row>
    <row r="31" spans="1:2" s="1318" customFormat="1">
      <c r="A31" s="1316" t="s">
        <v>1001</v>
      </c>
      <c r="B31" s="1317">
        <f ca="1">'预评函-2'!D15</f>
        <v>16992</v>
      </c>
    </row>
    <row r="32" spans="1:2" s="1318" customFormat="1">
      <c r="A32" s="1316" t="s">
        <v>968</v>
      </c>
      <c r="B32" s="1317" t="str">
        <f ca="1">'预评函-2'!D14</f>
        <v>贰亿玖仟贰佰贰拾肆万元整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4.抵押净值</v>
      </c>
    </row>
    <row r="38" spans="1:2" s="1318" customFormat="1">
      <c r="A38" s="1316" t="s">
        <v>1022</v>
      </c>
      <c r="B38" s="1317">
        <f ca="1">'预评函-2'!D19</f>
        <v>29081</v>
      </c>
    </row>
    <row r="39" spans="1:2" s="1318" customFormat="1">
      <c r="A39" s="1316" t="s">
        <v>970</v>
      </c>
      <c r="B39" s="1317">
        <f ca="1">'预评函-2'!D21</f>
        <v>16909</v>
      </c>
    </row>
    <row r="40" spans="1:2" s="1318" customFormat="1">
      <c r="A40" s="1316" t="s">
        <v>971</v>
      </c>
      <c r="B40" s="1317" t="str">
        <f ca="1">'预评函-2'!D20</f>
        <v>贰亿玖仟零捌拾壹万元整</v>
      </c>
    </row>
    <row r="41" spans="1:2" s="1318" customFormat="1">
      <c r="A41" s="1316" t="s">
        <v>1017</v>
      </c>
      <c r="B41" s="1317" t="str">
        <f>'预评函-3'!A4</f>
        <v>江苏省南京市栖霞区元化路8号2幢101室房地产</v>
      </c>
    </row>
    <row r="42" spans="1:2" s="1318" customFormat="1">
      <c r="A42" s="1316" t="s">
        <v>1015</v>
      </c>
      <c r="B42" s="1317" t="str">
        <f>'预评函-3'!B2</f>
        <v>建筑面积</v>
      </c>
    </row>
    <row r="43" spans="1:2" s="1318" customFormat="1">
      <c r="A43" s="1316" t="s">
        <v>1016</v>
      </c>
      <c r="B43" s="1317">
        <f>'预评函-3'!B4</f>
        <v>17198.239999999998</v>
      </c>
    </row>
    <row r="44" spans="1:2" s="1318" customFormat="1">
      <c r="A44" s="1316" t="s">
        <v>1000</v>
      </c>
      <c r="B44" s="1317" t="str">
        <f>'预评函-3'!C2</f>
        <v>(分摊)土地面积</v>
      </c>
    </row>
    <row r="45" spans="1:2" s="1318" customFormat="1">
      <c r="A45" s="1316" t="s">
        <v>972</v>
      </c>
      <c r="B45" s="1317">
        <f>'预评函-3'!C4</f>
        <v>0</v>
      </c>
    </row>
    <row r="46" spans="1:2" s="1318" customFormat="1">
      <c r="A46" s="1316" t="s">
        <v>998</v>
      </c>
      <c r="B46" s="1317" t="str">
        <f>'预评函-3'!D2</f>
        <v>出让国有建设用地使用权价值</v>
      </c>
    </row>
    <row r="47" spans="1:2" s="1318" customFormat="1">
      <c r="A47" s="1316" t="s">
        <v>973</v>
      </c>
      <c r="B47" s="1317">
        <f ca="1">'预评函-3'!D4</f>
        <v>6312</v>
      </c>
    </row>
    <row r="48" spans="1:2" s="1318" customFormat="1">
      <c r="A48" s="1316" t="s">
        <v>974</v>
      </c>
      <c r="B48" s="1317">
        <f ca="1">'预评函-3'!E4</f>
        <v>3670</v>
      </c>
    </row>
    <row r="49" spans="1:2" s="1318" customFormat="1">
      <c r="A49" s="1316" t="s">
        <v>975</v>
      </c>
      <c r="B49" s="1317" t="str">
        <f ca="1">'预评函-3'!D5</f>
        <v>陆仟叁佰壹拾贰万元整</v>
      </c>
    </row>
    <row r="50" spans="1:2" s="1318" customFormat="1">
      <c r="A50" s="1316" t="s">
        <v>999</v>
      </c>
      <c r="B50" s="1317" t="str">
        <f>'预评函-3'!F2</f>
        <v>在建建筑物价值</v>
      </c>
    </row>
    <row r="51" spans="1:2" s="1318" customFormat="1">
      <c r="A51" s="1316" t="s">
        <v>976</v>
      </c>
      <c r="B51" s="1317">
        <f ca="1">'预评函-3'!F4</f>
        <v>22912</v>
      </c>
    </row>
    <row r="52" spans="1:2" s="1318" customFormat="1">
      <c r="A52" s="1316" t="s">
        <v>977</v>
      </c>
      <c r="B52" s="1317">
        <f ca="1">'预评函-3'!G4</f>
        <v>13322</v>
      </c>
    </row>
    <row r="53" spans="1:2" s="1318" customFormat="1">
      <c r="A53" s="1316" t="s">
        <v>1005</v>
      </c>
      <c r="B53" s="1317" t="str">
        <f ca="1">'预评函-3'!F5</f>
        <v>贰亿贰仟玖佰壹拾贰万元整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抵押净值</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江苏省南京市栖霞区元化路8号2幢101室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3"/>
      <c r="B54" s="1690" t="s">
        <v>651</v>
      </c>
      <c r="C54" s="1687" t="s">
        <v>1008</v>
      </c>
    </row>
    <row r="55" spans="1:4">
      <c r="A55" s="3283"/>
      <c r="B55" s="1690" t="s">
        <v>652</v>
      </c>
      <c r="C55" s="1687" t="s">
        <v>1009</v>
      </c>
    </row>
    <row r="56" spans="1:4">
      <c r="A56" s="3283"/>
      <c r="B56" s="1690" t="s">
        <v>653</v>
      </c>
      <c r="C56" s="1687" t="s">
        <v>1013</v>
      </c>
    </row>
    <row r="57" spans="1:4">
      <c r="A57" s="328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0" sqref="G20"/>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92" t="str">
        <f>IF(B10="北京市","北京市",C10)&amp;F10&amp;IF(结果表!G1="在建","出让国有建设用地使用权及在建建筑物",IF(结果表!G1="土地","出让国有建设用地使用权",))&amp;B9&amp;"预评估"</f>
        <v>江苏省南京市栖霞区元化路8号2幢101室房地产抵押价值预评估</v>
      </c>
      <c r="C1" s="3293"/>
      <c r="D1" s="3293"/>
      <c r="E1" s="3293"/>
      <c r="F1" s="3293"/>
      <c r="G1" s="3293"/>
      <c r="H1" s="3293"/>
      <c r="I1" s="3294"/>
      <c r="J1" s="2646"/>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江苏省南京市栖霞区元化路8号2幢101室房地产抵押价值</v>
      </c>
      <c r="T1" s="1882"/>
      <c r="U1" s="1882"/>
      <c r="V1" s="1882"/>
      <c r="W1" s="1882"/>
      <c r="X1" s="1882"/>
      <c r="Y1" s="1882"/>
      <c r="Z1" s="1882"/>
      <c r="AA1" s="1882"/>
      <c r="AB1" s="1882"/>
    </row>
    <row r="2" spans="1:28">
      <c r="A2" s="2541" t="s">
        <v>2669</v>
      </c>
      <c r="B2" s="2545"/>
      <c r="C2" s="2546"/>
      <c r="D2" s="2847"/>
      <c r="E2" s="2838"/>
      <c r="F2" s="2838"/>
      <c r="G2" s="2839"/>
      <c r="H2" s="2839"/>
      <c r="I2" s="2839"/>
      <c r="J2" s="2646"/>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江苏省南京市栖霞区元化路8号2幢101室房地产</v>
      </c>
      <c r="T2" s="1882"/>
      <c r="U2" s="1882"/>
      <c r="V2" s="1882"/>
      <c r="W2" s="1882"/>
      <c r="X2" s="1882"/>
      <c r="Y2" s="1882"/>
      <c r="Z2" s="1882"/>
      <c r="AA2" s="1882"/>
      <c r="AB2" s="1882"/>
    </row>
    <row r="3" spans="1:28">
      <c r="A3" s="308" t="s">
        <v>2670</v>
      </c>
      <c r="B3" s="2547">
        <v>44804</v>
      </c>
      <c r="C3" s="2548" t="s">
        <v>2671</v>
      </c>
      <c r="D3" s="2547">
        <f>B3</f>
        <v>44804</v>
      </c>
      <c r="E3" s="2839"/>
      <c r="F3" s="2839"/>
      <c r="G3" s="2839"/>
      <c r="H3" s="2839"/>
      <c r="I3" s="2839"/>
      <c r="J3" s="2646"/>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4"/>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40"/>
      <c r="F5" s="2840"/>
      <c r="G5" s="2840"/>
      <c r="H5" s="2840"/>
      <c r="I5" s="2840"/>
      <c r="J5" s="2614"/>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2558"/>
      <c r="C6" s="2559"/>
      <c r="D6" s="2560"/>
      <c r="E6" s="2838"/>
      <c r="F6" s="2840"/>
      <c r="G6" s="2840"/>
      <c r="H6" s="2840"/>
      <c r="I6" s="2840"/>
      <c r="J6" s="2614"/>
      <c r="K6" s="2790" t="str">
        <f>IF(COUNTIF(B6,"*上海银行*"),"上海银行","")</f>
        <v/>
      </c>
      <c r="L6" s="2788"/>
      <c r="M6" s="2788"/>
      <c r="N6" s="2614"/>
      <c r="O6" s="2625"/>
      <c r="P6" s="2614"/>
      <c r="Q6" s="2614"/>
      <c r="R6" s="2614"/>
    </row>
    <row r="7" spans="1:28">
      <c r="A7" s="2557" t="s">
        <v>2675</v>
      </c>
      <c r="B7" s="2561"/>
      <c r="C7" s="2559"/>
      <c r="D7" s="2560"/>
      <c r="E7" s="2838"/>
      <c r="F7" s="2840"/>
      <c r="G7" s="2840"/>
      <c r="H7" s="2840"/>
      <c r="I7" s="2840"/>
      <c r="J7" s="2614"/>
      <c r="K7" s="2791"/>
      <c r="L7" s="2788"/>
      <c r="M7" s="2788"/>
      <c r="N7" s="2614"/>
      <c r="O7" s="2625"/>
      <c r="P7" s="2614"/>
      <c r="Q7" s="2614"/>
      <c r="R7" s="2614"/>
    </row>
    <row r="8" spans="1:28">
      <c r="A8" s="2562" t="s">
        <v>2676</v>
      </c>
      <c r="B8" s="2563" t="s">
        <v>3518</v>
      </c>
      <c r="C8" s="2564"/>
      <c r="D8" s="3295" t="s">
        <v>2677</v>
      </c>
      <c r="E8" s="2565" t="s">
        <v>3519</v>
      </c>
      <c r="F8" s="2566"/>
      <c r="G8" s="2839"/>
      <c r="H8" s="2839"/>
      <c r="I8" s="2839"/>
      <c r="J8" s="2614"/>
      <c r="K8" s="2789"/>
      <c r="L8" s="2788"/>
      <c r="M8" s="2788"/>
      <c r="N8" s="2614"/>
      <c r="O8" s="2625"/>
      <c r="P8" s="2614"/>
      <c r="Q8" s="2614"/>
      <c r="R8" s="2614"/>
    </row>
    <row r="9" spans="1:28" ht="13.5" thickBot="1">
      <c r="A9" s="2567" t="s">
        <v>2678</v>
      </c>
      <c r="B9" s="2568" t="s">
        <v>3519</v>
      </c>
      <c r="C9" s="2569"/>
      <c r="D9" s="3296"/>
      <c r="E9" s="2568" t="s">
        <v>1012</v>
      </c>
      <c r="F9" s="2570"/>
      <c r="G9" s="2841"/>
      <c r="H9" s="2841"/>
      <c r="I9" s="2841"/>
      <c r="J9" s="2614"/>
      <c r="K9" s="2791"/>
      <c r="L9" s="2788"/>
      <c r="M9" s="2788"/>
      <c r="N9" s="2614"/>
      <c r="O9" s="2625"/>
      <c r="P9" s="2614"/>
      <c r="Q9" s="2614"/>
      <c r="R9" s="2614"/>
    </row>
    <row r="10" spans="1:28" ht="13.5" thickTop="1">
      <c r="A10" s="2571" t="s">
        <v>2679</v>
      </c>
      <c r="B10" s="2572" t="s">
        <v>3520</v>
      </c>
      <c r="C10" s="3226" t="s">
        <v>3534</v>
      </c>
      <c r="D10" s="2556"/>
      <c r="E10" s="2573" t="s">
        <v>2680</v>
      </c>
      <c r="F10" s="3227" t="s">
        <v>3535</v>
      </c>
      <c r="G10" s="2842"/>
      <c r="H10" s="2843"/>
      <c r="I10" s="2844"/>
      <c r="J10" s="2614"/>
      <c r="K10" s="2791"/>
      <c r="L10" s="2788"/>
      <c r="M10" s="2788"/>
      <c r="N10" s="2614"/>
      <c r="O10" s="2625"/>
      <c r="P10" s="2614"/>
      <c r="Q10" s="2614"/>
      <c r="R10" s="2614"/>
    </row>
    <row r="11" spans="1:28">
      <c r="A11" s="2574" t="s">
        <v>2681</v>
      </c>
      <c r="B11" s="2575" t="s">
        <v>3521</v>
      </c>
      <c r="C11" s="2576"/>
      <c r="D11" s="2577"/>
      <c r="E11" s="2544"/>
      <c r="F11" s="2544"/>
      <c r="G11" s="2544"/>
      <c r="H11" s="2544"/>
      <c r="I11" s="2544"/>
      <c r="J11" s="2614"/>
      <c r="K11" s="2791"/>
      <c r="L11" s="2788"/>
      <c r="M11" s="2788"/>
      <c r="N11" s="2614"/>
      <c r="O11" s="2625"/>
      <c r="P11" s="2614"/>
      <c r="Q11" s="2614"/>
      <c r="R11" s="2614"/>
    </row>
    <row r="12" spans="1:28">
      <c r="A12" s="2578" t="s">
        <v>2682</v>
      </c>
      <c r="B12" s="2575" t="s">
        <v>3517</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4"/>
      <c r="B13" s="2580"/>
      <c r="C13" s="2581" t="s">
        <v>2690</v>
      </c>
      <c r="D13" s="946"/>
      <c r="E13" s="946"/>
      <c r="F13" s="946">
        <v>59144</v>
      </c>
      <c r="G13" s="946"/>
      <c r="H13" s="946"/>
      <c r="I13" s="946"/>
      <c r="J13" s="2614"/>
      <c r="K13" s="2791"/>
      <c r="L13" s="2788"/>
      <c r="M13" s="2788"/>
      <c r="N13" s="2614"/>
      <c r="O13" s="2625"/>
      <c r="P13" s="2614"/>
      <c r="Q13" s="2614"/>
      <c r="R13" s="2614"/>
    </row>
    <row r="14" spans="1:28">
      <c r="A14" s="1194"/>
      <c r="B14" s="2580"/>
      <c r="C14" s="2581" t="s">
        <v>2691</v>
      </c>
      <c r="D14" s="2582"/>
      <c r="E14" s="2582"/>
      <c r="F14" s="2582">
        <v>40</v>
      </c>
      <c r="G14" s="2582"/>
      <c r="H14" s="2582"/>
      <c r="I14" s="2582"/>
      <c r="J14" s="2614"/>
      <c r="K14" s="2792"/>
      <c r="L14" s="2788"/>
      <c r="M14" s="2788"/>
      <c r="N14" s="2614"/>
      <c r="O14" s="2625"/>
      <c r="P14" s="2614"/>
      <c r="Q14" s="2614"/>
      <c r="R14" s="2614"/>
    </row>
    <row r="15" spans="1:28">
      <c r="A15" s="326"/>
      <c r="B15" s="2583"/>
      <c r="C15" s="2584" t="s">
        <v>2692</v>
      </c>
      <c r="D15" s="2585" t="str">
        <f>IF(B12="出让",IF(D13="","",ROUNDDOWN(MIN((D13-$D$3)/365,D14),2)),D14)</f>
        <v/>
      </c>
      <c r="E15" s="2585" t="str">
        <f>IF(B12="出让",IF(E13="","",ROUNDDOWN(MIN((E13-$D$3)/365,E14),2)),E14)</f>
        <v/>
      </c>
      <c r="F15" s="2585">
        <f>IF(B12="出让",IF(F13="","",ROUNDDOWN(MIN((F13-$D$3)/365,F14),2)),F14)</f>
        <v>39.28</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2693</v>
      </c>
      <c r="B16" s="3302"/>
      <c r="C16" s="3303"/>
      <c r="D16" s="3304"/>
      <c r="E16" s="2588" t="s">
        <v>2694</v>
      </c>
      <c r="F16" s="3305"/>
      <c r="G16" s="3306"/>
      <c r="H16" s="3306"/>
      <c r="I16" s="3307"/>
      <c r="J16" s="2614"/>
      <c r="K16" s="2793"/>
      <c r="L16" s="2626"/>
      <c r="M16" s="2626"/>
      <c r="N16" s="2684"/>
      <c r="O16" s="2626"/>
      <c r="P16" s="2684"/>
      <c r="Q16" s="2614"/>
      <c r="R16" s="2614"/>
    </row>
    <row r="17" spans="1:28">
      <c r="A17" s="319" t="s">
        <v>2695</v>
      </c>
      <c r="B17" s="308" t="s">
        <v>2696</v>
      </c>
      <c r="C17" s="11">
        <f>'数据-汇总表'!E3</f>
        <v>17198.239999999998</v>
      </c>
      <c r="D17" s="2496" t="s">
        <v>2697</v>
      </c>
      <c r="E17" s="3308" t="s">
        <v>2698</v>
      </c>
      <c r="F17" s="3309"/>
      <c r="G17" s="3309"/>
      <c r="H17" s="3309"/>
      <c r="I17" s="3310"/>
      <c r="J17" s="2614"/>
      <c r="K17" s="2794"/>
      <c r="L17" s="2626"/>
      <c r="M17" s="2626"/>
      <c r="N17" s="2684"/>
      <c r="O17" s="2626"/>
      <c r="P17" s="2684"/>
      <c r="Q17" s="2614"/>
      <c r="R17" s="2614"/>
      <c r="S17" s="2614"/>
      <c r="T17" s="2614"/>
      <c r="U17" s="2614"/>
      <c r="V17" s="2614"/>
    </row>
    <row r="18" spans="1:28" ht="24.75" thickBot="1">
      <c r="A18" s="2589" t="s">
        <v>2699</v>
      </c>
      <c r="B18" s="1203" t="s">
        <v>2700</v>
      </c>
      <c r="C18" s="2590">
        <f>'数据-汇总表'!D3</f>
        <v>0</v>
      </c>
      <c r="D18" s="1205" t="s">
        <v>2701</v>
      </c>
      <c r="E18" s="3311" t="s">
        <v>2702</v>
      </c>
      <c r="F18" s="3312"/>
      <c r="G18" s="3312"/>
      <c r="H18" s="3312"/>
      <c r="I18" s="3313"/>
      <c r="J18" s="2614"/>
      <c r="K18" s="2794"/>
      <c r="L18" s="2626"/>
      <c r="M18" s="2626"/>
      <c r="N18" s="2684"/>
      <c r="O18" s="2626"/>
      <c r="P18" s="2684"/>
      <c r="Q18" s="2614"/>
      <c r="R18" s="2614"/>
      <c r="S18" s="2614"/>
      <c r="T18" s="2614"/>
      <c r="U18" s="2614"/>
      <c r="V18" s="2614"/>
    </row>
    <row r="19" spans="1:28" ht="37.5" thickTop="1" thickBot="1">
      <c r="A19" s="333" t="s">
        <v>1500</v>
      </c>
      <c r="B19" s="313" t="s">
        <v>2703</v>
      </c>
      <c r="C19" s="1699"/>
      <c r="D19" s="1700" t="s">
        <v>2704</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2705</v>
      </c>
      <c r="B20" s="3298" t="s">
        <v>2706</v>
      </c>
      <c r="C20" s="3299"/>
      <c r="D20" s="3300" t="s">
        <v>2707</v>
      </c>
      <c r="E20" s="3301"/>
      <c r="F20" s="2823" t="s">
        <v>1501</v>
      </c>
      <c r="G20" s="2840"/>
      <c r="H20" s="2840"/>
      <c r="I20" s="2840"/>
      <c r="J20" s="2614"/>
      <c r="K20" s="3297"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7"/>
      <c r="O20" s="2586"/>
      <c r="P20" s="2587"/>
      <c r="Q20" s="2544"/>
      <c r="R20" s="2544"/>
      <c r="S20" s="2544"/>
      <c r="T20" s="2544"/>
      <c r="U20" s="2544"/>
      <c r="V20" s="2544"/>
      <c r="W20" s="1882"/>
      <c r="X20" s="1882"/>
      <c r="Y20" s="1882"/>
      <c r="Z20" s="1882"/>
      <c r="AA20" s="1882"/>
      <c r="AB20" s="1882"/>
    </row>
    <row r="21" spans="1:28" ht="24.75" thickBot="1">
      <c r="A21" s="2808"/>
      <c r="B21" s="2809" t="s">
        <v>2709</v>
      </c>
      <c r="C21" s="2810" t="s">
        <v>1502</v>
      </c>
      <c r="D21" s="1704" t="s">
        <v>2710</v>
      </c>
      <c r="E21" s="2811" t="s">
        <v>1502</v>
      </c>
      <c r="F21" s="2824"/>
      <c r="G21" s="2840"/>
      <c r="H21" s="2840"/>
      <c r="I21" s="2840"/>
      <c r="J21" s="2614"/>
      <c r="K21" s="329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7"/>
      <c r="O21" s="2586"/>
      <c r="P21" s="2587"/>
      <c r="Q21" s="2544"/>
      <c r="R21" s="2544"/>
      <c r="S21" s="2544"/>
      <c r="T21" s="2544"/>
      <c r="U21" s="2544"/>
      <c r="V21" s="2544"/>
      <c r="W21" s="1882"/>
      <c r="X21" s="1882"/>
      <c r="Y21" s="1882"/>
      <c r="Z21" s="1882"/>
      <c r="AA21" s="1882"/>
      <c r="AB21" s="1882"/>
    </row>
    <row r="22" spans="1:28" ht="24.75" thickBot="1">
      <c r="A22" s="2808"/>
      <c r="B22" s="2812" t="s">
        <v>2711</v>
      </c>
      <c r="C22" s="2810" t="s">
        <v>1503</v>
      </c>
      <c r="D22" s="2839"/>
      <c r="E22" s="2839"/>
      <c r="F22" s="2839"/>
      <c r="G22" s="2840"/>
      <c r="H22" s="2840"/>
      <c r="I22" s="2840"/>
      <c r="J22" s="2614"/>
      <c r="K22" s="329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7"/>
      <c r="O22" s="2586"/>
      <c r="P22" s="2587"/>
      <c r="Q22" s="2544"/>
      <c r="R22" s="2544"/>
      <c r="S22" s="2544"/>
      <c r="T22" s="2544"/>
      <c r="U22" s="2544"/>
      <c r="V22" s="2544"/>
      <c r="W22" s="1882"/>
      <c r="X22" s="1882"/>
      <c r="Y22" s="1882"/>
      <c r="Z22" s="1882"/>
      <c r="AA22" s="1882"/>
      <c r="AB22" s="1882"/>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285"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285"/>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285"/>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286"/>
      <c r="B30" s="308" t="s">
        <v>2718</v>
      </c>
      <c r="C30" s="3287"/>
      <c r="D30" s="3288"/>
      <c r="E30" s="2840"/>
      <c r="F30" s="2840"/>
      <c r="G30" s="2840"/>
      <c r="H30" s="2840"/>
      <c r="I30" s="2840"/>
      <c r="J30" s="2614"/>
      <c r="K30" s="2791"/>
      <c r="L30" s="2788"/>
      <c r="M30" s="2788"/>
      <c r="N30" s="2614"/>
      <c r="O30" s="2625"/>
      <c r="P30" s="2614"/>
      <c r="Q30" s="2614"/>
      <c r="R30" s="2614"/>
      <c r="S30" s="2614"/>
      <c r="T30" s="2614"/>
      <c r="U30" s="2614"/>
      <c r="V30" s="2614"/>
    </row>
    <row r="31" spans="1:28">
      <c r="A31" s="3289" t="s">
        <v>2719</v>
      </c>
      <c r="B31" s="2597"/>
      <c r="C31" s="2497" t="str">
        <f>IF(B31="现房","成新及维护状况正常否",IF(B31="在建","工程状态是否正常",IF(B31="土地","是否闲置","-")))</f>
        <v>-</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290"/>
      <c r="B32" s="2597"/>
      <c r="C32" s="2497"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290"/>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5"/>
      <c r="C34" s="2165"/>
      <c r="D34" s="2165"/>
      <c r="E34" s="2165"/>
      <c r="F34" s="2165"/>
      <c r="G34" s="2165"/>
      <c r="H34" s="2165"/>
      <c r="I34" s="2840"/>
      <c r="J34" s="2614"/>
      <c r="K34" s="2602">
        <f>COUNTIF(B34:H34,"——")</f>
        <v>0</v>
      </c>
      <c r="L34" s="329" t="s">
        <v>2721</v>
      </c>
      <c r="M34" s="329" t="s">
        <v>2722</v>
      </c>
      <c r="N34" s="329" t="s">
        <v>2723</v>
      </c>
      <c r="O34" s="329" t="s">
        <v>2724</v>
      </c>
      <c r="P34" s="329" t="s">
        <v>2725</v>
      </c>
      <c r="Q34" s="329" t="s">
        <v>2726</v>
      </c>
      <c r="R34" s="329" t="s">
        <v>2727</v>
      </c>
      <c r="S34" s="3284" t="s">
        <v>2728</v>
      </c>
      <c r="T34" s="2603" t="str">
        <f>NUMBERSTRING(7-K34,1)&amp;"通"</f>
        <v>七通</v>
      </c>
      <c r="U34" s="2614"/>
      <c r="V34" s="2614"/>
    </row>
    <row r="35" spans="1:30" ht="25.5">
      <c r="A35" s="2604"/>
      <c r="B35" s="3291" t="s">
        <v>2729</v>
      </c>
      <c r="C35" s="3291"/>
      <c r="D35" s="3291"/>
      <c r="E35" s="3291"/>
      <c r="F35" s="673" t="str">
        <f>C10</f>
        <v>江苏省南京市</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4"/>
      <c r="T35" s="335" t="str">
        <f>IF(T34="一通",L35,IF(T34="二通",M35,IF(T34="三通",N35,IF(T34="四通",O35,IF(T34="五通",P35,IF(T34="六通",Q35,R35))))))</f>
        <v>、、、、、、</v>
      </c>
      <c r="U35" s="2614"/>
      <c r="V35" s="2614"/>
    </row>
    <row r="36" spans="1:30">
      <c r="A36" s="2605"/>
      <c r="B36" s="673" t="s">
        <v>2685</v>
      </c>
      <c r="C36" s="673" t="s">
        <v>2686</v>
      </c>
      <c r="D36" s="673" t="s">
        <v>2684</v>
      </c>
      <c r="E36" s="673" t="s">
        <v>2689</v>
      </c>
      <c r="F36" s="2845"/>
      <c r="G36" s="2840"/>
      <c r="H36" s="2840"/>
      <c r="I36" s="2840"/>
      <c r="J36" s="2614"/>
      <c r="K36" s="2791"/>
      <c r="L36" s="2788"/>
      <c r="M36" s="2788"/>
      <c r="N36" s="2614"/>
      <c r="O36" s="2625"/>
      <c r="P36" s="2614"/>
      <c r="Q36" s="2614"/>
      <c r="R36" s="2614"/>
      <c r="S36" s="2614"/>
      <c r="T36" s="2614"/>
      <c r="U36" s="2614"/>
      <c r="V36" s="2614"/>
    </row>
    <row r="37" spans="1:30">
      <c r="A37" s="2806" t="s">
        <v>2730</v>
      </c>
      <c r="B37" s="2606"/>
      <c r="C37" s="2606"/>
      <c r="D37" s="2606"/>
      <c r="E37" s="2606"/>
      <c r="F37" s="2845"/>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c r="C38" s="2607"/>
      <c r="D38" s="2607"/>
      <c r="E38" s="2607"/>
      <c r="F38" s="2846"/>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4"/>
      <c r="B40" s="2544"/>
      <c r="C40" s="2544"/>
      <c r="D40" s="2544"/>
      <c r="E40" s="2544"/>
      <c r="F40" s="2544"/>
      <c r="G40" s="2544"/>
      <c r="H40" s="2544"/>
      <c r="I40" s="1714"/>
      <c r="J40" s="2684"/>
      <c r="K40" s="2790"/>
      <c r="L40" s="2626"/>
      <c r="M40" s="2626"/>
      <c r="N40" s="2684"/>
      <c r="O40" s="2626"/>
      <c r="P40" s="2614"/>
      <c r="Q40" s="2614"/>
      <c r="R40" s="2614"/>
      <c r="S40" s="2614"/>
      <c r="T40" s="2614"/>
      <c r="U40" s="2614"/>
      <c r="V40" s="2614"/>
    </row>
    <row r="41" spans="1:30">
      <c r="A41" s="2611" t="s">
        <v>2733</v>
      </c>
      <c r="B41" s="1894"/>
      <c r="C41" s="1508"/>
      <c r="D41" s="2544"/>
      <c r="E41" s="2544"/>
      <c r="F41" s="2544"/>
      <c r="G41" s="2544"/>
      <c r="H41" s="2544"/>
      <c r="I41" s="1712"/>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4"/>
  <sheetViews>
    <sheetView workbookViewId="0">
      <selection activeCell="J30" sqref="J30"/>
    </sheetView>
  </sheetViews>
  <sheetFormatPr defaultColWidth="9" defaultRowHeight="12"/>
  <cols>
    <col min="1" max="1" width="14.875" style="3222" customWidth="1"/>
    <col min="2" max="16384" width="9" style="3222"/>
  </cols>
  <sheetData>
    <row r="1" spans="1:2">
      <c r="A1" s="3222" t="s">
        <v>3187</v>
      </c>
    </row>
    <row r="2" spans="1:2">
      <c r="A2" s="3222" t="s">
        <v>3183</v>
      </c>
    </row>
    <row r="3" spans="1:2">
      <c r="A3" s="3222" t="s">
        <v>3181</v>
      </c>
      <c r="B3" s="3222" t="s">
        <v>3180</v>
      </c>
    </row>
    <row r="4" spans="1:2">
      <c r="A4" s="3222" t="s">
        <v>3174</v>
      </c>
      <c r="B4" s="3222">
        <v>1789.64</v>
      </c>
    </row>
    <row r="5" spans="1:2">
      <c r="A5" s="3222" t="s">
        <v>3175</v>
      </c>
      <c r="B5" s="3222">
        <v>4344.99</v>
      </c>
    </row>
    <row r="6" spans="1:2">
      <c r="A6" s="3222" t="s">
        <v>3176</v>
      </c>
      <c r="B6" s="3222">
        <v>2725.76</v>
      </c>
    </row>
    <row r="7" spans="1:2">
      <c r="A7" s="3222" t="s">
        <v>3177</v>
      </c>
      <c r="B7" s="3222">
        <v>2779.26</v>
      </c>
    </row>
    <row r="8" spans="1:2">
      <c r="A8" s="3222" t="s">
        <v>3178</v>
      </c>
      <c r="B8" s="3222">
        <v>2779.33</v>
      </c>
    </row>
    <row r="9" spans="1:2">
      <c r="A9" s="3222" t="s">
        <v>3179</v>
      </c>
      <c r="B9" s="3222">
        <v>2779.26</v>
      </c>
    </row>
    <row r="10" spans="1:2">
      <c r="A10" s="3222" t="s">
        <v>3182</v>
      </c>
      <c r="B10" s="3222">
        <f>SUM(B4:B9)</f>
        <v>17198.239999999998</v>
      </c>
    </row>
    <row r="11" spans="1:2">
      <c r="A11" s="3222" t="s">
        <v>3184</v>
      </c>
    </row>
    <row r="12" spans="1:2">
      <c r="A12" s="3222" t="s">
        <v>3185</v>
      </c>
    </row>
    <row r="13" spans="1:2">
      <c r="A13" s="3222" t="s">
        <v>3186</v>
      </c>
      <c r="B13" s="3222">
        <v>13428.3</v>
      </c>
    </row>
    <row r="14" spans="1:2">
      <c r="A14" s="3222" t="s">
        <v>3188</v>
      </c>
      <c r="B14" s="3222">
        <v>39815.800000000003</v>
      </c>
    </row>
  </sheetData>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c r="B3" s="14">
        <f>IF(C3="否",G5-AT5,G5)</f>
        <v>17198.239999999998</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17198.239999999998</v>
      </c>
      <c r="H5" s="16">
        <f t="shared" ref="H5:AT5" si="0">SUM(H13:H656)</f>
        <v>17198.239999999998</v>
      </c>
      <c r="I5" s="16">
        <f t="shared" si="0"/>
        <v>17198.239999999998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17198.239999999998</v>
      </c>
      <c r="BA5" s="18">
        <f t="shared" si="1"/>
        <v>17198.239999999998</v>
      </c>
      <c r="BB5" s="18">
        <f t="shared" si="1"/>
        <v>17198.239999999998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3523</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3524</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酒店</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3522</v>
      </c>
      <c r="E13" s="16">
        <f>IF($C$3="是",ROUND($A$3*G13/$B$3,2),ROUND($A$3*(G13-AT13)/$B$3,2))</f>
        <v>0</v>
      </c>
      <c r="F13" s="32"/>
      <c r="G13" s="33">
        <f>H13+AC13+AT13</f>
        <v>17198.239999999998</v>
      </c>
      <c r="H13" s="20">
        <f>SUMIF(I$12:AB$12,"总值",I13:AB13)</f>
        <v>17198.239999999998</v>
      </c>
      <c r="I13" s="1762">
        <f>面积表!B10</f>
        <v>17198.239999999998</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0</v>
      </c>
      <c r="AZ13" s="16">
        <f>BA13+BL13</f>
        <v>17198.239999999998</v>
      </c>
      <c r="BA13" s="16">
        <f>SUM(BB13:BK13)</f>
        <v>17198.239999999998</v>
      </c>
      <c r="BB13" s="16">
        <f>IF($D13="是",I13-J13,0)</f>
        <v>17198.239999999998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4" t="s">
        <v>0</v>
      </c>
      <c r="B1" s="3314" t="s">
        <v>4</v>
      </c>
      <c r="C1" s="3314" t="s">
        <v>5</v>
      </c>
      <c r="D1" s="3315" t="s">
        <v>53</v>
      </c>
      <c r="E1" s="3315" t="s">
        <v>54</v>
      </c>
      <c r="F1" s="3315"/>
      <c r="G1" s="3315"/>
      <c r="H1" s="3315"/>
      <c r="I1" s="3315"/>
      <c r="J1" s="3315"/>
      <c r="K1" s="3315"/>
      <c r="L1" s="3315"/>
      <c r="M1" s="3315"/>
    </row>
    <row r="2" spans="1:13" ht="27" customHeight="1">
      <c r="A2" s="3314"/>
      <c r="B2" s="3314"/>
      <c r="C2" s="3314"/>
      <c r="D2" s="3315"/>
      <c r="E2" s="3315" t="s">
        <v>37</v>
      </c>
      <c r="F2" s="3315" t="s">
        <v>38</v>
      </c>
      <c r="G2" s="3315"/>
      <c r="H2" s="3315"/>
      <c r="I2" s="3315"/>
      <c r="J2" s="3315" t="s">
        <v>39</v>
      </c>
      <c r="K2" s="3315"/>
      <c r="L2" s="3315"/>
      <c r="M2" s="3315"/>
    </row>
    <row r="3" spans="1:13" ht="28.5">
      <c r="A3" s="3314"/>
      <c r="B3" s="3314"/>
      <c r="C3" s="3314"/>
      <c r="D3" s="3315"/>
      <c r="E3" s="33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5" t="s">
        <v>55</v>
      </c>
      <c r="B9" s="3315"/>
      <c r="C9" s="33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7" sqref="I47"/>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5" t="s">
        <v>1576</v>
      </c>
      <c r="B2" s="3325"/>
      <c r="C2" s="3325"/>
      <c r="D2" s="885" t="s">
        <v>1552</v>
      </c>
      <c r="E2" s="1775" t="s">
        <v>1553</v>
      </c>
      <c r="F2" s="2835"/>
      <c r="G2" s="2826"/>
      <c r="H2" s="2827"/>
      <c r="I2" s="2499" t="s">
        <v>1577</v>
      </c>
      <c r="J2" s="2835"/>
      <c r="K2" s="2835"/>
      <c r="L2" s="2835"/>
      <c r="M2" s="2835"/>
      <c r="N2" s="2837"/>
      <c r="O2" s="2835"/>
      <c r="P2" s="2835"/>
    </row>
    <row r="3" spans="1:16" ht="15.75" thickBot="1">
      <c r="A3" s="3326" t="s">
        <v>1550</v>
      </c>
      <c r="B3" s="3326"/>
      <c r="C3" s="3326"/>
      <c r="D3" s="46">
        <f>'数据-基础表'!AY6</f>
        <v>0</v>
      </c>
      <c r="E3" s="46">
        <f>'数据-基础表'!AZ5</f>
        <v>17198.239999999998</v>
      </c>
      <c r="F3" s="2835"/>
      <c r="G3" s="1260"/>
      <c r="H3" s="1138" t="s">
        <v>1551</v>
      </c>
      <c r="I3" s="945" t="e">
        <f>ROUND('数据-基础表'!B3/'数据-基础表'!A3,2)</f>
        <v>#DIV/0!</v>
      </c>
      <c r="J3" s="2835"/>
      <c r="K3" s="2835"/>
      <c r="L3" s="2835"/>
      <c r="M3" s="2835"/>
      <c r="N3" s="2837"/>
      <c r="O3" s="2835"/>
      <c r="P3" s="2835"/>
    </row>
    <row r="4" spans="1:16" ht="15">
      <c r="A4" s="3327"/>
      <c r="B4" s="3328"/>
      <c r="C4" s="3329"/>
      <c r="D4" s="1777" t="s">
        <v>1552</v>
      </c>
      <c r="E4" s="1778" t="s">
        <v>1553</v>
      </c>
      <c r="F4" s="2835"/>
      <c r="G4" s="2828" t="s">
        <v>1578</v>
      </c>
      <c r="H4" s="1138" t="s">
        <v>1558</v>
      </c>
      <c r="I4" s="945" t="e">
        <f>ROUND(SUMIF('数据-基础表'!I9:AS9,"地上",'数据-基础表'!I5:AS5)/'数据-基础表'!A3,2)</f>
        <v>#DIV/0!</v>
      </c>
      <c r="J4" s="2835"/>
      <c r="K4" s="2835"/>
      <c r="L4" s="2835"/>
      <c r="M4" s="2835"/>
      <c r="N4" s="2837"/>
      <c r="O4" s="2835"/>
      <c r="P4" s="2835"/>
    </row>
    <row r="5" spans="1:16">
      <c r="A5" s="47" t="s">
        <v>1554</v>
      </c>
      <c r="B5" s="3330" t="s">
        <v>1555</v>
      </c>
      <c r="C5" s="3330"/>
      <c r="D5" s="48">
        <f>ROUND($D$3*E5/$E$3,2)</f>
        <v>0</v>
      </c>
      <c r="E5" s="49">
        <f>SUMIF('数据-基础表'!$11:$11,"住宅",'数据-基础表'!$5:$5)</f>
        <v>0</v>
      </c>
      <c r="F5" s="2835"/>
      <c r="G5" s="1260"/>
      <c r="H5" s="1138" t="s">
        <v>1551</v>
      </c>
      <c r="I5" s="945" t="e">
        <f>ROUND(E31/D31,2)</f>
        <v>#DIV/0!</v>
      </c>
      <c r="J5" s="2835"/>
      <c r="K5" s="2835"/>
      <c r="L5" s="2835"/>
      <c r="M5" s="2835"/>
      <c r="N5" s="2835"/>
      <c r="O5" s="2835"/>
      <c r="P5" s="2835"/>
    </row>
    <row r="6" spans="1:16" ht="15" thickBot="1">
      <c r="A6" s="1780"/>
      <c r="B6" s="3330" t="s">
        <v>1556</v>
      </c>
      <c r="C6" s="3330"/>
      <c r="D6" s="48">
        <f>ROUND($D$3*E6/$E$3,2)</f>
        <v>0</v>
      </c>
      <c r="E6" s="49">
        <f>E3-E5</f>
        <v>17198.239999999998</v>
      </c>
      <c r="F6" s="2835"/>
      <c r="G6" s="2829" t="s">
        <v>1557</v>
      </c>
      <c r="H6" s="1261" t="s">
        <v>1558</v>
      </c>
      <c r="I6" s="2830" t="e">
        <f>ROUND(F31/D31,2)</f>
        <v>#DIV/0!</v>
      </c>
      <c r="J6" s="2835"/>
      <c r="K6" s="2835"/>
      <c r="L6" s="2835"/>
      <c r="M6" s="2835"/>
      <c r="N6" s="2835"/>
      <c r="O6" s="2835"/>
      <c r="P6" s="2835"/>
    </row>
    <row r="7" spans="1:16" ht="15.75" thickBot="1">
      <c r="A7" s="3322"/>
      <c r="B7" s="3323"/>
      <c r="C7" s="3324"/>
      <c r="D7" s="1777" t="s">
        <v>1552</v>
      </c>
      <c r="E7" s="1781" t="s">
        <v>1559</v>
      </c>
      <c r="F7" s="2835"/>
      <c r="G7" s="2831" t="s">
        <v>1560</v>
      </c>
      <c r="H7" s="2832"/>
      <c r="I7" s="2833">
        <v>1.5</v>
      </c>
      <c r="J7" s="2835"/>
      <c r="K7" s="2835"/>
      <c r="L7" s="2835"/>
      <c r="M7" s="2835"/>
      <c r="N7" s="2835"/>
      <c r="O7" s="2835"/>
      <c r="P7" s="2835"/>
    </row>
    <row r="8" spans="1:16">
      <c r="A8" s="47" t="s">
        <v>1561</v>
      </c>
      <c r="B8" s="50" t="s">
        <v>1562</v>
      </c>
      <c r="C8" s="48" t="s">
        <v>1563</v>
      </c>
      <c r="D8" s="48">
        <f t="shared" ref="D8:D15" si="0">ROUND($D$3*E8/$E$3,2)</f>
        <v>0</v>
      </c>
      <c r="E8" s="51">
        <f>SUMIF('数据-基础表'!BB10:BK10,"地上",'数据-基础表'!BB5:BK5)</f>
        <v>17198.239999999998</v>
      </c>
      <c r="F8" s="2835"/>
      <c r="G8" s="2836"/>
      <c r="H8" s="2836"/>
      <c r="I8" s="2835"/>
      <c r="J8" s="2835"/>
      <c r="K8" s="2835"/>
      <c r="L8" s="2835"/>
      <c r="M8" s="2835"/>
      <c r="N8" s="2835"/>
      <c r="O8" s="2835"/>
      <c r="P8" s="2835"/>
    </row>
    <row r="9" spans="1:16">
      <c r="A9" s="1782"/>
      <c r="B9" s="1783"/>
      <c r="C9" s="48" t="s">
        <v>1564</v>
      </c>
      <c r="D9" s="48">
        <f t="shared" si="0"/>
        <v>0</v>
      </c>
      <c r="E9" s="52">
        <v>0</v>
      </c>
      <c r="F9" s="2835"/>
      <c r="G9" s="2836"/>
      <c r="H9" s="2836"/>
      <c r="I9" s="2835"/>
      <c r="J9" s="2835"/>
      <c r="K9" s="2835"/>
      <c r="L9" s="2835"/>
      <c r="M9" s="2835"/>
      <c r="N9" s="2835"/>
      <c r="O9" s="2835"/>
      <c r="P9" s="2835"/>
    </row>
    <row r="10" spans="1:16">
      <c r="A10" s="1782"/>
      <c r="B10" s="1783"/>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2"/>
      <c r="B11" s="1783"/>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2"/>
      <c r="B13" s="1783"/>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2"/>
      <c r="B14" s="1783"/>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80"/>
      <c r="B16" s="1783"/>
      <c r="C16" s="50" t="s">
        <v>1568</v>
      </c>
      <c r="D16" s="50">
        <f>SUM(D8:D15)</f>
        <v>0</v>
      </c>
      <c r="E16" s="53">
        <f>SUM(E8:E15)</f>
        <v>17198.239999999998</v>
      </c>
      <c r="F16" s="2835"/>
      <c r="G16" s="2836"/>
      <c r="H16" s="1784" t="s">
        <v>1580</v>
      </c>
      <c r="I16" s="1785"/>
      <c r="J16" s="1254"/>
      <c r="K16" s="3319" t="s">
        <v>1580</v>
      </c>
      <c r="L16" s="3320"/>
      <c r="M16" s="3320"/>
      <c r="N16" s="3320"/>
      <c r="O16" s="3320"/>
      <c r="P16" s="3321"/>
    </row>
    <row r="17" spans="1:19" ht="15">
      <c r="A17" s="1786" t="s">
        <v>1581</v>
      </c>
      <c r="B17" s="1787" t="s">
        <v>1582</v>
      </c>
      <c r="C17" s="1788" t="s">
        <v>1583</v>
      </c>
      <c r="D17" s="1789" t="s">
        <v>1571</v>
      </c>
      <c r="E17" s="1790" t="s">
        <v>1572</v>
      </c>
      <c r="F17" s="1791"/>
      <c r="G17" s="1792"/>
      <c r="H17" s="1793" t="s">
        <v>1584</v>
      </c>
      <c r="I17" s="1794" t="s">
        <v>1569</v>
      </c>
      <c r="J17" s="1254"/>
      <c r="K17" s="3316" t="s">
        <v>1585</v>
      </c>
      <c r="L17" s="3317"/>
      <c r="M17" s="3318"/>
      <c r="N17" s="3316" t="s">
        <v>1586</v>
      </c>
      <c r="O17" s="3317"/>
      <c r="P17" s="331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25" t="s">
        <v>3525</v>
      </c>
      <c r="D19" s="48">
        <f>ROUND($D$3*E19/$E$3,2)</f>
        <v>0</v>
      </c>
      <c r="E19" s="56">
        <f t="shared" ref="E19:E26" si="1">SUM(F19:G19)</f>
        <v>17198.239999999998</v>
      </c>
      <c r="F19" s="2974">
        <f>面积表!B10</f>
        <v>17198.239999999998</v>
      </c>
      <c r="G19" s="2975"/>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0</v>
      </c>
      <c r="S19" s="1139">
        <f t="shared" si="5"/>
        <v>17198.239999999998</v>
      </c>
    </row>
    <row r="20" spans="1:19">
      <c r="A20" s="1807"/>
      <c r="B20" s="50" t="s">
        <v>1598</v>
      </c>
      <c r="C20" s="1804"/>
      <c r="D20" s="48">
        <f t="shared" ref="D20:D26" si="6">ROUND($D$3*E20/$E$3,2)</f>
        <v>0</v>
      </c>
      <c r="E20" s="56">
        <f t="shared" si="1"/>
        <v>0</v>
      </c>
      <c r="F20" s="2974"/>
      <c r="G20" s="2975"/>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4"/>
      <c r="G21" s="2975"/>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0</v>
      </c>
      <c r="E27" s="1256">
        <f>IF(SUM(E19:E26)='数据-基础表'!BA5,SUM(E19:E26),IF(F27="地上面积有误","面积有误","地下面积有误"))</f>
        <v>17198.239999999998</v>
      </c>
      <c r="F27" s="1255">
        <f>IF(SUM(F19:F26)=E8,SUM(F19:F26),"地上面积有误")</f>
        <v>17198.239999999998</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17198.239999999998</v>
      </c>
    </row>
    <row r="28" spans="1:19">
      <c r="A28" s="1807"/>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7"/>
      <c r="B29" s="50" t="s">
        <v>1600</v>
      </c>
      <c r="C29" s="1811"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7"/>
      <c r="B30" s="50"/>
      <c r="C30" s="1812"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3"/>
      <c r="B31" s="1814"/>
      <c r="C31" s="925" t="s">
        <v>1603</v>
      </c>
      <c r="D31" s="685">
        <f>D27+D30</f>
        <v>0</v>
      </c>
      <c r="E31" s="685">
        <f>E27+E30</f>
        <v>17198.239999999998</v>
      </c>
      <c r="F31" s="686">
        <f>F27+F30</f>
        <v>17198.239999999998</v>
      </c>
      <c r="G31" s="687">
        <f>G27+G30</f>
        <v>0</v>
      </c>
      <c r="H31" s="2835"/>
      <c r="I31" s="2835"/>
      <c r="J31" s="2835"/>
      <c r="K31" s="2835"/>
      <c r="L31" s="2835"/>
      <c r="M31" s="2835"/>
      <c r="N31" s="2835"/>
      <c r="O31" s="2835"/>
      <c r="P31" s="2835"/>
    </row>
    <row r="32" spans="1:19">
      <c r="A32" s="1779"/>
      <c r="B32" s="1779" t="s">
        <v>1604</v>
      </c>
      <c r="C32" s="1779"/>
      <c r="D32" s="1779"/>
      <c r="E32" s="1165">
        <f>SUMIF(C19:C26,"*住宅*",E19:E26)</f>
        <v>0</v>
      </c>
      <c r="F32" s="1779"/>
      <c r="G32" s="1779"/>
      <c r="H32" s="2835"/>
      <c r="I32" s="2835"/>
      <c r="J32" s="2835"/>
      <c r="K32" s="2835"/>
      <c r="L32" s="2835"/>
      <c r="M32" s="2835"/>
      <c r="N32" s="2835"/>
      <c r="O32" s="2835"/>
      <c r="P32" s="2835"/>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0" activePane="bottomRight" state="frozen"/>
      <selection activeCell="C50" sqref="C50"/>
      <selection pane="topRight" activeCell="C50" sqref="C50"/>
      <selection pane="bottomLeft" activeCell="C50" sqref="C50"/>
      <selection pane="bottomRight" activeCell="L50" sqref="L50"/>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8"/>
      <c r="AO1" s="2848"/>
      <c r="AP1" s="2848"/>
      <c r="AQ1" s="2848"/>
      <c r="AR1" s="2848"/>
    </row>
    <row r="2" spans="1:67" s="1695" customFormat="1" ht="15.75" thickBot="1">
      <c r="A2" s="1820" t="s">
        <v>1606</v>
      </c>
      <c r="B2" s="1157">
        <f>项目基本情况!D3</f>
        <v>44804</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0"/>
      <c r="AO2" s="2850"/>
      <c r="AP2" s="2850"/>
      <c r="AQ2" s="2850"/>
      <c r="AR2" s="2850"/>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0"/>
      <c r="AO3" s="2850"/>
      <c r="AP3" s="2850"/>
      <c r="AQ3" s="2850"/>
      <c r="AR3" s="2850"/>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4"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0"/>
      <c r="AO4" s="2850"/>
      <c r="AP4" s="2850"/>
      <c r="AQ4" s="2850"/>
      <c r="AR4" s="2850"/>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3526</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酒店</v>
      </c>
      <c r="B6" s="1850" t="str">
        <f>IF(A6=0,"","经营性")</f>
        <v>经营性</v>
      </c>
      <c r="C6" s="1851" t="s">
        <v>27</v>
      </c>
      <c r="D6" s="948">
        <f>SUMIF(项目基本情况!D$12:I$12,C6,项目基本情况!D$14:I$14)</f>
        <v>40</v>
      </c>
      <c r="E6" s="947">
        <f>IF(B6="","",SUMIF(项目基本情况!D$12:I$12,C6,项目基本情况!D$13:I$13))</f>
        <v>59144</v>
      </c>
      <c r="F6" s="68">
        <f>SUMIF(项目基本情况!D$12:I$12,C6,项目基本情况!D$15:I$15)</f>
        <v>39.28</v>
      </c>
      <c r="G6" s="69">
        <f>IF(ISERROR(ROUND(POWER(1+H6,D6-F6)*(POWER(1+H6,F6)-1)/(POWER(1+H6,D6)-1),3)),0,ROUND(POWER(1+H6,D6-F6)*(POWER(1+H6,F6)-1)/(POWER(1+H6,D6)-1),3))</f>
        <v>0.99399999999999999</v>
      </c>
      <c r="H6" s="741">
        <v>0.05</v>
      </c>
      <c r="I6" s="741">
        <v>5.5E-2</v>
      </c>
      <c r="J6" s="70">
        <v>7.0000000000000007E-2</v>
      </c>
      <c r="K6" s="1142">
        <f>SUMIF('数据-汇总表'!C$19:C$33,A6,'数据-汇总表'!E$19:E$33)</f>
        <v>17198.239999999998</v>
      </c>
      <c r="L6" s="742">
        <v>7500</v>
      </c>
      <c r="M6" s="71">
        <f t="shared" ref="M6:M14" si="0">ROUND(K6*L6/10000,0)</f>
        <v>12899</v>
      </c>
      <c r="N6" s="740">
        <f>N19</f>
        <v>0.83</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287">
        <f>ROUND($L$14*S6/10000,0)</f>
        <v>0</v>
      </c>
      <c r="U6" s="74"/>
      <c r="V6" s="75"/>
      <c r="W6" s="75"/>
      <c r="X6" s="1152"/>
      <c r="Y6" s="76">
        <f>N6</f>
        <v>0.83</v>
      </c>
      <c r="Z6" s="77"/>
      <c r="AA6" s="70"/>
      <c r="AB6" s="70"/>
      <c r="AC6" s="1152"/>
      <c r="AD6" s="78"/>
      <c r="AE6" s="1153">
        <f ca="1">IF(AN6="",0,SUMIF(INDIRECT("'"&amp;AN6&amp;"'"&amp;"!E:E"),$AE$5,INDIRECT("'"&amp;AN6&amp;"'"&amp;"!F:F")))</f>
        <v>0</v>
      </c>
      <c r="AF6" s="1483"/>
      <c r="AG6" s="143">
        <f>IF(AF6="",0,AE6-AF6)</f>
        <v>0</v>
      </c>
      <c r="AH6" s="79"/>
      <c r="AI6" s="81">
        <v>365</v>
      </c>
      <c r="AJ6" s="82"/>
      <c r="AK6" s="83">
        <v>0.01</v>
      </c>
      <c r="AL6" s="84">
        <v>1.5E-3</v>
      </c>
      <c r="AM6" s="85">
        <v>0.01</v>
      </c>
      <c r="AN6" s="1852" t="s">
        <v>3529</v>
      </c>
      <c r="AO6" s="55" t="e">
        <f ca="1">SUMIF(INDIRECT("'"&amp;AN6&amp;"'"&amp;"!A:A"),"总价",INDIRECT("'"&amp;AN6&amp;"'"&amp;"!B:B"))</f>
        <v>#DIV/0!</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8"/>
      <c r="AO14" s="2850"/>
      <c r="AP14" s="2850"/>
      <c r="AQ14" s="2850"/>
      <c r="AR14" s="2850"/>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8"/>
      <c r="AO15" s="2850"/>
      <c r="AP15" s="2850"/>
      <c r="AQ15" s="2850"/>
      <c r="AR15" s="2850"/>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0.99399999999999999</v>
      </c>
      <c r="H16" s="95">
        <f>ROUND(SUMPRODUCT(H6:H13,K6:K13)/SUMPRODUCT((H6:H13&gt;0)*(K6:K13)),3)</f>
        <v>0.05</v>
      </c>
      <c r="I16" s="96"/>
      <c r="J16" s="96"/>
      <c r="K16" s="97">
        <f>SUM(K6:K15)</f>
        <v>17198.239999999998</v>
      </c>
      <c r="L16" s="98">
        <f>ROUND(M16*10000/SUM(K6:K14),0)</f>
        <v>7500</v>
      </c>
      <c r="M16" s="98">
        <f>SUM(M6:M14)</f>
        <v>12899</v>
      </c>
      <c r="N16" s="99">
        <f>ROUND(SUMPRODUCT(M6:M14,N6:N14)/M16,3)</f>
        <v>0.83</v>
      </c>
      <c r="O16" s="98">
        <f>SUM(O6:O14)</f>
        <v>0</v>
      </c>
      <c r="P16" s="98">
        <f>SUM(P6:P14)</f>
        <v>0</v>
      </c>
      <c r="Q16" s="100">
        <f>ROUND(SUMPRODUCT(Q6:Q13,K6:K13)/SUMPRODUCT((Q6:Q13&gt;0)*(K6:K13)),2)</f>
        <v>0.2</v>
      </c>
      <c r="R16" s="114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9" t="s">
        <v>1656</v>
      </c>
      <c r="B19" s="108">
        <v>0</v>
      </c>
      <c r="C19" s="2978" t="s">
        <v>2805</v>
      </c>
      <c r="D19" s="2853"/>
      <c r="E19" s="2850"/>
      <c r="F19" s="2850"/>
      <c r="G19" s="2850"/>
      <c r="H19" s="2850"/>
      <c r="I19" s="2850"/>
      <c r="J19" s="2850"/>
      <c r="K19" s="2849"/>
      <c r="L19" s="2849"/>
      <c r="M19" s="2848"/>
      <c r="N19" s="2848">
        <f>ROUND(1-(2022-2012)/60,2)</f>
        <v>0.83</v>
      </c>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60" t="s">
        <v>1657</v>
      </c>
      <c r="B20" s="109">
        <v>2</v>
      </c>
      <c r="C20" s="2979" t="s">
        <v>2803</v>
      </c>
      <c r="D20" s="2853"/>
      <c r="E20" s="2850"/>
      <c r="F20" s="2850"/>
      <c r="G20" s="2850"/>
      <c r="H20" s="2850"/>
      <c r="I20" s="2850"/>
      <c r="J20" s="2850"/>
      <c r="K20" s="2849"/>
      <c r="L20" s="2849"/>
      <c r="M20" s="2848"/>
      <c r="N20" s="2848"/>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1" t="s">
        <v>1658</v>
      </c>
      <c r="B21" s="109">
        <v>2</v>
      </c>
      <c r="C21" s="2850"/>
      <c r="D21" s="2853"/>
      <c r="E21" s="2850"/>
      <c r="F21" s="2850"/>
      <c r="G21" s="2850"/>
      <c r="H21" s="2850"/>
      <c r="I21" s="2850"/>
      <c r="J21" s="2850"/>
      <c r="K21" s="2849"/>
      <c r="L21" s="2849"/>
      <c r="M21" s="2848"/>
      <c r="N21" s="2848"/>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60" t="s">
        <v>1659</v>
      </c>
      <c r="B22" s="110">
        <f>B19+B20</f>
        <v>2</v>
      </c>
      <c r="C22" s="2850"/>
      <c r="D22" s="2853"/>
      <c r="E22" s="2850"/>
      <c r="F22" s="2850"/>
      <c r="G22" s="2850"/>
      <c r="H22" s="2850"/>
      <c r="I22" s="2850"/>
      <c r="J22" s="2850"/>
      <c r="K22" s="2849"/>
      <c r="L22" s="2849"/>
      <c r="M22" s="2848"/>
      <c r="N22" s="2848"/>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1" t="s">
        <v>1660</v>
      </c>
      <c r="B23" s="110">
        <f>B19+B21</f>
        <v>2</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2" t="s">
        <v>1661</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3"/>
      <c r="B25" s="1824"/>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20" t="s">
        <v>1662</v>
      </c>
      <c r="B26" s="1863" t="s">
        <v>1663</v>
      </c>
      <c r="C26" s="2854" t="s">
        <v>1664</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5" customFormat="1" ht="27.75">
      <c r="A27" s="1864" t="s">
        <v>1665</v>
      </c>
      <c r="B27" s="112"/>
      <c r="C27" s="2980" t="s">
        <v>2807</v>
      </c>
      <c r="D27" s="2856"/>
      <c r="E27" s="2837"/>
      <c r="F27" s="2837"/>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150</v>
      </c>
      <c r="C28" s="2857"/>
      <c r="D28" s="2856"/>
      <c r="E28" s="2837"/>
      <c r="F28" s="2837"/>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258</v>
      </c>
      <c r="C29" s="2981" t="s">
        <v>2794</v>
      </c>
      <c r="D29" s="2856"/>
      <c r="E29" s="2837"/>
      <c r="F29" s="2837"/>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7"/>
      <c r="D30" s="2856"/>
      <c r="E30" s="2837"/>
      <c r="F30" s="2837"/>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5"/>
      <c r="D31" s="2856"/>
      <c r="E31" s="2837"/>
      <c r="F31" s="2837"/>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0.05</v>
      </c>
      <c r="C33" s="2982" t="s">
        <v>2795</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2" t="s">
        <v>2796</v>
      </c>
      <c r="D34" s="2861" t="s">
        <v>2804</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2" t="s">
        <v>2797</v>
      </c>
      <c r="D35" s="2856"/>
      <c r="E35" s="2837"/>
      <c r="F35" s="2837"/>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2" t="s">
        <v>2798</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8" t="s">
        <v>1675</v>
      </c>
      <c r="B37" s="120">
        <v>0.02</v>
      </c>
      <c r="C37" s="2982" t="s">
        <v>2799</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6" t="s">
        <v>1676</v>
      </c>
      <c r="B38" s="118">
        <v>0.02</v>
      </c>
      <c r="C38" s="2982" t="s">
        <v>2799</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9"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3527</v>
      </c>
      <c r="B40" s="1191">
        <f ca="1">IF(A40="利息：取LPR",存贷款利率!G1,存贷款利率!G1+C40)</f>
        <v>4.1499999999999995E-2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4" t="s">
        <v>1678</v>
      </c>
      <c r="B41" s="121">
        <f>B42+B43</f>
        <v>5.6000000000000001E-2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70"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70" t="s">
        <v>1680</v>
      </c>
      <c r="B43" s="123">
        <f>B42*(B44+B45+B46)+B47</f>
        <v>6.000000000000001E-3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1" t="s">
        <v>1681</v>
      </c>
      <c r="B44" s="124">
        <v>7.0000000000000007E-2</v>
      </c>
      <c r="C44" s="2982" t="s">
        <v>2808</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1" t="s">
        <v>1682</v>
      </c>
      <c r="B45" s="122">
        <v>0.03</v>
      </c>
      <c r="C45" s="2981" t="s">
        <v>2800</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1" t="s">
        <v>1683</v>
      </c>
      <c r="B46" s="122">
        <v>0.02</v>
      </c>
      <c r="C46" s="2981" t="s">
        <v>2801</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2" t="s">
        <v>1684</v>
      </c>
      <c r="B47" s="125"/>
      <c r="C47" s="2984" t="s">
        <v>2809</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3" t="s">
        <v>1685</v>
      </c>
      <c r="B48" s="126">
        <v>0.03</v>
      </c>
      <c r="C48" s="2981" t="s">
        <v>2800</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9" t="s">
        <v>1686</v>
      </c>
      <c r="B49" s="122">
        <v>5.0000000000000001E-4</v>
      </c>
      <c r="C49" s="2981" t="s">
        <v>2802</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4" t="s">
        <v>1687</v>
      </c>
      <c r="B50" s="127">
        <v>1.2E-2</v>
      </c>
      <c r="C50" s="2837"/>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7" t="s">
        <v>1688</v>
      </c>
      <c r="B51" s="128">
        <v>0.12</v>
      </c>
      <c r="C51" s="2837"/>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4" t="s">
        <v>1689</v>
      </c>
      <c r="B52" s="129">
        <f>SUMIF(A54:A63,B53,B54:B63)</f>
        <v>5</v>
      </c>
      <c r="C52" s="2837"/>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6" t="s">
        <v>1690</v>
      </c>
      <c r="B53" s="1875" t="s">
        <v>441</v>
      </c>
      <c r="C53" s="2837" t="s">
        <v>1691</v>
      </c>
      <c r="D53" s="2983" t="s">
        <v>2806</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6" t="s">
        <v>1692</v>
      </c>
      <c r="B54" s="80"/>
      <c r="C54" s="2837">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6" t="s">
        <v>1693</v>
      </c>
      <c r="B55" s="80"/>
      <c r="C55" s="2837">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6" t="s">
        <v>1694</v>
      </c>
      <c r="B56" s="80">
        <v>5</v>
      </c>
      <c r="C56" s="2837">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6" t="s">
        <v>1695</v>
      </c>
      <c r="B57" s="80"/>
      <c r="C57" s="2837">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6" t="s">
        <v>1696</v>
      </c>
      <c r="B58" s="80"/>
      <c r="C58" s="2837">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6" t="s">
        <v>1697</v>
      </c>
      <c r="B59" s="80"/>
      <c r="C59" s="2837">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6"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6"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6"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7"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40"/>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40"/>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40"/>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40"/>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40"/>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2" customFormat="1" ht="18.75" thickBot="1">
      <c r="A1" s="3331" t="s">
        <v>2786</v>
      </c>
      <c r="B1" s="3332"/>
      <c r="C1" s="3332"/>
      <c r="D1" s="3332"/>
      <c r="E1" s="3332"/>
      <c r="F1" s="3332"/>
      <c r="G1" s="3332"/>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8"/>
      <c r="I2" s="888"/>
      <c r="J2" s="888"/>
      <c r="K2" s="888"/>
      <c r="L2" s="888"/>
      <c r="M2" s="888"/>
      <c r="N2" s="888"/>
      <c r="O2" s="888"/>
      <c r="P2" s="888"/>
      <c r="Q2" s="888"/>
      <c r="R2" s="888"/>
    </row>
    <row r="3" spans="1:29" ht="48">
      <c r="A3" s="2616" t="s">
        <v>2783</v>
      </c>
      <c r="B3" s="2638" t="s">
        <v>2752</v>
      </c>
      <c r="C3" s="2639" t="s">
        <v>2784</v>
      </c>
      <c r="D3" s="2640"/>
      <c r="E3" s="2617" t="s">
        <v>2783</v>
      </c>
      <c r="F3" s="2641" t="s">
        <v>2753</v>
      </c>
      <c r="G3" s="2642" t="s">
        <v>2785</v>
      </c>
      <c r="H3" s="888"/>
      <c r="I3" s="888"/>
      <c r="J3" s="888"/>
      <c r="K3" s="888"/>
      <c r="L3" s="888"/>
      <c r="M3" s="888"/>
      <c r="N3" s="888"/>
      <c r="O3" s="888"/>
      <c r="P3" s="888"/>
      <c r="Q3" s="888"/>
      <c r="R3" s="888"/>
    </row>
    <row r="4" spans="1:29" ht="36.75">
      <c r="A4" s="2617"/>
      <c r="B4" s="329" t="s">
        <v>2754</v>
      </c>
      <c r="C4" s="2643" t="s">
        <v>2755</v>
      </c>
      <c r="D4" s="2640"/>
      <c r="E4" s="2644"/>
      <c r="F4" s="1508" t="s">
        <v>2756</v>
      </c>
      <c r="G4" s="2645" t="s">
        <v>2757</v>
      </c>
      <c r="H4" s="888"/>
      <c r="I4" s="888"/>
      <c r="J4" s="888"/>
      <c r="K4" s="888"/>
      <c r="L4" s="888"/>
      <c r="M4" s="888"/>
      <c r="N4" s="888"/>
      <c r="O4" s="888"/>
      <c r="P4" s="888"/>
      <c r="Q4" s="888"/>
      <c r="R4" s="888"/>
    </row>
    <row r="5" spans="1:29" ht="36.75">
      <c r="A5" s="2617"/>
      <c r="B5" s="329" t="s">
        <v>2758</v>
      </c>
      <c r="C5" s="2643" t="s">
        <v>2759</v>
      </c>
      <c r="D5" s="2640"/>
      <c r="E5" s="2644"/>
      <c r="F5" s="329" t="s">
        <v>2760</v>
      </c>
      <c r="G5" s="2645" t="s">
        <v>2761</v>
      </c>
      <c r="H5" s="888"/>
      <c r="I5" s="888"/>
      <c r="J5" s="888"/>
      <c r="K5" s="888"/>
      <c r="L5" s="888"/>
      <c r="M5" s="888"/>
      <c r="N5" s="888"/>
      <c r="O5" s="888"/>
      <c r="P5" s="888"/>
      <c r="Q5" s="888"/>
      <c r="R5" s="888"/>
    </row>
    <row r="6" spans="1:29" ht="36">
      <c r="A6" s="2617"/>
      <c r="B6" s="329" t="s">
        <v>2762</v>
      </c>
      <c r="C6" s="2645" t="s">
        <v>2757</v>
      </c>
      <c r="D6" s="2640"/>
      <c r="E6" s="2644"/>
      <c r="F6" s="329" t="s">
        <v>2763</v>
      </c>
      <c r="G6" s="2645" t="s">
        <v>2764</v>
      </c>
      <c r="H6" s="888"/>
      <c r="I6" s="888"/>
      <c r="J6" s="888"/>
      <c r="K6" s="888"/>
      <c r="L6" s="888"/>
      <c r="M6" s="888"/>
      <c r="N6" s="888"/>
      <c r="O6" s="888"/>
      <c r="P6" s="888"/>
      <c r="Q6" s="888"/>
      <c r="R6" s="888"/>
    </row>
    <row r="7" spans="1:29" ht="24.75" thickBot="1">
      <c r="A7" s="2617"/>
      <c r="B7" s="329" t="s">
        <v>2760</v>
      </c>
      <c r="C7" s="2645" t="s">
        <v>2761</v>
      </c>
      <c r="D7" s="2646"/>
      <c r="E7" s="2647"/>
      <c r="F7" s="2648" t="s">
        <v>2765</v>
      </c>
      <c r="G7" s="2649" t="s">
        <v>2766</v>
      </c>
      <c r="H7" s="888"/>
      <c r="I7" s="888"/>
      <c r="J7" s="888"/>
      <c r="K7" s="888"/>
      <c r="L7" s="888"/>
      <c r="M7" s="888"/>
      <c r="N7" s="888"/>
      <c r="O7" s="888"/>
      <c r="P7" s="888"/>
      <c r="Q7" s="888"/>
      <c r="R7" s="888"/>
    </row>
    <row r="8" spans="1:29">
      <c r="A8" s="2617"/>
      <c r="B8" s="329" t="s">
        <v>2763</v>
      </c>
      <c r="C8" s="2645" t="s">
        <v>2764</v>
      </c>
      <c r="D8" s="2646"/>
      <c r="E8" s="2646"/>
      <c r="F8" s="2650"/>
      <c r="G8" s="2650"/>
      <c r="H8" s="888"/>
      <c r="I8" s="888"/>
      <c r="J8" s="888"/>
      <c r="K8" s="888"/>
      <c r="L8" s="888"/>
      <c r="M8" s="888"/>
      <c r="N8" s="888"/>
      <c r="O8" s="888"/>
      <c r="P8" s="888"/>
      <c r="Q8" s="888"/>
      <c r="R8" s="888"/>
    </row>
    <row r="9" spans="1:29" ht="24">
      <c r="A9" s="2617"/>
      <c r="B9" s="329" t="s">
        <v>2767</v>
      </c>
      <c r="C9" s="2643" t="s">
        <v>2768</v>
      </c>
      <c r="D9" s="2640"/>
      <c r="E9" s="2646"/>
      <c r="F9" s="2650"/>
      <c r="G9" s="2650"/>
      <c r="H9" s="888"/>
      <c r="I9" s="888"/>
      <c r="J9" s="888"/>
      <c r="K9" s="888"/>
      <c r="L9" s="888"/>
      <c r="M9" s="888"/>
      <c r="N9" s="888"/>
      <c r="O9" s="888"/>
      <c r="P9" s="888"/>
      <c r="Q9" s="888"/>
      <c r="R9" s="888"/>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8" customFormat="1" ht="15" thickBot="1">
      <c r="A23" s="2621"/>
      <c r="B23" s="2677" t="s">
        <v>2778</v>
      </c>
      <c r="C23" s="2680"/>
      <c r="D23" s="1878"/>
      <c r="E23" s="2623"/>
      <c r="F23" s="2681" t="s">
        <v>2779</v>
      </c>
      <c r="G23" s="2682"/>
      <c r="H23" s="2666"/>
      <c r="I23" s="2667"/>
      <c r="J23" s="2666"/>
      <c r="K23" s="2666"/>
      <c r="L23" s="2667"/>
      <c r="M23" s="2666"/>
      <c r="N23" s="2666"/>
      <c r="O23" s="2667"/>
      <c r="P23" s="2666"/>
      <c r="Q23" s="2666"/>
      <c r="R23" s="2668"/>
    </row>
    <row r="24" spans="1:18" s="888" customFormat="1" ht="15" thickBot="1">
      <c r="A24" s="2624"/>
      <c r="B24" s="2681" t="s">
        <v>2780</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8" sqref="D38"/>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17198.239999999998</v>
      </c>
      <c r="C1" s="2863"/>
      <c r="D1" s="2863"/>
      <c r="E1" s="2863"/>
      <c r="F1" s="2863"/>
      <c r="G1" s="2864"/>
      <c r="H1" s="2865"/>
      <c r="I1" s="2865"/>
      <c r="J1" s="2865"/>
      <c r="K1" s="2865"/>
    </row>
    <row r="2" spans="1:11" ht="16.5">
      <c r="A2" s="2687" t="s">
        <v>1078</v>
      </c>
      <c r="B2" s="2687">
        <f>SUM(C14:C23)</f>
        <v>0</v>
      </c>
      <c r="C2" s="2863"/>
      <c r="D2" s="2863"/>
      <c r="E2" s="2863"/>
      <c r="F2" s="2863"/>
      <c r="G2" s="2864"/>
      <c r="H2" s="2865"/>
      <c r="I2" s="2865"/>
      <c r="J2" s="2865"/>
      <c r="K2" s="2865"/>
    </row>
    <row r="3" spans="1:11" ht="16.5">
      <c r="A3" s="2687" t="s">
        <v>1087</v>
      </c>
      <c r="B3" s="2689">
        <f>项目基本情况!D3</f>
        <v>44804</v>
      </c>
      <c r="C3" s="2863"/>
      <c r="D3" s="2863"/>
      <c r="E3" s="2863"/>
      <c r="F3" s="2863"/>
      <c r="G3" s="2864"/>
      <c r="H3" s="2865"/>
      <c r="I3" s="2865"/>
      <c r="J3" s="2865"/>
      <c r="K3" s="2865"/>
    </row>
    <row r="4" spans="1:11" ht="33">
      <c r="A4" s="2687" t="s">
        <v>1086</v>
      </c>
      <c r="B4" s="2687" t="s">
        <v>1085</v>
      </c>
      <c r="C4" s="2687" t="s">
        <v>1084</v>
      </c>
      <c r="D4" s="2687" t="s">
        <v>1083</v>
      </c>
      <c r="E4" s="2863"/>
      <c r="F4" s="2864"/>
      <c r="G4" s="2864"/>
      <c r="H4" s="2865"/>
      <c r="I4" s="2865"/>
      <c r="J4" s="2865"/>
      <c r="K4" s="2865"/>
    </row>
    <row r="5" spans="1:11" ht="16.5">
      <c r="A5" s="2687" t="s">
        <v>1082</v>
      </c>
      <c r="B5" s="2687">
        <f ca="1">SUM(D14:D23)</f>
        <v>29224</v>
      </c>
      <c r="C5" s="2687">
        <f ca="1">ROUND(B5*10000/$B$1,0)</f>
        <v>16992</v>
      </c>
      <c r="D5" s="2687" t="e">
        <f ca="1">ROUND(B5*10000/$B$2,0)</f>
        <v>#DIV/0!</v>
      </c>
      <c r="E5" s="2863"/>
      <c r="F5" s="2864"/>
      <c r="G5" s="2864"/>
      <c r="H5" s="2865"/>
      <c r="I5" s="2865"/>
      <c r="J5" s="2865"/>
      <c r="K5" s="2865"/>
    </row>
    <row r="6" spans="1:11" ht="16.5">
      <c r="A6" s="2687" t="s">
        <v>1081</v>
      </c>
      <c r="B6" s="2687">
        <f ca="1">SUM(G14:G23)</f>
        <v>29224</v>
      </c>
      <c r="C6" s="2687">
        <f ca="1">ROUND(B6*10000/$B$1,0)</f>
        <v>16992</v>
      </c>
      <c r="D6" s="2687" t="e">
        <f ca="1">ROUND(B6*10000/$B$2,0)</f>
        <v>#DIV/0!</v>
      </c>
      <c r="E6" s="2863"/>
      <c r="F6" s="2864"/>
      <c r="G6" s="2864"/>
      <c r="H6" s="2865"/>
      <c r="I6" s="2865"/>
      <c r="J6" s="2865"/>
      <c r="K6" s="2865"/>
    </row>
    <row r="7" spans="1:11" ht="16.5">
      <c r="A7" s="2687" t="s">
        <v>1089</v>
      </c>
      <c r="B7" s="2687">
        <f>SUM(H14:H23)</f>
        <v>0</v>
      </c>
      <c r="C7" s="2687">
        <f>ROUND(B7*10000/$B$1,0)</f>
        <v>0</v>
      </c>
      <c r="D7" s="2687" t="e">
        <f>ROUND(B7*10000/$B$2,0)</f>
        <v>#DIV/0!</v>
      </c>
      <c r="E7" s="2863"/>
      <c r="F7" s="2864"/>
      <c r="G7" s="2864"/>
      <c r="H7" s="2865"/>
      <c r="I7" s="2865"/>
      <c r="J7" s="2865"/>
      <c r="K7" s="2865"/>
    </row>
    <row r="8" spans="1:11" ht="16.5">
      <c r="A8" s="2687" t="s">
        <v>1012</v>
      </c>
      <c r="B8" s="2687">
        <f ca="1">SUM(I14:I23)</f>
        <v>29081</v>
      </c>
      <c r="C8" s="2687">
        <f ca="1">ROUND(B8*10000/$B$1,0)</f>
        <v>16909</v>
      </c>
      <c r="D8" s="2687" t="e">
        <f ca="1">ROUND(B8*10000/$B$2,0)</f>
        <v>#DIV/0!</v>
      </c>
      <c r="E8" s="2863"/>
      <c r="F8" s="2864"/>
      <c r="G8" s="2864"/>
      <c r="H8" s="2865"/>
      <c r="I8" s="2865"/>
      <c r="J8" s="2865"/>
      <c r="K8" s="2865"/>
    </row>
    <row r="9" spans="1:11" ht="16.5">
      <c r="A9" s="2687" t="s">
        <v>1080</v>
      </c>
      <c r="B9" s="2695"/>
      <c r="C9" s="2863"/>
      <c r="D9" s="2863"/>
      <c r="E9" s="2863"/>
      <c r="F9" s="2864"/>
      <c r="G9" s="2864"/>
      <c r="H9" s="2865"/>
      <c r="I9" s="2865"/>
      <c r="J9" s="2865"/>
      <c r="K9" s="2865"/>
    </row>
    <row r="10" spans="1:11" ht="16.5">
      <c r="A10" s="2687" t="s">
        <v>1079</v>
      </c>
      <c r="B10" s="2695"/>
      <c r="C10" s="2863"/>
      <c r="D10" s="2863"/>
      <c r="E10" s="2863"/>
      <c r="F10" s="2864"/>
      <c r="G10" s="2864"/>
      <c r="H10" s="2865"/>
      <c r="I10" s="2865"/>
      <c r="J10" s="2865"/>
      <c r="K10" s="2865"/>
    </row>
    <row r="11" spans="1:11" ht="16.5">
      <c r="A11" s="2687" t="s">
        <v>1095</v>
      </c>
      <c r="B11" s="2695"/>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90" t="s">
        <v>1094</v>
      </c>
      <c r="B13" s="2691" t="s">
        <v>1091</v>
      </c>
      <c r="C13" s="2691" t="s">
        <v>1093</v>
      </c>
      <c r="D13" s="2691" t="s">
        <v>1092</v>
      </c>
      <c r="E13" s="2687" t="s">
        <v>1084</v>
      </c>
      <c r="F13" s="2687" t="s">
        <v>1083</v>
      </c>
      <c r="G13" s="2691" t="s">
        <v>1077</v>
      </c>
      <c r="H13" s="2691" t="s">
        <v>1088</v>
      </c>
      <c r="I13" s="2691" t="s">
        <v>1076</v>
      </c>
      <c r="J13" s="2864"/>
      <c r="K13" s="2865"/>
    </row>
    <row r="14" spans="1:11" ht="16.5">
      <c r="A14" s="2692" t="s">
        <v>1075</v>
      </c>
      <c r="B14" s="2693">
        <f>结果表!B118</f>
        <v>17198.239999999998</v>
      </c>
      <c r="C14" s="2693">
        <f>结果表!C118</f>
        <v>0</v>
      </c>
      <c r="D14" s="2693">
        <f ca="1">结果表!H118</f>
        <v>29224</v>
      </c>
      <c r="E14" s="2693">
        <f ca="1">ROUND(D14*10000/B14,0)</f>
        <v>16992</v>
      </c>
      <c r="F14" s="2693" t="e">
        <f ca="1">ROUND(D14*10000/C14,0)</f>
        <v>#DIV/0!</v>
      </c>
      <c r="G14" s="2693">
        <f ca="1">结果表!D122</f>
        <v>29224</v>
      </c>
      <c r="H14" s="2693" t="str">
        <f>结果表!D124</f>
        <v>——</v>
      </c>
      <c r="I14" s="2693">
        <f ca="1">结果表!D126</f>
        <v>29081</v>
      </c>
      <c r="J14" s="2864"/>
      <c r="K14" s="2865"/>
    </row>
    <row r="15" spans="1:11" ht="16.5">
      <c r="A15" s="2692" t="s">
        <v>1074</v>
      </c>
      <c r="B15" s="2694"/>
      <c r="C15" s="2694"/>
      <c r="D15" s="2694"/>
      <c r="E15" s="2693" t="e">
        <f t="shared" ref="E15:E23" si="0">ROUND(D15*10000/B15,0)</f>
        <v>#DIV/0!</v>
      </c>
      <c r="F15" s="2693" t="e">
        <f t="shared" ref="F15:F23" si="1">ROUND(D15*10000/C15,0)</f>
        <v>#DIV/0!</v>
      </c>
      <c r="G15" s="1452"/>
      <c r="H15" s="1452"/>
      <c r="I15" s="2694"/>
      <c r="J15" s="2864"/>
      <c r="K15" s="2865"/>
    </row>
    <row r="16" spans="1:11" ht="16.5">
      <c r="A16" s="2692" t="s">
        <v>1073</v>
      </c>
      <c r="B16" s="2694"/>
      <c r="C16" s="2694"/>
      <c r="D16" s="2694"/>
      <c r="E16" s="2693" t="e">
        <f t="shared" si="0"/>
        <v>#DIV/0!</v>
      </c>
      <c r="F16" s="2693" t="e">
        <f t="shared" si="1"/>
        <v>#DIV/0!</v>
      </c>
      <c r="G16" s="1452"/>
      <c r="H16" s="1452"/>
      <c r="I16" s="2694"/>
      <c r="J16" s="2865"/>
      <c r="K16" s="2865"/>
    </row>
    <row r="17" spans="1:11" ht="16.5">
      <c r="A17" s="2692" t="s">
        <v>1072</v>
      </c>
      <c r="B17" s="2694"/>
      <c r="C17" s="2694"/>
      <c r="D17" s="2694"/>
      <c r="E17" s="2693" t="e">
        <f t="shared" si="0"/>
        <v>#DIV/0!</v>
      </c>
      <c r="F17" s="2693" t="e">
        <f t="shared" si="1"/>
        <v>#DIV/0!</v>
      </c>
      <c r="G17" s="1452"/>
      <c r="H17" s="1452"/>
      <c r="I17" s="2694"/>
      <c r="J17" s="2865"/>
      <c r="K17" s="2865"/>
    </row>
    <row r="18" spans="1:11" ht="16.5">
      <c r="A18" s="2692" t="s">
        <v>1071</v>
      </c>
      <c r="B18" s="2694"/>
      <c r="C18" s="2694"/>
      <c r="D18" s="2694"/>
      <c r="E18" s="2693" t="e">
        <f t="shared" si="0"/>
        <v>#DIV/0!</v>
      </c>
      <c r="F18" s="2693" t="e">
        <f t="shared" si="1"/>
        <v>#DIV/0!</v>
      </c>
      <c r="G18" s="2694"/>
      <c r="H18" s="2694"/>
      <c r="I18" s="2694"/>
      <c r="J18" s="2865"/>
      <c r="K18" s="2865"/>
    </row>
    <row r="19" spans="1:11" ht="16.5">
      <c r="A19" s="2692" t="s">
        <v>1070</v>
      </c>
      <c r="B19" s="2694"/>
      <c r="C19" s="2694"/>
      <c r="D19" s="2694"/>
      <c r="E19" s="2693" t="e">
        <f t="shared" si="0"/>
        <v>#DIV/0!</v>
      </c>
      <c r="F19" s="2693" t="e">
        <f t="shared" si="1"/>
        <v>#DIV/0!</v>
      </c>
      <c r="G19" s="2694"/>
      <c r="H19" s="2694"/>
      <c r="I19" s="2694"/>
      <c r="J19" s="2865"/>
      <c r="K19" s="2865"/>
    </row>
    <row r="20" spans="1:11" ht="16.5">
      <c r="A20" s="2692" t="s">
        <v>1069</v>
      </c>
      <c r="B20" s="2694"/>
      <c r="C20" s="2694"/>
      <c r="D20" s="2694"/>
      <c r="E20" s="2693" t="e">
        <f t="shared" si="0"/>
        <v>#DIV/0!</v>
      </c>
      <c r="F20" s="2693" t="e">
        <f t="shared" si="1"/>
        <v>#DIV/0!</v>
      </c>
      <c r="G20" s="2694"/>
      <c r="H20" s="2694"/>
      <c r="I20" s="2694"/>
      <c r="J20" s="2865"/>
      <c r="K20" s="2865"/>
    </row>
    <row r="21" spans="1:11" ht="16.5">
      <c r="A21" s="2692" t="s">
        <v>1068</v>
      </c>
      <c r="B21" s="2694"/>
      <c r="C21" s="2694"/>
      <c r="D21" s="2694"/>
      <c r="E21" s="2693" t="e">
        <f t="shared" si="0"/>
        <v>#DIV/0!</v>
      </c>
      <c r="F21" s="2693" t="e">
        <f t="shared" si="1"/>
        <v>#DIV/0!</v>
      </c>
      <c r="G21" s="2694"/>
      <c r="H21" s="2694"/>
      <c r="I21" s="2694"/>
      <c r="J21" s="2865"/>
      <c r="K21" s="2865"/>
    </row>
    <row r="22" spans="1:11" ht="16.5">
      <c r="A22" s="2692" t="s">
        <v>1067</v>
      </c>
      <c r="B22" s="2694"/>
      <c r="C22" s="2694"/>
      <c r="D22" s="2694"/>
      <c r="E22" s="2693" t="e">
        <f t="shared" si="0"/>
        <v>#DIV/0!</v>
      </c>
      <c r="F22" s="2693" t="e">
        <f t="shared" si="1"/>
        <v>#DIV/0!</v>
      </c>
      <c r="G22" s="2694"/>
      <c r="H22" s="2694"/>
      <c r="I22" s="2694"/>
      <c r="J22" s="2865"/>
      <c r="K22" s="2865"/>
    </row>
    <row r="23" spans="1:11" ht="16.5">
      <c r="A23" s="2692" t="s">
        <v>1066</v>
      </c>
      <c r="B23" s="2694"/>
      <c r="C23" s="2694"/>
      <c r="D23" s="2694"/>
      <c r="E23" s="2695" t="e">
        <f t="shared" si="0"/>
        <v>#DIV/0!</v>
      </c>
      <c r="F23" s="2695" t="e">
        <f t="shared" si="1"/>
        <v>#DIV/0!</v>
      </c>
      <c r="G23" s="2694"/>
      <c r="H23" s="2694"/>
      <c r="I23" s="2694"/>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Normal="100" zoomScaleSheetLayoutView="100" zoomScalePageLayoutView="80" workbookViewId="0">
      <selection activeCell="L35" sqref="L35"/>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67" t="str">
        <f>项目基本情况!S2</f>
        <v>江苏省南京市栖霞区元化路8号2幢101室房地产</v>
      </c>
      <c r="B2" s="3368"/>
      <c r="C2" s="3368"/>
      <c r="D2" s="3368"/>
      <c r="E2" s="3368"/>
      <c r="F2" s="3368"/>
      <c r="G2" s="3368"/>
      <c r="H2" s="3368"/>
      <c r="I2" s="3369"/>
    </row>
    <row r="3" spans="1:12" ht="12.75">
      <c r="A3" s="3371" t="s">
        <v>1709</v>
      </c>
      <c r="B3" s="3372"/>
      <c r="C3" s="3372"/>
      <c r="D3" s="3372"/>
      <c r="E3" s="3372"/>
      <c r="F3" s="3372"/>
      <c r="G3" s="3372"/>
      <c r="H3" s="3372"/>
      <c r="I3" s="3372"/>
    </row>
    <row r="4" spans="1:12" ht="14.25">
      <c r="A4" s="1891" t="s">
        <v>1710</v>
      </c>
      <c r="B4" s="1892" t="s">
        <v>1711</v>
      </c>
      <c r="C4" s="1893" t="s">
        <v>3528</v>
      </c>
      <c r="D4" s="1893" t="s">
        <v>3545</v>
      </c>
      <c r="E4" s="3373" t="s">
        <v>1712</v>
      </c>
      <c r="F4" s="3374"/>
      <c r="G4" s="3374"/>
      <c r="H4" s="3374"/>
      <c r="I4" s="337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7" t="s">
        <v>1713</v>
      </c>
      <c r="B5" s="3334">
        <v>25</v>
      </c>
      <c r="C5" s="3350"/>
      <c r="D5" s="3370"/>
      <c r="E5" s="136" t="s">
        <v>1714</v>
      </c>
      <c r="F5" s="1894"/>
      <c r="G5" s="1894"/>
      <c r="H5" s="1894"/>
      <c r="I5" s="1508"/>
    </row>
    <row r="6" spans="1:12" ht="12.75">
      <c r="A6" s="3347"/>
      <c r="B6" s="3334"/>
      <c r="C6" s="3351"/>
      <c r="D6" s="3370"/>
      <c r="E6" s="136" t="s">
        <v>1715</v>
      </c>
      <c r="F6" s="1894"/>
      <c r="G6" s="1894"/>
      <c r="H6" s="1894"/>
      <c r="I6" s="1508"/>
    </row>
    <row r="7" spans="1:12" ht="12.75">
      <c r="A7" s="3347"/>
      <c r="B7" s="3334"/>
      <c r="C7" s="3352"/>
      <c r="D7" s="3370"/>
      <c r="E7" s="136" t="s">
        <v>1716</v>
      </c>
      <c r="F7" s="1894"/>
      <c r="G7" s="1894"/>
      <c r="H7" s="1894"/>
      <c r="I7" s="1508"/>
    </row>
    <row r="8" spans="1:12" ht="12.75">
      <c r="A8" s="3347" t="s">
        <v>1717</v>
      </c>
      <c r="B8" s="3334">
        <v>15</v>
      </c>
      <c r="C8" s="3350"/>
      <c r="D8" s="3370"/>
      <c r="E8" s="136" t="s">
        <v>1718</v>
      </c>
      <c r="F8" s="1894"/>
      <c r="G8" s="1894"/>
      <c r="H8" s="1894"/>
      <c r="I8" s="1508"/>
    </row>
    <row r="9" spans="1:12" ht="12.75">
      <c r="A9" s="3347"/>
      <c r="B9" s="3334"/>
      <c r="C9" s="3352"/>
      <c r="D9" s="3370"/>
      <c r="E9" s="136" t="s">
        <v>1719</v>
      </c>
      <c r="F9" s="1894"/>
      <c r="G9" s="1894"/>
      <c r="H9" s="1894"/>
      <c r="I9" s="1508"/>
    </row>
    <row r="10" spans="1:12" ht="12.75">
      <c r="A10" s="3347" t="s">
        <v>1720</v>
      </c>
      <c r="B10" s="3334">
        <v>15</v>
      </c>
      <c r="C10" s="3350"/>
      <c r="D10" s="3370"/>
      <c r="E10" s="136" t="s">
        <v>1721</v>
      </c>
      <c r="F10" s="1894"/>
      <c r="G10" s="1894"/>
      <c r="H10" s="1894"/>
      <c r="I10" s="1508"/>
    </row>
    <row r="11" spans="1:12" ht="12.75">
      <c r="A11" s="3347"/>
      <c r="B11" s="3334"/>
      <c r="C11" s="3352"/>
      <c r="D11" s="3370"/>
      <c r="E11" s="136" t="s">
        <v>1722</v>
      </c>
      <c r="F11" s="1894"/>
      <c r="G11" s="1894"/>
      <c r="H11" s="1894"/>
      <c r="I11" s="1508"/>
    </row>
    <row r="12" spans="1:12" ht="12.75">
      <c r="A12" s="3347" t="s">
        <v>1723</v>
      </c>
      <c r="B12" s="3334">
        <v>15</v>
      </c>
      <c r="C12" s="3350"/>
      <c r="D12" s="3370"/>
      <c r="E12" s="136" t="s">
        <v>1724</v>
      </c>
      <c r="F12" s="1894"/>
      <c r="G12" s="1894"/>
      <c r="H12" s="1894"/>
      <c r="I12" s="1508"/>
    </row>
    <row r="13" spans="1:12" ht="12.75">
      <c r="A13" s="3347"/>
      <c r="B13" s="3334"/>
      <c r="C13" s="3352"/>
      <c r="D13" s="3370"/>
      <c r="E13" s="136" t="s">
        <v>1725</v>
      </c>
      <c r="F13" s="1894"/>
      <c r="G13" s="1894"/>
      <c r="H13" s="1894"/>
      <c r="I13" s="1508"/>
    </row>
    <row r="14" spans="1:12" ht="12.75">
      <c r="A14" s="3347" t="s">
        <v>1726</v>
      </c>
      <c r="B14" s="3334">
        <v>30</v>
      </c>
      <c r="C14" s="3350">
        <v>3</v>
      </c>
      <c r="D14" s="3370">
        <v>7</v>
      </c>
      <c r="E14" s="136" t="s">
        <v>1727</v>
      </c>
      <c r="F14" s="1894"/>
      <c r="G14" s="1894"/>
      <c r="H14" s="1894"/>
      <c r="I14" s="1508"/>
    </row>
    <row r="15" spans="1:12" ht="12.75">
      <c r="A15" s="3347"/>
      <c r="B15" s="3334"/>
      <c r="C15" s="3351"/>
      <c r="D15" s="3370"/>
      <c r="E15" s="136" t="s">
        <v>1728</v>
      </c>
      <c r="F15" s="1894"/>
      <c r="G15" s="1894"/>
      <c r="H15" s="1894"/>
      <c r="I15" s="1508"/>
    </row>
    <row r="16" spans="1:12" ht="12.75">
      <c r="A16" s="3347"/>
      <c r="B16" s="3334"/>
      <c r="C16" s="3352"/>
      <c r="D16" s="3370"/>
      <c r="E16" s="136" t="s">
        <v>1729</v>
      </c>
      <c r="F16" s="1894"/>
      <c r="G16" s="1894"/>
      <c r="H16" s="1894"/>
      <c r="I16" s="1508"/>
    </row>
    <row r="17" spans="1:36" ht="15">
      <c r="A17" s="1895" t="s">
        <v>1730</v>
      </c>
      <c r="B17" s="60"/>
      <c r="C17" s="137">
        <f>SUM(C5:C16)</f>
        <v>3</v>
      </c>
      <c r="D17" s="137">
        <f>SUM(D5:D16)</f>
        <v>7</v>
      </c>
      <c r="E17" s="134"/>
      <c r="F17" s="134"/>
      <c r="G17" s="134"/>
      <c r="H17" s="134"/>
      <c r="I17" s="134"/>
      <c r="K17" s="308"/>
      <c r="L17" s="308" t="s">
        <v>1731</v>
      </c>
      <c r="M17" s="308" t="s">
        <v>1732</v>
      </c>
    </row>
    <row r="18" spans="1:36" ht="31.9" customHeight="1" thickBot="1">
      <c r="A18" s="1896" t="s">
        <v>1733</v>
      </c>
      <c r="B18" s="1897"/>
      <c r="C18" s="138">
        <f>ROUND(C17/SUM(C17:D17),2)</f>
        <v>0.3</v>
      </c>
      <c r="D18" s="138">
        <f>1-C18</f>
        <v>0.7</v>
      </c>
      <c r="E18" s="3357" t="s">
        <v>2631</v>
      </c>
      <c r="F18" s="3358"/>
      <c r="G18" s="3358"/>
      <c r="H18" s="3358"/>
      <c r="I18" s="3358"/>
      <c r="K18" s="308" t="s">
        <v>1734</v>
      </c>
      <c r="L18" s="308">
        <f>IF(C1="",'数据-汇总表'!E3,SUMIF(项目类型,C1,'数据-汇总表'!E17:E26)+SUMIF(项目类型,C1,'数据-汇总表'!I17:I26))</f>
        <v>17198.239999999998</v>
      </c>
      <c r="M18" s="308">
        <f>IF(C1="",'数据-汇总表'!E3,SUMIF(项目类型,C1,'数据-汇总表'!E17:E26))</f>
        <v>17198.239999999998</v>
      </c>
    </row>
    <row r="19" spans="1:36" ht="15">
      <c r="A19" s="1898" t="s">
        <v>1735</v>
      </c>
      <c r="B19" s="1899" t="s">
        <v>1736</v>
      </c>
      <c r="C19" s="139">
        <f ca="1">SUMIF(INDIRECT("'"&amp;C4&amp;"'"&amp;"!A:A"),结果表!B19,INDIRECT("'"&amp;C4&amp;"'"&amp;"!B:B"))</f>
        <v>20468</v>
      </c>
      <c r="D19" s="140">
        <f ca="1">SUMIF(INDIRECT("'"&amp;D4&amp;"'"&amp;"!A:A"),结果表!B19,INDIRECT("'"&amp;D4&amp;"'"&amp;"!B:B"))</f>
        <v>32976</v>
      </c>
      <c r="E19" s="1898" t="s">
        <v>1737</v>
      </c>
      <c r="F19" s="1899" t="s">
        <v>1736</v>
      </c>
      <c r="G19" s="141">
        <f ca="1">ROUND(C19*$C$18+D19*$D$18,0)</f>
        <v>29224</v>
      </c>
      <c r="H19" s="1900"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901"/>
      <c r="B20" s="1138" t="s">
        <v>1740</v>
      </c>
      <c r="C20" s="142">
        <f ca="1">SUMIF(INDIRECT("'"&amp;C4&amp;"'"&amp;"!A:A"),结果表!B20,INDIRECT("'"&amp;C4&amp;"'"&amp;"!B:B"))</f>
        <v>11901</v>
      </c>
      <c r="D20" s="143">
        <f ca="1">SUMIF(INDIRECT("'"&amp;D4&amp;"'"&amp;"!A:A"),结果表!B20,INDIRECT("'"&amp;D4&amp;"'"&amp;"!B:B"))</f>
        <v>19174</v>
      </c>
      <c r="E20" s="1901"/>
      <c r="F20" s="1138" t="s">
        <v>1740</v>
      </c>
      <c r="G20" s="144">
        <f ca="1">ROUND(C20*$C$18+D20*$D$18,0)</f>
        <v>16992</v>
      </c>
      <c r="H20" s="898" t="s">
        <v>1741</v>
      </c>
      <c r="I20" s="134"/>
    </row>
    <row r="21" spans="1:36" ht="15" customHeight="1" thickBot="1">
      <c r="A21" s="918"/>
      <c r="B21" s="1902" t="s">
        <v>1742</v>
      </c>
      <c r="C21" s="728" t="e">
        <f ca="1">ROUND(C19*10000/L19,0)</f>
        <v>#DIV/0!</v>
      </c>
      <c r="D21" s="729" t="e">
        <f ca="1">ROUND(D19*10000/L19,0)</f>
        <v>#DIV/0!</v>
      </c>
      <c r="E21" s="918"/>
      <c r="F21" s="1902" t="s">
        <v>1742</v>
      </c>
      <c r="G21" s="145" t="e">
        <f ca="1">ROUND(G19*10000/L19,0)</f>
        <v>#DIV/0!</v>
      </c>
      <c r="H21" s="1903" t="s">
        <v>1741</v>
      </c>
      <c r="I21" s="134"/>
    </row>
    <row r="22" spans="1:36" ht="15" thickBot="1">
      <c r="A22" s="1825" t="s">
        <v>1743</v>
      </c>
      <c r="B22" s="1904"/>
      <c r="C22" s="1905"/>
      <c r="D22" s="730">
        <f ca="1">IF(C19&lt;D19,D19/C19-1,C19/D19-1)</f>
        <v>0.61110025405511048</v>
      </c>
      <c r="E22" s="134"/>
      <c r="F22" s="134"/>
      <c r="G22" s="134"/>
      <c r="H22" s="134"/>
      <c r="I22" s="134"/>
    </row>
    <row r="23" spans="1:36" ht="13.5" thickBot="1">
      <c r="A23" s="1884"/>
      <c r="B23" s="1884"/>
      <c r="C23" s="1884"/>
      <c r="D23" s="1884"/>
      <c r="E23" s="134"/>
      <c r="F23" s="134"/>
      <c r="G23" s="134"/>
      <c r="H23" s="134"/>
      <c r="I23" s="134"/>
    </row>
    <row r="24" spans="1:36" ht="14.25">
      <c r="A24" s="3341" t="s">
        <v>1744</v>
      </c>
      <c r="B24" s="1899" t="s">
        <v>1736</v>
      </c>
      <c r="C24" s="141">
        <f>IF(B30=0,0,D30)</f>
        <v>0</v>
      </c>
      <c r="D24" s="1906"/>
      <c r="E24" s="134"/>
      <c r="F24" s="134"/>
      <c r="G24" s="134"/>
      <c r="H24" s="134"/>
      <c r="I24" s="134"/>
    </row>
    <row r="25" spans="1:36" ht="14.25">
      <c r="A25" s="3342"/>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6"/>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29224</v>
      </c>
      <c r="D32" s="1912" t="s">
        <v>3546</v>
      </c>
      <c r="E32" s="134"/>
      <c r="F32" s="134"/>
      <c r="G32" s="134"/>
      <c r="H32" s="134"/>
      <c r="I32" s="134"/>
    </row>
    <row r="33" spans="1:15" ht="15">
      <c r="A33" s="875" t="s">
        <v>1751</v>
      </c>
      <c r="B33" s="1913"/>
      <c r="C33" s="1914" t="s">
        <v>3547</v>
      </c>
      <c r="D33" s="1915" t="s">
        <v>3528</v>
      </c>
      <c r="E33" s="1916" t="s">
        <v>1752</v>
      </c>
      <c r="F33" s="1917" t="str">
        <f>IF(D32="楼面单价","取值（单价）","取值（总价）")</f>
        <v>取值（总价）</v>
      </c>
      <c r="G33" s="134"/>
      <c r="H33" s="134"/>
      <c r="I33" s="134"/>
    </row>
    <row r="34" spans="1:15" ht="15">
      <c r="A34" s="1918"/>
      <c r="B34" s="1919" t="s">
        <v>1753</v>
      </c>
      <c r="C34" s="153">
        <f ca="1">IF(C33="自定义",F34,C32-C35)</f>
        <v>6312</v>
      </c>
      <c r="D34" s="951">
        <f ca="1">IF(C33="自定义",ROUND(C34/C32,3),IF(C33="收益比率",SUMIF(INDIRECT("'"&amp;D33&amp;"'"&amp;"!b:b"),"土地收益比率",INDIRECT("'"&amp;D33&amp;"'"&amp;"!c:c")),SUMIF(INDIRECT("'"&amp;D33&amp;"'"&amp;"!b:b"),"土地成本比率",INDIRECT("'"&amp;D33&amp;"'"&amp;"!c:c"))))</f>
        <v>0.21599999999999997</v>
      </c>
      <c r="E34" s="1920" t="s">
        <v>1754</v>
      </c>
      <c r="F34" s="1451"/>
      <c r="G34" s="134"/>
      <c r="H34" s="134"/>
      <c r="I34" s="134"/>
    </row>
    <row r="35" spans="1:15" ht="15.75" thickBot="1">
      <c r="A35" s="1921"/>
      <c r="B35" s="1922" t="s">
        <v>1755</v>
      </c>
      <c r="C35" s="1285">
        <f ca="1">IF(C33="自定义",F35,ROUND(C32*D35,0))</f>
        <v>22912</v>
      </c>
      <c r="D35" s="1286">
        <f ca="1">IF(C33="自定义",ROUND(C35/C32,3),IF(C33="收益比率",SUMIF(INDIRECT("'"&amp;D33&amp;"'"&amp;"!b:b"),"建筑物收益比率",INDIRECT("'"&amp;D33&amp;"'"&amp;"!c:c")),SUMIF(INDIRECT("'"&amp;D33&amp;"'"&amp;"!b:b"),"建筑物成本比率",INDIRECT("'"&amp;D33&amp;"'"&amp;"!c:c"))))</f>
        <v>0.78400000000000003</v>
      </c>
      <c r="E35" s="1923" t="s">
        <v>1756</v>
      </c>
      <c r="F35" s="159"/>
      <c r="G35" s="134"/>
      <c r="H35" s="134"/>
      <c r="I35" s="134"/>
    </row>
    <row r="36" spans="1:15" ht="15.75" thickBot="1">
      <c r="A36" s="3361" t="s">
        <v>1757</v>
      </c>
      <c r="B36" s="1924" t="s">
        <v>1758</v>
      </c>
      <c r="C36" s="150"/>
      <c r="D36" s="1925"/>
      <c r="E36" s="1926"/>
      <c r="F36" s="1927"/>
      <c r="G36" s="134"/>
      <c r="H36" s="134"/>
      <c r="I36" s="134"/>
    </row>
    <row r="37" spans="1:15" ht="15.75" thickBot="1">
      <c r="A37" s="3362"/>
      <c r="B37" s="1811" t="s">
        <v>1759</v>
      </c>
      <c r="C37" s="152"/>
      <c r="D37" s="1254"/>
      <c r="E37" s="1254"/>
      <c r="F37" s="1927"/>
      <c r="G37" s="134"/>
      <c r="H37" s="134"/>
      <c r="I37" s="134"/>
    </row>
    <row r="38" spans="1:15" ht="15.75" thickBot="1">
      <c r="A38" s="336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8" t="s">
        <v>1771</v>
      </c>
      <c r="B45" s="3339"/>
      <c r="C45" s="3340"/>
      <c r="D45" s="160">
        <f ca="1">ROUND(H101*F45,0)</f>
        <v>16365</v>
      </c>
      <c r="E45" s="161" t="s">
        <v>1772</v>
      </c>
      <c r="F45" s="162">
        <v>0.56000000000000005</v>
      </c>
      <c r="G45" s="163" t="s">
        <v>1773</v>
      </c>
      <c r="H45" s="134"/>
      <c r="I45" s="134"/>
      <c r="J45" s="3419" t="s">
        <v>1774</v>
      </c>
      <c r="K45" s="3419"/>
      <c r="L45" s="3419"/>
      <c r="M45" s="3419"/>
      <c r="N45" s="3419"/>
      <c r="O45" s="3419"/>
    </row>
    <row r="46" spans="1:15" ht="14.25" customHeight="1">
      <c r="A46" s="3335" t="s">
        <v>1775</v>
      </c>
      <c r="B46" s="3336"/>
      <c r="C46" s="3336"/>
      <c r="D46" s="3336"/>
      <c r="E46" s="3336"/>
      <c r="F46" s="3336"/>
      <c r="G46" s="3337"/>
      <c r="H46" s="1943"/>
      <c r="I46" s="164"/>
      <c r="J46" s="2698">
        <v>1</v>
      </c>
      <c r="K46" s="3400" t="s">
        <v>1776</v>
      </c>
      <c r="L46" s="3400"/>
      <c r="M46" s="3420"/>
      <c r="N46" s="3420"/>
      <c r="O46" s="3420"/>
    </row>
    <row r="47" spans="1:15" ht="12" customHeight="1">
      <c r="A47" s="165" t="s">
        <v>1777</v>
      </c>
      <c r="B47" s="166"/>
      <c r="C47" s="167"/>
      <c r="D47" s="1200" t="s">
        <v>1778</v>
      </c>
      <c r="E47" s="308" t="s">
        <v>1779</v>
      </c>
      <c r="F47" s="168" t="s">
        <v>1780</v>
      </c>
      <c r="G47" s="2721" t="s">
        <v>1781</v>
      </c>
      <c r="H47" s="2722"/>
      <c r="I47" s="164"/>
      <c r="J47" s="2698">
        <v>2</v>
      </c>
      <c r="K47" s="3400" t="s">
        <v>1782</v>
      </c>
      <c r="L47" s="3400"/>
      <c r="M47" s="3421">
        <f>'数据-取费表'!B2</f>
        <v>44804</v>
      </c>
      <c r="N47" s="3421"/>
      <c r="O47" s="3421"/>
    </row>
    <row r="48" spans="1:15" ht="25.5">
      <c r="A48" s="3366" t="s">
        <v>1783</v>
      </c>
      <c r="B48" s="3349"/>
      <c r="C48" s="3349"/>
      <c r="D48" s="2498">
        <f ca="1">IF(H48="情况1",0,IF(H48="情况2",D52,IF(H48="情况3",D53,IF(H48="情况4",D54))))</f>
        <v>135</v>
      </c>
      <c r="E48" s="2508" t="str">
        <f>IF(H48="情况4","(销售额-原购置价)×税（费）率","销售额×税（费）率")</f>
        <v>(销售额-原购置价)×税（费）率</v>
      </c>
      <c r="F48" s="2723">
        <f>IF(H48="情况1","免征",'数据-取费表'!B41)</f>
        <v>5.6000000000000001E-2</v>
      </c>
      <c r="G48" s="2724" t="s">
        <v>1784</v>
      </c>
      <c r="H48" s="2725" t="s">
        <v>3548</v>
      </c>
      <c r="I48" s="1943"/>
      <c r="J48" s="2698">
        <v>3</v>
      </c>
      <c r="K48" s="3400" t="s">
        <v>1785</v>
      </c>
      <c r="L48" s="3400"/>
      <c r="M48" s="3422">
        <f ca="1">H101</f>
        <v>29224</v>
      </c>
      <c r="N48" s="3422"/>
      <c r="O48" s="3422"/>
    </row>
    <row r="49" spans="1:35" ht="25.5" customHeight="1">
      <c r="A49" s="2507" t="s">
        <v>1786</v>
      </c>
      <c r="B49" s="3333" t="s">
        <v>1787</v>
      </c>
      <c r="C49" s="3333"/>
      <c r="D49" s="1726">
        <v>0</v>
      </c>
      <c r="E49" s="330" t="s">
        <v>1788</v>
      </c>
      <c r="F49" s="2599" t="s">
        <v>34</v>
      </c>
      <c r="G49" s="3406"/>
      <c r="H49" s="2479" t="s">
        <v>2634</v>
      </c>
      <c r="I49" s="2480"/>
      <c r="J49" s="2698">
        <v>4</v>
      </c>
      <c r="K49" s="3400" t="str">
        <f>IF(项目基本情况!E8="房地产抵押价值","房地产抵押价值","抵押担保权已注销时的房地产抵押价值")</f>
        <v>房地产抵押价值</v>
      </c>
      <c r="L49" s="3400"/>
      <c r="M49" s="3422">
        <f ca="1">IF(项目基本情况!E8="房地产抵押价值",H107,H109)</f>
        <v>29224</v>
      </c>
      <c r="N49" s="3422"/>
      <c r="O49" s="3422"/>
    </row>
    <row r="50" spans="1:35" ht="25.5" customHeight="1">
      <c r="A50" s="2726"/>
      <c r="B50" s="3333" t="s">
        <v>1789</v>
      </c>
      <c r="C50" s="3333"/>
      <c r="D50" s="2727"/>
      <c r="E50" s="338"/>
      <c r="F50" s="2599"/>
      <c r="G50" s="3407"/>
      <c r="H50" s="2481" t="s">
        <v>2635</v>
      </c>
      <c r="I50" s="2480"/>
      <c r="J50" s="3419" t="s">
        <v>1790</v>
      </c>
      <c r="K50" s="3419"/>
      <c r="L50" s="3419"/>
      <c r="M50" s="3419"/>
      <c r="N50" s="3419"/>
      <c r="O50" s="3419"/>
    </row>
    <row r="51" spans="1:35" ht="20.45" customHeight="1">
      <c r="A51" s="2728"/>
      <c r="B51" s="3333" t="s">
        <v>1791</v>
      </c>
      <c r="C51" s="3333"/>
      <c r="D51" s="1200"/>
      <c r="E51" s="333"/>
      <c r="F51" s="2599"/>
      <c r="G51" s="3408"/>
      <c r="H51" s="2481" t="s">
        <v>2636</v>
      </c>
      <c r="I51" s="2480"/>
      <c r="J51" s="2699" t="s">
        <v>1792</v>
      </c>
      <c r="K51" s="3400" t="s">
        <v>1793</v>
      </c>
      <c r="L51" s="3400"/>
      <c r="M51" s="2699" t="s">
        <v>1794</v>
      </c>
      <c r="N51" s="2699" t="s">
        <v>1795</v>
      </c>
      <c r="O51" s="2699" t="s">
        <v>1796</v>
      </c>
    </row>
    <row r="52" spans="1:35" ht="24" customHeight="1">
      <c r="A52" s="2509" t="s">
        <v>1797</v>
      </c>
      <c r="B52" s="3333" t="s">
        <v>1798</v>
      </c>
      <c r="C52" s="3333"/>
      <c r="D52" s="1200">
        <f ca="1">ROUND(D45*'数据-取费表'!B41/(1+'数据-取费表'!C42),0)</f>
        <v>873</v>
      </c>
      <c r="E52" s="2508" t="s">
        <v>1799</v>
      </c>
      <c r="F52" s="2729">
        <f>'数据-取费表'!B41</f>
        <v>5.6000000000000001E-2</v>
      </c>
      <c r="G52" s="2730"/>
      <c r="H52" s="2719"/>
      <c r="I52" s="1944"/>
      <c r="J52" s="2698">
        <v>1</v>
      </c>
      <c r="K52" s="3401" t="s">
        <v>1800</v>
      </c>
      <c r="L52" s="3401"/>
      <c r="M52" s="2700">
        <f ca="1">D48</f>
        <v>135</v>
      </c>
      <c r="N52" s="2698" t="str">
        <f>E48</f>
        <v>(销售额-原购置价)×税（费）率</v>
      </c>
      <c r="O52" s="2701">
        <f>F48</f>
        <v>5.6000000000000001E-2</v>
      </c>
    </row>
    <row r="53" spans="1:35" ht="12" customHeight="1">
      <c r="A53" s="2509" t="s">
        <v>1801</v>
      </c>
      <c r="B53" s="3359" t="s">
        <v>2791</v>
      </c>
      <c r="C53" s="3360"/>
      <c r="D53" s="1200">
        <f ca="1">ROUND(D45*'数据-取费表'!B41/(1+'数据-取费表'!C42),0)</f>
        <v>873</v>
      </c>
      <c r="E53" s="2508" t="s">
        <v>1799</v>
      </c>
      <c r="F53" s="2729">
        <f>'数据-取费表'!B41</f>
        <v>5.6000000000000001E-2</v>
      </c>
      <c r="G53" s="2730"/>
      <c r="H53" s="2719"/>
      <c r="I53" s="1944"/>
      <c r="J53" s="2698">
        <v>2</v>
      </c>
      <c r="K53" s="3401" t="s">
        <v>1802</v>
      </c>
      <c r="L53" s="3401"/>
      <c r="M53" s="2700">
        <f t="shared" ref="M53:O54" ca="1" si="0">D55</f>
        <v>8</v>
      </c>
      <c r="N53" s="2698" t="str">
        <f t="shared" si="0"/>
        <v>销售额×税（费）率</v>
      </c>
      <c r="O53" s="2701">
        <f t="shared" si="0"/>
        <v>5.0000000000000001E-4</v>
      </c>
    </row>
    <row r="54" spans="1:35" ht="12" customHeight="1">
      <c r="A54" s="2509" t="s">
        <v>1803</v>
      </c>
      <c r="B54" s="3359" t="s">
        <v>2792</v>
      </c>
      <c r="C54" s="3360"/>
      <c r="D54" s="1200">
        <f ca="1">C68</f>
        <v>135</v>
      </c>
      <c r="E54" s="333" t="s">
        <v>1804</v>
      </c>
      <c r="F54" s="2729">
        <f>'数据-取费表'!B41</f>
        <v>5.6000000000000001E-2</v>
      </c>
      <c r="G54" s="2730"/>
      <c r="H54" s="2731"/>
      <c r="I54" s="1944"/>
      <c r="J54" s="2698">
        <v>3</v>
      </c>
      <c r="K54" s="3401" t="s">
        <v>1805</v>
      </c>
      <c r="L54" s="3401"/>
      <c r="M54" s="2700">
        <f t="shared" ca="1" si="0"/>
        <v>0</v>
      </c>
      <c r="N54" s="2698" t="str">
        <f t="shared" si="0"/>
        <v>增值额×税（费）率</v>
      </c>
      <c r="O54" s="2702" t="str">
        <f t="shared" si="0"/>
        <v>——</v>
      </c>
    </row>
    <row r="55" spans="1:35" ht="24" customHeight="1">
      <c r="A55" s="3348" t="s">
        <v>1806</v>
      </c>
      <c r="B55" s="3349"/>
      <c r="C55" s="3349"/>
      <c r="D55" s="2498">
        <f ca="1">IF(H55="个人住宅",0,ROUND(D45*I55,0))</f>
        <v>8</v>
      </c>
      <c r="E55" s="2508" t="s">
        <v>1807</v>
      </c>
      <c r="F55" s="2729">
        <f>IF(H55="正常",I55,"免征")</f>
        <v>5.0000000000000001E-4</v>
      </c>
      <c r="G55" s="2730"/>
      <c r="H55" s="2725" t="s">
        <v>3549</v>
      </c>
      <c r="I55" s="170">
        <f>'数据-取费表'!B49</f>
        <v>5.0000000000000001E-4</v>
      </c>
      <c r="J55" s="2698" t="str">
        <f>IF(H59="非个人房产","",4)</f>
        <v/>
      </c>
      <c r="K55" s="3401" t="str">
        <f>IF(H59="非个人房产","——","个人所得税")</f>
        <v>——</v>
      </c>
      <c r="L55" s="3401"/>
      <c r="M55" s="2703" t="str">
        <f>D59</f>
        <v>——</v>
      </c>
      <c r="N55" s="2179" t="str">
        <f>E59</f>
        <v>——</v>
      </c>
      <c r="O55" s="2704" t="str">
        <f>F59</f>
        <v>——</v>
      </c>
    </row>
    <row r="56" spans="1:35" ht="24.75">
      <c r="A56" s="3348" t="s">
        <v>1808</v>
      </c>
      <c r="B56" s="3349"/>
      <c r="C56" s="3349"/>
      <c r="D56" s="2498">
        <f ca="1">IF(H56="个人住宅",D57,D58)</f>
        <v>0</v>
      </c>
      <c r="E56" s="2508" t="s">
        <v>1809</v>
      </c>
      <c r="F56" s="2729" t="str">
        <f>IF(H56="正常",F58,"免征")</f>
        <v>——</v>
      </c>
      <c r="G56" s="2732" t="s">
        <v>1810</v>
      </c>
      <c r="H56" s="2733" t="s">
        <v>3549</v>
      </c>
      <c r="I56" s="1945"/>
      <c r="J56" s="2698" t="str">
        <f>IF(项目基本情况!K6="上海银行",IF(J55="",4,J55+1),"")</f>
        <v/>
      </c>
      <c r="K56" s="3424" t="str">
        <f>IF(项目基本情况!K6="上海银行","其他处置费用","")</f>
        <v/>
      </c>
      <c r="L56" s="3425"/>
      <c r="M56" s="2700" t="str">
        <f>IF(项目基本情况!K6="上海银行",M69,"")</f>
        <v/>
      </c>
      <c r="N56" s="3424" t="str">
        <f>IF(项目基本情况!K6="上海银行","包含处置中涉及的律师、诉讼、拍卖、评估等费用","")</f>
        <v/>
      </c>
      <c r="O56" s="3427"/>
    </row>
    <row r="57" spans="1:35" ht="12.75">
      <c r="A57" s="2509" t="s">
        <v>1786</v>
      </c>
      <c r="B57" s="3359" t="s">
        <v>1811</v>
      </c>
      <c r="C57" s="3360"/>
      <c r="D57" s="1726">
        <v>0</v>
      </c>
      <c r="E57" s="330" t="s">
        <v>1788</v>
      </c>
      <c r="F57" s="308"/>
      <c r="G57" s="2730"/>
      <c r="H57" s="2734"/>
      <c r="I57" s="1945"/>
      <c r="J57" s="3401">
        <f>IF(AND(J55="",J56=""),4,IF(项目基本情况!K6="上海银行",结果表!J56+1,结果表!J55+1))</f>
        <v>4</v>
      </c>
      <c r="K57" s="3401" t="s">
        <v>1812</v>
      </c>
      <c r="L57" s="2705" t="s">
        <v>1813</v>
      </c>
      <c r="M57" s="2706"/>
      <c r="N57" s="2707">
        <f ca="1">SUMIF(M52:M56,"&lt;9e307")</f>
        <v>143</v>
      </c>
      <c r="O57" s="2708"/>
      <c r="P57" s="2867">
        <f ca="1">N57/M49</f>
        <v>4.8932384341637009E-3</v>
      </c>
    </row>
    <row r="58" spans="1:35" ht="24.75">
      <c r="A58" s="2509" t="s">
        <v>1797</v>
      </c>
      <c r="B58" s="3359" t="s">
        <v>1814</v>
      </c>
      <c r="C58" s="3333"/>
      <c r="D58" s="2498">
        <f ca="1">IF(H58="转让取得",C81,C97)</f>
        <v>0</v>
      </c>
      <c r="E58" s="2508" t="s">
        <v>1809</v>
      </c>
      <c r="F58" s="308" t="s">
        <v>34</v>
      </c>
      <c r="G58" s="2730"/>
      <c r="H58" s="2733" t="s">
        <v>3550</v>
      </c>
      <c r="I58" s="1945"/>
      <c r="J58" s="3401"/>
      <c r="K58" s="3401"/>
      <c r="L58" s="2705" t="s">
        <v>1815</v>
      </c>
      <c r="M58" s="2709"/>
      <c r="N58" s="2710" t="str">
        <f ca="1">NUMBERSTRING(INT(N57*10000),2)&amp;"元整"</f>
        <v>壹佰肆拾叁万元整</v>
      </c>
      <c r="O58" s="2711"/>
    </row>
    <row r="59" spans="1:35" ht="24.75" thickBot="1">
      <c r="A59" s="3404" t="s">
        <v>1816</v>
      </c>
      <c r="B59" s="3405"/>
      <c r="C59" s="3405"/>
      <c r="D59" s="2735" t="str">
        <f>IF(H59="非个人房产","——",IF(H59="个人住宅（满五唯一有凭证）",0,IF(H59="个人其他（无凭证）",ROUND(D45*F59,0),ROUND(C67*F59,0))))</f>
        <v>——</v>
      </c>
      <c r="E59" s="2736" t="str">
        <f>IF(H59="非个人房产","——",IF(H59="个人其他（无凭证）","销售额×税（费）率",IF(H59="个人住宅（满五唯一有凭证）","免征","差额计税")))</f>
        <v>——</v>
      </c>
      <c r="F59" s="2737" t="str">
        <f>IF(OR(H59="非个人房产",H59="个人住宅（满五唯一有凭证）"),"——",IF(H59="个人其他（有凭证）",20%,1%))</f>
        <v>——</v>
      </c>
      <c r="G59" s="2738" t="s">
        <v>1810</v>
      </c>
      <c r="H59" s="2483" t="s">
        <v>3551</v>
      </c>
      <c r="I59" s="2482" t="s">
        <v>2637</v>
      </c>
      <c r="J59" s="3402">
        <f>J57+1</f>
        <v>5</v>
      </c>
      <c r="K59" s="3401" t="s">
        <v>1817</v>
      </c>
      <c r="L59" s="2698" t="s">
        <v>1813</v>
      </c>
      <c r="M59" s="2712"/>
      <c r="N59" s="2713">
        <f ca="1">M49-N57</f>
        <v>29081</v>
      </c>
      <c r="O59" s="2714"/>
    </row>
    <row r="60" spans="1:35" ht="12" customHeight="1">
      <c r="A60" s="1946"/>
      <c r="B60" s="1884"/>
      <c r="C60" s="1884"/>
      <c r="D60" s="1884"/>
      <c r="E60" s="1714"/>
      <c r="F60" s="1945"/>
      <c r="G60" s="1945"/>
      <c r="H60" s="1947"/>
      <c r="I60" s="134"/>
      <c r="J60" s="3403"/>
      <c r="K60" s="3401"/>
      <c r="L60" s="2705" t="s">
        <v>1815</v>
      </c>
      <c r="M60" s="2709"/>
      <c r="N60" s="2710" t="str">
        <f ca="1">NUMBERSTRING(INT(N59*10000),2)&amp;"元整"</f>
        <v>贰亿玖仟零捌拾壹万元整</v>
      </c>
      <c r="O60" s="2711"/>
    </row>
    <row r="61" spans="1:35" ht="13.5" thickBot="1">
      <c r="A61" s="3346" t="s">
        <v>1818</v>
      </c>
      <c r="B61" s="3346"/>
      <c r="C61" s="3346"/>
      <c r="D61" s="3346"/>
      <c r="E61" s="3346"/>
      <c r="F61" s="1945"/>
      <c r="G61" s="1945"/>
      <c r="H61" s="1947"/>
      <c r="I61" s="134"/>
      <c r="J61" s="2698">
        <f>J59+1</f>
        <v>6</v>
      </c>
      <c r="K61" s="3401" t="s">
        <v>1819</v>
      </c>
      <c r="L61" s="3401"/>
      <c r="M61" s="2715"/>
      <c r="N61" s="2716">
        <f ca="1">ROUND(N59*10000/'数据-汇总表'!E3,0)</f>
        <v>16909</v>
      </c>
      <c r="O61" s="2717"/>
    </row>
    <row r="62" spans="1:35" ht="12.75">
      <c r="A62" s="3364" t="s">
        <v>1820</v>
      </c>
      <c r="B62" s="3365"/>
      <c r="C62" s="2160"/>
      <c r="D62" s="2160" t="s">
        <v>1821</v>
      </c>
      <c r="E62" s="171" t="s">
        <v>1822</v>
      </c>
      <c r="F62" s="1945"/>
      <c r="G62" s="1945"/>
      <c r="H62" s="1947"/>
      <c r="I62" s="134"/>
    </row>
    <row r="63" spans="1:35" ht="12.75">
      <c r="A63" s="178" t="s">
        <v>594</v>
      </c>
      <c r="B63" s="172" t="s">
        <v>1823</v>
      </c>
      <c r="C63" s="2739">
        <f ca="1">ROUND((C64+C65)/(1+'数据-取费表'!C42),0)</f>
        <v>15586</v>
      </c>
      <c r="D63" s="172"/>
      <c r="E63" s="173"/>
      <c r="F63" s="1945"/>
      <c r="G63" s="1945"/>
      <c r="H63" s="1947"/>
      <c r="I63" s="134"/>
      <c r="J63" s="3426" t="s">
        <v>1824</v>
      </c>
      <c r="K63" s="1453" t="s">
        <v>1825</v>
      </c>
      <c r="L63" s="1453">
        <f ca="1">IF(M49&gt;10000,M49*0.5%,IF(AND(M49&gt;1000,M49&lt;=10000),M49*1%,IF(AND(M49&gt;100,M49&lt;=1000),M49*3%,IF(AND(M49&gt;10,M49&lt;=100),M49*5%,M49*8%))))</f>
        <v>146.12</v>
      </c>
      <c r="M63" s="308">
        <f ca="1">ROUND(L63,1)</f>
        <v>146.1</v>
      </c>
      <c r="N63" s="2718"/>
      <c r="Z63" s="1889"/>
      <c r="AI63" s="1890"/>
    </row>
    <row r="64" spans="1:35" ht="14.25" customHeight="1">
      <c r="A64" s="174" t="s">
        <v>589</v>
      </c>
      <c r="B64" s="175" t="s">
        <v>1826</v>
      </c>
      <c r="C64" s="2740">
        <f ca="1">D45</f>
        <v>16365</v>
      </c>
      <c r="D64" s="175" t="s">
        <v>32</v>
      </c>
      <c r="E64" s="177"/>
      <c r="F64" s="1945"/>
      <c r="G64" s="1945"/>
      <c r="H64" s="1947"/>
      <c r="I64" s="134"/>
      <c r="J64" s="3426"/>
      <c r="K64" s="1453" t="s">
        <v>1827</v>
      </c>
      <c r="L64" s="1453">
        <f ca="1">IF(M49&gt;2000,M49*0.5%,IF(AND(M49&gt;1000,M49&lt;=2000),M49*0.6%,IF(AND(M49&gt;500,M49&lt;=1000),M49*0.7%,IF(AND(M49&gt;200,M49&lt;=500),M49*0.8%,IF(AND(M49&gt;100,M49&lt;=200),M49*0.9%,IF(AND(M49&gt;50,M49&lt;=100),M49*1%,IF(AND(M49&gt;20,M49&lt;=50),M49*1.5%,IF(AND(M49&gt;10,M49&lt;=20),M49*2%,IF(AND(M49&gt;1,M49&lt;=10),M49*2.5%)))))))))</f>
        <v>146.12</v>
      </c>
      <c r="M64" s="308">
        <f t="shared" ref="M64:M65" ca="1" si="1">ROUND(L64,1)</f>
        <v>146.1</v>
      </c>
      <c r="N64" s="2719" t="s">
        <v>1828</v>
      </c>
      <c r="Z64" s="1889"/>
      <c r="AI64" s="1890"/>
    </row>
    <row r="65" spans="1:35" ht="14.25" customHeight="1">
      <c r="A65" s="174" t="s">
        <v>590</v>
      </c>
      <c r="B65" s="175" t="s">
        <v>1829</v>
      </c>
      <c r="C65" s="2741"/>
      <c r="D65" s="175"/>
      <c r="E65" s="177"/>
      <c r="F65" s="1945"/>
      <c r="G65" s="1945"/>
      <c r="H65" s="1947"/>
      <c r="I65" s="134"/>
      <c r="J65" s="3426"/>
      <c r="K65" s="1453" t="s">
        <v>1830</v>
      </c>
      <c r="L65" s="1453">
        <f ca="1">IF(M49&gt;1000,M49*0.1%,IF(AND(M49&gt;500,M49&lt;=1000),M49*0.5%,IF(AND(M49&gt;50,M49&lt;=500),M49*1%,IF(AND(M49&gt;1,M49&lt;=50),M49*1.5%))))</f>
        <v>29.224</v>
      </c>
      <c r="M65" s="308">
        <f t="shared" ca="1" si="1"/>
        <v>29.2</v>
      </c>
      <c r="N65" s="2719" t="s">
        <v>1828</v>
      </c>
      <c r="Z65" s="1889"/>
      <c r="AI65" s="1890"/>
    </row>
    <row r="66" spans="1:35" ht="14.25" customHeight="1">
      <c r="A66" s="178" t="s">
        <v>591</v>
      </c>
      <c r="B66" s="179" t="s">
        <v>1831</v>
      </c>
      <c r="C66" s="2742">
        <f>C75/1.05</f>
        <v>13180.994666666667</v>
      </c>
      <c r="D66" s="179" t="s">
        <v>32</v>
      </c>
      <c r="E66" s="1460" t="s">
        <v>1096</v>
      </c>
      <c r="F66" s="1945"/>
      <c r="G66" s="1945"/>
      <c r="H66" s="1947"/>
      <c r="I66" s="134"/>
      <c r="J66" s="3426"/>
      <c r="K66" s="1453" t="s">
        <v>1832</v>
      </c>
      <c r="L66" s="1453">
        <f ca="1">M49*0.5%</f>
        <v>146.12</v>
      </c>
      <c r="M66" s="308">
        <f ca="1">IF(L66&gt;0.5,0.5,ROUND(L66,0))</f>
        <v>0.5</v>
      </c>
      <c r="N66" s="2719" t="s">
        <v>1833</v>
      </c>
      <c r="Z66" s="1889"/>
      <c r="AI66" s="1890"/>
    </row>
    <row r="67" spans="1:35" ht="14.25" customHeight="1">
      <c r="A67" s="178" t="s">
        <v>592</v>
      </c>
      <c r="B67" s="179" t="s">
        <v>1834</v>
      </c>
      <c r="C67" s="2743">
        <f ca="1">C63-C66</f>
        <v>2405.0053333333326</v>
      </c>
      <c r="D67" s="175" t="s">
        <v>32</v>
      </c>
      <c r="E67" s="177"/>
      <c r="F67" s="1945"/>
      <c r="G67" s="1945"/>
      <c r="H67" s="1947"/>
      <c r="I67" s="134"/>
      <c r="J67" s="3426"/>
      <c r="K67" s="1453" t="s">
        <v>1835</v>
      </c>
      <c r="L67" s="1453">
        <f ca="1">IF(M49&gt;=10000,(8.25+(M49-10000)*0.01%),IF(AND(M49&gt;=8000,M49&lt;10000),(7.85+(M49-8000)*0.02%),IF(AND(M49&gt;=5000,M49&lt;8000),(6.65+(M49-5000)*0.04%),IF(AND(M49&gt;=2000,M49&lt;5000),(4.25+(PM49-2000)*0.08%),IF(AND(M49&gt;=1000,M49&lt;2000),(2.75+(M49-1000)*0.15%),IF(AND(M49&gt;=100,M49&lt;1000),(0.5+(M49-100)*0.25%),IF(AND(M49&gt;0,M49&lt;100),M49*0.5%)))))))</f>
        <v>10.1724</v>
      </c>
      <c r="M67" s="308">
        <f ca="1">ROUND(L67*0.9,1)</f>
        <v>9.1999999999999993</v>
      </c>
      <c r="N67" s="2718"/>
      <c r="Z67" s="1889"/>
      <c r="AI67" s="1890"/>
    </row>
    <row r="68" spans="1:35" ht="14.25" customHeight="1" thickBot="1">
      <c r="A68" s="181" t="s">
        <v>593</v>
      </c>
      <c r="B68" s="182" t="s">
        <v>1836</v>
      </c>
      <c r="C68" s="2744">
        <f ca="1">IF(C67&lt;=0,0,ROUND(C67*D68,0))</f>
        <v>135</v>
      </c>
      <c r="D68" s="2745">
        <f>'数据-取费表'!B41</f>
        <v>5.6000000000000001E-2</v>
      </c>
      <c r="E68" s="184"/>
      <c r="F68" s="1945"/>
      <c r="G68" s="1945"/>
      <c r="H68" s="1947"/>
      <c r="I68" s="134"/>
      <c r="J68" s="3426"/>
      <c r="K68" s="1453" t="s">
        <v>1837</v>
      </c>
      <c r="L68" s="1453">
        <f ca="1">IF(M49&gt;10000,M49*0.5%,IF(AND(M49&gt;5000,M49&lt;=10000),M49*1%,IF(AND(M49&gt;1000,M49&lt;=5000),M49*2%,IF(AND(M49&gt;200,M49&lt;=1000),M49*3%,M49*5%))))</f>
        <v>146.12</v>
      </c>
      <c r="M68" s="308">
        <f ca="1">ROUND(L68,1)</f>
        <v>146.1</v>
      </c>
      <c r="N68" s="2718"/>
      <c r="Z68" s="1889"/>
      <c r="AI68" s="1890"/>
    </row>
    <row r="69" spans="1:35" s="1909" customFormat="1" ht="16.5" customHeight="1">
      <c r="A69" s="1948"/>
      <c r="B69" s="1949"/>
      <c r="C69" s="1950"/>
      <c r="D69" s="1951"/>
      <c r="E69" s="1952"/>
      <c r="F69" s="1714"/>
      <c r="G69" s="1714"/>
      <c r="H69" s="1713"/>
      <c r="I69" s="1884"/>
      <c r="J69" s="3426"/>
      <c r="K69" s="1453" t="s">
        <v>1838</v>
      </c>
      <c r="L69" s="1453"/>
      <c r="M69" s="308">
        <f ca="1">ROUND(SUM(M63:M68),0)</f>
        <v>477</v>
      </c>
      <c r="N69" s="2720">
        <f ca="1">M69/M49</f>
        <v>1.6322200930741857E-2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5" t="s">
        <v>1839</v>
      </c>
      <c r="B70" s="3386"/>
      <c r="C70" s="3386"/>
      <c r="D70" s="3386"/>
      <c r="E70" s="3386"/>
      <c r="F70" s="3386"/>
      <c r="G70" s="3386"/>
      <c r="H70" s="3386"/>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64" t="s">
        <v>1820</v>
      </c>
      <c r="B71" s="3365"/>
      <c r="C71" s="2160"/>
      <c r="D71" s="2160" t="s">
        <v>1821</v>
      </c>
      <c r="E71" s="185" t="s">
        <v>1822</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15586</v>
      </c>
      <c r="D72" s="175" t="s">
        <v>32</v>
      </c>
      <c r="E72" s="2505"/>
      <c r="F72" s="2504"/>
      <c r="G72" s="2504"/>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3">
        <f ca="1">C74+C78</f>
        <v>16445</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16351</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v>13840.044400000001</v>
      </c>
      <c r="D75" s="175" t="s">
        <v>32</v>
      </c>
      <c r="E75" s="190" t="s">
        <v>1844</v>
      </c>
      <c r="F75" s="2747" t="s">
        <v>3552</v>
      </c>
      <c r="G75" s="190" t="s">
        <v>1845</v>
      </c>
      <c r="H75" s="2748">
        <v>4</v>
      </c>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2768</v>
      </c>
      <c r="D76" s="2749">
        <v>0.05</v>
      </c>
      <c r="E76" s="3359" t="s">
        <v>1847</v>
      </c>
      <c r="F76" s="3333"/>
      <c r="G76" s="3333"/>
      <c r="H76" s="338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402</v>
      </c>
      <c r="D77" s="2750">
        <f>'数据-取费表'!B48+'数据-取费表'!B49</f>
        <v>3.0499999999999999E-2</v>
      </c>
      <c r="E77" s="2498" t="s">
        <v>1849</v>
      </c>
      <c r="F77" s="192"/>
      <c r="G77" s="1959" t="s">
        <v>3553</v>
      </c>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94</v>
      </c>
      <c r="D78" s="2752">
        <f>'数据-取费表'!B43</f>
        <v>6.000000000000001E-3</v>
      </c>
      <c r="E78" s="3343" t="s">
        <v>1851</v>
      </c>
      <c r="F78" s="3344"/>
      <c r="G78" s="3344"/>
      <c r="H78" s="335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3">
        <f ca="1">C72-C73</f>
        <v>-859</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0</v>
      </c>
      <c r="D80" s="175" t="s">
        <v>32</v>
      </c>
      <c r="E80" s="2498" t="str">
        <f ca="1">IF(C80&gt;=200%,"增值额超过扣除项目金额200%",IF(C80&gt;=100%,"增值额超过扣除项目金额100%，未超过200%",IF(C80&gt;=50%,"增值额超过扣除项目金额50%，未超过100%",IF(C80&lt;50%,"增值额未超过扣除项目金额50%"))))</f>
        <v>增值额未超过扣除项目金额50%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0</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5" t="s">
        <v>1855</v>
      </c>
      <c r="B83" s="3386"/>
      <c r="C83" s="3386"/>
      <c r="D83" s="3386"/>
      <c r="E83" s="3386"/>
      <c r="F83" s="3386"/>
      <c r="G83" s="3386"/>
      <c r="H83" s="338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64" t="s">
        <v>1820</v>
      </c>
      <c r="B84" s="3365"/>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15586</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94</v>
      </c>
      <c r="D86" s="2756"/>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0</v>
      </c>
      <c r="D87" s="2752"/>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7"/>
      <c r="D88" s="2752"/>
      <c r="E88" s="199" t="s">
        <v>1858</v>
      </c>
      <c r="F88" s="2501"/>
      <c r="G88" s="200" t="s">
        <v>1859</v>
      </c>
      <c r="H88" s="1961"/>
      <c r="I88" s="1958"/>
      <c r="J88" s="2696"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0</v>
      </c>
      <c r="D89" s="2752">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7"/>
      <c r="D90" s="2752"/>
      <c r="E90" s="199" t="str">
        <f>IF(H88="-","土地取得成本中已包含该笔费用"," ")</f>
        <v xml:space="preserve"> </v>
      </c>
      <c r="F90" s="2501"/>
      <c r="G90" s="3428" t="s">
        <v>2629</v>
      </c>
      <c r="H90" s="3429"/>
      <c r="I90" s="1958"/>
      <c r="J90" s="2696"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0</v>
      </c>
      <c r="D91" s="2752"/>
      <c r="E91" s="3343" t="s">
        <v>1864</v>
      </c>
      <c r="F91" s="3344"/>
      <c r="G91" s="334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0</v>
      </c>
      <c r="D92" s="2758"/>
      <c r="E92" s="3343" t="s">
        <v>1867</v>
      </c>
      <c r="F92" s="3344"/>
      <c r="G92" s="3344"/>
      <c r="H92" s="3353"/>
      <c r="I92" s="1958"/>
      <c r="J92" s="2697"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94</v>
      </c>
      <c r="D93" s="2752">
        <f>'数据-取费表'!B43</f>
        <v>6.000000000000001E-3</v>
      </c>
      <c r="E93" s="3343" t="s">
        <v>1851</v>
      </c>
      <c r="F93" s="3344"/>
      <c r="G93" s="3344"/>
      <c r="H93" s="335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0</v>
      </c>
      <c r="D94" s="2752">
        <v>0.2</v>
      </c>
      <c r="E94" s="3354" t="s">
        <v>1871</v>
      </c>
      <c r="F94" s="3355"/>
      <c r="G94" s="3355"/>
      <c r="H94" s="335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3">
        <f ca="1">ROUND(C85-C86,0)</f>
        <v>15492</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164.80851063829786</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9262</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7" t="s">
        <v>1873</v>
      </c>
      <c r="B100" s="3328"/>
      <c r="C100" s="3328"/>
      <c r="D100" s="3345"/>
      <c r="E100" s="3328" t="s">
        <v>1874</v>
      </c>
      <c r="F100" s="3328"/>
      <c r="G100" s="3328"/>
      <c r="H100" s="3345"/>
      <c r="I100" s="134"/>
    </row>
    <row r="101" spans="1:35" ht="18.75" customHeight="1">
      <c r="A101" s="3409" t="s">
        <v>1875</v>
      </c>
      <c r="B101" s="3410"/>
      <c r="C101" s="2760" t="str">
        <f>C4</f>
        <v>成本法</v>
      </c>
      <c r="D101" s="2761" t="str">
        <f>D4</f>
        <v>收益法-酒店模型</v>
      </c>
      <c r="E101" s="3423" t="s">
        <v>1876</v>
      </c>
      <c r="F101" s="3377"/>
      <c r="G101" s="1964" t="s">
        <v>1877</v>
      </c>
      <c r="H101" s="2770">
        <f ca="1">H118</f>
        <v>29224</v>
      </c>
      <c r="I101" s="134"/>
    </row>
    <row r="102" spans="1:35" ht="18.75" customHeight="1">
      <c r="A102" s="3379" t="s">
        <v>1878</v>
      </c>
      <c r="B102" s="2759" t="s">
        <v>1877</v>
      </c>
      <c r="C102" s="2760">
        <f ca="1">C19</f>
        <v>20468</v>
      </c>
      <c r="D102" s="2761">
        <f ca="1">D19</f>
        <v>32976</v>
      </c>
      <c r="E102" s="3423"/>
      <c r="F102" s="3377"/>
      <c r="G102" s="1964" t="s">
        <v>1879</v>
      </c>
      <c r="H102" s="2730">
        <f ca="1">I118</f>
        <v>16992</v>
      </c>
      <c r="I102" s="134"/>
    </row>
    <row r="103" spans="1:35" ht="42.75" customHeight="1">
      <c r="A103" s="3379"/>
      <c r="B103" s="2759" t="s">
        <v>1879</v>
      </c>
      <c r="C103" s="2762">
        <f ca="1">C20</f>
        <v>11901</v>
      </c>
      <c r="D103" s="2763">
        <f ca="1">D20</f>
        <v>19174</v>
      </c>
      <c r="E103" s="3417" t="s">
        <v>1880</v>
      </c>
      <c r="F103" s="3418"/>
      <c r="G103" s="1965" t="s">
        <v>1881</v>
      </c>
      <c r="H103" s="2770">
        <f>IF(D36="正常操作",H104+H105+H106,H105+H106)</f>
        <v>0</v>
      </c>
      <c r="I103" s="134"/>
    </row>
    <row r="104" spans="1:35" ht="18.75" customHeight="1">
      <c r="A104" s="3379" t="s">
        <v>1882</v>
      </c>
      <c r="B104" s="2764" t="s">
        <v>1877</v>
      </c>
      <c r="C104" s="2765">
        <f ca="1">H118</f>
        <v>29224</v>
      </c>
      <c r="D104" s="2766"/>
      <c r="E104" s="1811" t="s">
        <v>1883</v>
      </c>
      <c r="F104" s="1802"/>
      <c r="G104" s="1965" t="s">
        <v>1881</v>
      </c>
      <c r="H104" s="2771">
        <f>IF(D36="同一抵押权人同一抵押物续贷",C36&amp;"（续贷，未扣减，详见特别提示）",C36)</f>
        <v>0</v>
      </c>
      <c r="I104" s="134"/>
    </row>
    <row r="105" spans="1:35" ht="18.75" customHeight="1" thickBot="1">
      <c r="A105" s="3380"/>
      <c r="B105" s="2767" t="s">
        <v>1879</v>
      </c>
      <c r="C105" s="2768">
        <f ca="1">I118</f>
        <v>16992</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0</v>
      </c>
      <c r="I106" s="134"/>
    </row>
    <row r="107" spans="1:35" ht="18.75" customHeight="1">
      <c r="A107" s="134"/>
      <c r="B107" s="134"/>
      <c r="C107" s="134"/>
      <c r="D107" s="134"/>
      <c r="E107" s="3376" t="str">
        <f>IF(项目基本情况!E8="已注销","——","3.房地产抵押价值")</f>
        <v>3.房地产抵押价值</v>
      </c>
      <c r="F107" s="3377"/>
      <c r="G107" s="1964" t="s">
        <v>1877</v>
      </c>
      <c r="H107" s="2770">
        <f ca="1">IF(E107="——","——",H101-H103)</f>
        <v>29224</v>
      </c>
      <c r="I107" s="134"/>
    </row>
    <row r="108" spans="1:35" ht="18.75" customHeight="1">
      <c r="A108" s="134"/>
      <c r="B108" s="134"/>
      <c r="C108" s="134"/>
      <c r="D108" s="134"/>
      <c r="E108" s="3376"/>
      <c r="F108" s="3377"/>
      <c r="G108" s="1964" t="s">
        <v>1879</v>
      </c>
      <c r="H108" s="2730">
        <f ca="1">ROUND(H107*10000/'数据-汇总表'!E3,0)</f>
        <v>16992</v>
      </c>
      <c r="I108" s="134"/>
    </row>
    <row r="109" spans="1:35" ht="18.75" customHeight="1">
      <c r="A109" s="134"/>
      <c r="B109" s="134"/>
      <c r="C109" s="134"/>
      <c r="D109" s="134"/>
      <c r="E109" s="3376" t="str">
        <f>IF(项目基本情况!E8="已注销及未注销","4.抵押担保权已注销时的房地产抵押价值",IF(项目基本情况!E8="已注销","3.抵押担保权已注销时的房地产抵押价值","——"))</f>
        <v>——</v>
      </c>
      <c r="F109" s="3377"/>
      <c r="G109" s="1964" t="s">
        <v>1877</v>
      </c>
      <c r="H109" s="2773" t="str">
        <f>IF(E109="——","——",H101-H105-H106)</f>
        <v>——</v>
      </c>
      <c r="I109" s="134"/>
    </row>
    <row r="110" spans="1:35" ht="18.75" customHeight="1">
      <c r="A110" s="134"/>
      <c r="B110" s="134"/>
      <c r="C110" s="134"/>
      <c r="D110" s="134"/>
      <c r="E110" s="3376"/>
      <c r="F110" s="3377"/>
      <c r="G110" s="1964" t="s">
        <v>1879</v>
      </c>
      <c r="H110" s="2730" t="str">
        <f>IF(H109="——","——",ROUND(H109*10000/'数据-汇总表'!E3,0))</f>
        <v>——</v>
      </c>
      <c r="I110" s="134"/>
    </row>
    <row r="111" spans="1:35" ht="18.75" customHeight="1">
      <c r="A111" s="134"/>
      <c r="B111" s="134"/>
      <c r="C111" s="134"/>
      <c r="D111" s="134"/>
      <c r="E111" s="3411" t="str">
        <f>IF(项目基本情况!E9="抵押净值",IF(OR(项目基本情况!E8="已注销",项目基本情况!E8="房地产抵押价值"),"4.抵押净值","5.抵押净值"),"——")</f>
        <v>4.抵押净值</v>
      </c>
      <c r="F111" s="3378"/>
      <c r="G111" s="1964" t="s">
        <v>1877</v>
      </c>
      <c r="H111" s="2770">
        <f ca="1">IF(E111="——","——",N59)</f>
        <v>29081</v>
      </c>
      <c r="I111" s="134"/>
    </row>
    <row r="112" spans="1:35" ht="18.75" customHeight="1" thickBot="1">
      <c r="A112" s="134"/>
      <c r="B112" s="134"/>
      <c r="C112" s="134"/>
      <c r="D112" s="134"/>
      <c r="E112" s="3412"/>
      <c r="F112" s="3413"/>
      <c r="G112" s="1967" t="s">
        <v>1879</v>
      </c>
      <c r="H112" s="2774">
        <f ca="1">IF(E111="——","——",N61)</f>
        <v>16909</v>
      </c>
      <c r="I112" s="134"/>
    </row>
    <row r="113" spans="1:27" ht="18.75" customHeight="1">
      <c r="A113" s="134"/>
      <c r="B113" s="134"/>
      <c r="C113" s="134"/>
      <c r="D113" s="134"/>
      <c r="E113" s="3381" t="s">
        <v>1885</v>
      </c>
      <c r="F113" s="3381"/>
      <c r="G113" s="3381"/>
      <c r="H113" s="3381"/>
      <c r="I113" s="134"/>
    </row>
    <row r="114" spans="1:27" ht="3.75" customHeight="1">
      <c r="A114" s="1884"/>
      <c r="B114" s="1884"/>
      <c r="C114" s="1884"/>
      <c r="D114" s="1884"/>
      <c r="E114" s="1946"/>
      <c r="F114" s="1946"/>
      <c r="G114" s="1946"/>
      <c r="H114" s="1946"/>
      <c r="I114" s="1884"/>
    </row>
    <row r="115" spans="1:27" ht="18.75" customHeight="1">
      <c r="A115" s="3394" t="s">
        <v>1887</v>
      </c>
      <c r="B115" s="3395"/>
      <c r="C115" s="3395"/>
      <c r="D115" s="3395"/>
      <c r="E115" s="3395"/>
      <c r="F115" s="3395"/>
      <c r="G115" s="3395"/>
      <c r="H115" s="3395"/>
      <c r="I115" s="3396"/>
    </row>
    <row r="116" spans="1:27" ht="27" customHeight="1">
      <c r="A116" s="3347" t="s">
        <v>1888</v>
      </c>
      <c r="B116" s="3382" t="s">
        <v>1889</v>
      </c>
      <c r="C116" s="3382" t="s">
        <v>1890</v>
      </c>
      <c r="D116" s="3398" t="s">
        <v>1891</v>
      </c>
      <c r="E116" s="3399"/>
      <c r="F116" s="3390" t="s">
        <v>1892</v>
      </c>
      <c r="G116" s="3390"/>
      <c r="H116" s="3347" t="s">
        <v>1893</v>
      </c>
      <c r="I116" s="3347"/>
    </row>
    <row r="117" spans="1:27" ht="18.75" customHeight="1">
      <c r="A117" s="3347"/>
      <c r="B117" s="3383"/>
      <c r="C117" s="3383"/>
      <c r="D117" s="2503" t="s">
        <v>1894</v>
      </c>
      <c r="E117" s="2503" t="s">
        <v>1895</v>
      </c>
      <c r="F117" s="2503" t="s">
        <v>1894</v>
      </c>
      <c r="G117" s="2503" t="s">
        <v>1896</v>
      </c>
      <c r="H117" s="2503" t="s">
        <v>1894</v>
      </c>
      <c r="I117" s="2503" t="s">
        <v>1896</v>
      </c>
    </row>
    <row r="118" spans="1:27" ht="24.75" customHeight="1">
      <c r="A118" s="2775" t="str">
        <f>项目基本情况!S2</f>
        <v>江苏省南京市栖霞区元化路8号2幢101室房地产</v>
      </c>
      <c r="B118" s="2503">
        <f>M18</f>
        <v>17198.239999999998</v>
      </c>
      <c r="C118" s="2503">
        <f>M19</f>
        <v>0</v>
      </c>
      <c r="D118" s="2503">
        <f ca="1">ROUND(IF(D32="总价",C34,E118*B118/10000),0)</f>
        <v>6312</v>
      </c>
      <c r="E118" s="2503">
        <f ca="1">ROUND(IF(C33="自定义",IF(D32="楼面单价",C34,D118*10000/B118),I118-G118),0)</f>
        <v>3670</v>
      </c>
      <c r="F118" s="2503">
        <f ca="1">ROUND(IF(D32="总价",C35,G118*B118/10000),0)</f>
        <v>22912</v>
      </c>
      <c r="G118" s="2503">
        <f ca="1">ROUND(IF(D32="楼面单价",C35,F118*10000/B118),0)</f>
        <v>13322</v>
      </c>
      <c r="H118" s="2503">
        <f ca="1">ROUND(IF(D32="总价",C32,I118*B118/10000),0)</f>
        <v>29224</v>
      </c>
      <c r="I118" s="2503">
        <f ca="1">ROUND(IF(D32="楼面单价",C32,H118*10000/B118),0)</f>
        <v>16992</v>
      </c>
    </row>
    <row r="119" spans="1:27" ht="18.75" customHeight="1">
      <c r="A119" s="3347" t="s">
        <v>1897</v>
      </c>
      <c r="B119" s="3347"/>
      <c r="C119" s="3347"/>
      <c r="D119" s="3387" t="str">
        <f ca="1">NUMBERSTRING(INT(D118*10000),2)&amp;"元整"</f>
        <v>陆仟叁佰壹拾贰万元整</v>
      </c>
      <c r="E119" s="3389"/>
      <c r="F119" s="3387" t="str">
        <f ca="1">NUMBERSTRING(INT(F118*10000),2)&amp;"元整"</f>
        <v>贰亿贰仟玖佰壹拾贰万元整</v>
      </c>
      <c r="G119" s="3389"/>
      <c r="H119" s="3387" t="str">
        <f ca="1">NUMBERSTRING(INT(H118*10000),2)&amp;"元整"</f>
        <v>贰亿玖仟贰佰贰拾肆万元整</v>
      </c>
      <c r="I119" s="3389"/>
    </row>
    <row r="120" spans="1:27" ht="18.75" customHeight="1">
      <c r="A120" s="3414" t="str">
        <f>IF(项目基本情况!B9="房地产市场价值","",MID(E103,3,LEN(E103)-2))</f>
        <v>估价师知悉的法定优先受偿款</v>
      </c>
      <c r="B120" s="3415"/>
      <c r="C120" s="3416"/>
      <c r="D120" s="3414">
        <f>H103</f>
        <v>0</v>
      </c>
      <c r="E120" s="3415"/>
      <c r="F120" s="3415"/>
      <c r="G120" s="3415"/>
      <c r="H120" s="3415"/>
      <c r="I120" s="341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91" t="s">
        <v>1897</v>
      </c>
      <c r="B121" s="3392"/>
      <c r="C121" s="3393"/>
      <c r="D121" s="3387" t="str">
        <f>IF(D120=0,"零元整",NUMBERSTRING(INT(D120*10000),2)&amp;"元整")</f>
        <v>零元整</v>
      </c>
      <c r="E121" s="3388"/>
      <c r="F121" s="3388"/>
      <c r="G121" s="3388"/>
      <c r="H121" s="3388"/>
      <c r="I121" s="3389"/>
      <c r="AA121" s="734"/>
    </row>
    <row r="122" spans="1:27" ht="18.75" customHeight="1">
      <c r="A122" s="3378" t="str">
        <f>IF(项目基本情况!B9="房地产市场价值","",MID(E107,3,LEN(E107)-2))</f>
        <v>房地产抵押价值</v>
      </c>
      <c r="B122" s="3378"/>
      <c r="C122" s="3378"/>
      <c r="D122" s="3414">
        <f ca="1">H107</f>
        <v>29224</v>
      </c>
      <c r="E122" s="3415"/>
      <c r="F122" s="3415"/>
      <c r="G122" s="3415"/>
      <c r="H122" s="3415"/>
      <c r="I122" s="3416"/>
      <c r="AA122" s="734"/>
    </row>
    <row r="123" spans="1:27" ht="18.75" customHeight="1">
      <c r="A123" s="3347" t="s">
        <v>1897</v>
      </c>
      <c r="B123" s="3347"/>
      <c r="C123" s="3347"/>
      <c r="D123" s="3387" t="str">
        <f ca="1">NUMBERSTRING(INT(D122*10000),2)&amp;"元整"</f>
        <v>贰亿玖仟贰佰贰拾肆万元整</v>
      </c>
      <c r="E123" s="3388"/>
      <c r="F123" s="3388"/>
      <c r="G123" s="3388"/>
      <c r="H123" s="3388"/>
      <c r="I123" s="3389"/>
      <c r="AA123" s="734"/>
    </row>
    <row r="124" spans="1:27" ht="18.75" customHeight="1">
      <c r="A124" s="3378" t="str">
        <f>IF(项目基本情况!B9="房地产市场价值","",MID(E109,3,LEN(E109)-2))</f>
        <v/>
      </c>
      <c r="B124" s="3378"/>
      <c r="C124" s="3378"/>
      <c r="D124" s="3414" t="str">
        <f>H109</f>
        <v>——</v>
      </c>
      <c r="E124" s="3415"/>
      <c r="F124" s="3415"/>
      <c r="G124" s="3415"/>
      <c r="H124" s="3415"/>
      <c r="I124" s="3416"/>
      <c r="AA124" s="734"/>
    </row>
    <row r="125" spans="1:27" ht="18.75" customHeight="1">
      <c r="A125" s="3347" t="s">
        <v>1897</v>
      </c>
      <c r="B125" s="3347"/>
      <c r="C125" s="3347"/>
      <c r="D125" s="3387" t="e">
        <f>NUMBERSTRING(INT(D124*10000),2)&amp;"元整"</f>
        <v>#VALUE!</v>
      </c>
      <c r="E125" s="3388"/>
      <c r="F125" s="3388"/>
      <c r="G125" s="3388"/>
      <c r="H125" s="3388"/>
      <c r="I125" s="3389"/>
      <c r="AA125" s="734"/>
    </row>
    <row r="126" spans="1:27" ht="18.75" customHeight="1">
      <c r="A126" s="3378" t="str">
        <f>IF(项目基本情况!B9="房地产市场价值","",MID(E111,3,LEN(E111)-2))</f>
        <v>抵押净值</v>
      </c>
      <c r="B126" s="3378"/>
      <c r="C126" s="3378"/>
      <c r="D126" s="3414">
        <f ca="1">H111</f>
        <v>29081</v>
      </c>
      <c r="E126" s="3415"/>
      <c r="F126" s="3415"/>
      <c r="G126" s="3415"/>
      <c r="H126" s="3415"/>
      <c r="I126" s="3416"/>
      <c r="AA126" s="734"/>
    </row>
    <row r="127" spans="1:27" ht="18.75" customHeight="1">
      <c r="A127" s="3347" t="s">
        <v>1897</v>
      </c>
      <c r="B127" s="3347"/>
      <c r="C127" s="3347"/>
      <c r="D127" s="3387" t="str">
        <f ca="1">NUMBERSTRING(INT(D126*10000),2)&amp;"元整"</f>
        <v>贰亿玖仟零捌拾壹万元整</v>
      </c>
      <c r="E127" s="3388"/>
      <c r="F127" s="3388"/>
      <c r="G127" s="3388"/>
      <c r="H127" s="3388"/>
      <c r="I127" s="3389"/>
      <c r="AA127" s="734"/>
    </row>
    <row r="128" spans="1:27" ht="21.75" customHeight="1">
      <c r="A128" s="3397" t="s">
        <v>1898</v>
      </c>
      <c r="B128" s="3397"/>
      <c r="C128" s="3397"/>
      <c r="D128" s="3397"/>
      <c r="E128" s="3397"/>
      <c r="F128" s="3397"/>
      <c r="G128" s="3397"/>
      <c r="H128" s="3397"/>
      <c r="I128" s="339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1" t="str">
        <f>项目基本情况!B1</f>
        <v>江苏省南京市栖霞区元化路8号2幢101室房地产抵押价值预评估</v>
      </c>
      <c r="C37" s="3241"/>
      <c r="D37" s="3241"/>
      <c r="E37" s="3241"/>
      <c r="F37" s="3241"/>
      <c r="G37" s="3241"/>
      <c r="H37" s="3241"/>
      <c r="I37" s="324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C41" sqref="C4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20468</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11901</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3106</v>
      </c>
      <c r="D5" s="217" t="s">
        <v>1914</v>
      </c>
      <c r="E5" s="218" t="s">
        <v>1915</v>
      </c>
      <c r="F5" s="218" t="s">
        <v>1916</v>
      </c>
      <c r="G5" s="219"/>
    </row>
    <row r="6" spans="1:9" s="220" customFormat="1" ht="13.5" customHeight="1">
      <c r="A6" s="867" t="s">
        <v>1917</v>
      </c>
      <c r="B6" s="221" t="s">
        <v>1918</v>
      </c>
      <c r="C6" s="222">
        <f>'土地比较法-住宅、综合'!F56</f>
        <v>2764</v>
      </c>
      <c r="D6" s="223"/>
      <c r="E6" s="224"/>
      <c r="F6" s="224"/>
      <c r="G6" s="225"/>
    </row>
    <row r="7" spans="1:9" s="220" customFormat="1" ht="13.5" customHeight="1">
      <c r="A7" s="867" t="s">
        <v>1919</v>
      </c>
      <c r="B7" s="221" t="s">
        <v>1920</v>
      </c>
      <c r="C7" s="226">
        <f>ROUND(C6*F7,0)</f>
        <v>84</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258</v>
      </c>
      <c r="D8" s="228"/>
      <c r="E8" s="226"/>
      <c r="F8" s="227"/>
      <c r="G8" s="1993" t="s">
        <v>3532</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c r="H9" s="1252"/>
      <c r="I9" s="1995" t="s">
        <v>1924</v>
      </c>
    </row>
    <row r="10" spans="1:9" s="220" customFormat="1" ht="13.5" customHeight="1">
      <c r="A10" s="868" t="s">
        <v>620</v>
      </c>
      <c r="B10" s="230" t="s">
        <v>1925</v>
      </c>
      <c r="C10" s="231">
        <f ca="1">ROUND(D10*E10/10000,0)</f>
        <v>258</v>
      </c>
      <c r="D10" s="935">
        <f ca="1">IF(B1="",'数据-汇总表'!E6,IF(INDIRECT("'数据-取费表'!c"&amp;$G$1)="住宅",INDIRECT("'数据-取费表'!s"&amp;$G$1),INDIRECT("'数据-取费表'!k"&amp;$G$1)+INDIRECT("'数据-取费表'!s"&amp;$G$1)))</f>
        <v>17198.239999999998</v>
      </c>
      <c r="E10" s="231">
        <f>'数据-取费表'!B28</f>
        <v>150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17198.239999999998</v>
      </c>
      <c r="E19" s="217">
        <f>'数据-取费表'!B31</f>
        <v>200</v>
      </c>
      <c r="F19" s="237"/>
      <c r="G19" s="1993" t="s">
        <v>3533</v>
      </c>
    </row>
    <row r="20" spans="1:7" s="220" customFormat="1" ht="13.5" customHeight="1">
      <c r="A20" s="261" t="s">
        <v>1938</v>
      </c>
      <c r="B20" s="216" t="s">
        <v>1939</v>
      </c>
      <c r="C20" s="238">
        <f ca="1">ROUND((C5+C19)*F20,0)</f>
        <v>62</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266</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263</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3</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634</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ROUND((C5+C19+C20)*F27*'数据-取费表'!B21/'数据-取费表'!B20,0)</f>
        <v>634</v>
      </c>
      <c r="D28" s="241"/>
      <c r="E28" s="242"/>
      <c r="F28" s="252"/>
      <c r="G28" s="253"/>
    </row>
    <row r="29" spans="1:7" s="220" customFormat="1" ht="13.5" customHeight="1">
      <c r="A29" s="869" t="s">
        <v>611</v>
      </c>
      <c r="B29" s="254" t="s">
        <v>1962</v>
      </c>
      <c r="C29" s="244">
        <f ca="1">ROUND(C21*F27*'数据-取费表'!B21/'数据-取费表'!B20,4)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4413</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14081</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12899</v>
      </c>
      <c r="D34" s="223"/>
      <c r="E34" s="226"/>
      <c r="F34" s="263">
        <f ca="1">IF('数据-取费表'!B24=0,1,IF(B1="",'数据-取费表'!N16,INDIRECT("'数据-取费表'!n"&amp;$G$1)))</f>
        <v>1</v>
      </c>
      <c r="G34" s="225" t="s">
        <v>1971</v>
      </c>
    </row>
    <row r="35" spans="1:7" ht="13.5" customHeight="1">
      <c r="A35" s="869" t="s">
        <v>615</v>
      </c>
      <c r="B35" s="221" t="s">
        <v>1972</v>
      </c>
      <c r="C35" s="226">
        <f ca="1">ROUND(C34*F35,0)</f>
        <v>645</v>
      </c>
      <c r="D35" s="226"/>
      <c r="E35" s="226"/>
      <c r="F35" s="265">
        <f>'数据-取费表'!B33</f>
        <v>0.05</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344</v>
      </c>
      <c r="D37" s="223">
        <f ca="1">D19</f>
        <v>17198.239999999998</v>
      </c>
      <c r="E37" s="255">
        <f>'数据-取费表'!B35</f>
        <v>200</v>
      </c>
      <c r="F37" s="265"/>
      <c r="G37" s="267" t="s">
        <v>1977</v>
      </c>
    </row>
    <row r="38" spans="1:7" ht="13.5" customHeight="1">
      <c r="A38" s="869" t="s">
        <v>618</v>
      </c>
      <c r="B38" s="221" t="s">
        <v>1978</v>
      </c>
      <c r="C38" s="226">
        <f ca="1">ROUND(C34*F38,0)</f>
        <v>193</v>
      </c>
      <c r="D38" s="226"/>
      <c r="E38" s="226"/>
      <c r="F38" s="265">
        <f>'数据-取费表'!B36</f>
        <v>1.4999999999999999E-2</v>
      </c>
      <c r="G38" s="225" t="s">
        <v>1973</v>
      </c>
    </row>
    <row r="39" spans="1:7" s="220" customFormat="1" ht="13.5" customHeight="1">
      <c r="A39" s="261" t="s">
        <v>1979</v>
      </c>
      <c r="B39" s="216" t="s">
        <v>1980</v>
      </c>
      <c r="C39" s="238">
        <f ca="1">ROUND(C33*F20,0)</f>
        <v>282</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596</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584</v>
      </c>
      <c r="D42" s="244"/>
      <c r="E42" s="244"/>
      <c r="F42" s="245"/>
      <c r="G42" s="3430" t="s">
        <v>1989</v>
      </c>
    </row>
    <row r="43" spans="1:7" ht="13.5" customHeight="1">
      <c r="A43" s="869" t="s">
        <v>611</v>
      </c>
      <c r="B43" s="221" t="s">
        <v>1990</v>
      </c>
      <c r="C43" s="244">
        <f ca="1">ROUND(IF('数据-取费表'!B22&lt;=1,C39*F22*'数据-取费表'!B21/2,C39*(POWER((1+F22),'数据-取费表'!B21/2)-1)),0)</f>
        <v>12</v>
      </c>
      <c r="D43" s="244"/>
      <c r="E43" s="244"/>
      <c r="F43" s="245"/>
      <c r="G43" s="3431"/>
    </row>
    <row r="44" spans="1:7" ht="13.5" customHeight="1">
      <c r="A44" s="869" t="s">
        <v>612</v>
      </c>
      <c r="B44" s="221" t="s">
        <v>1991</v>
      </c>
      <c r="C44" s="244">
        <f ca="1">ROUND(IF('数据-取费表'!B22&lt;=1,C40*F22*'数据-取费表'!B21/2,C40*(POWER((1+F22),'数据-取费表'!B21/2)-1)),4)</f>
        <v>8.0000000000000004E-4</v>
      </c>
      <c r="D44" s="244"/>
      <c r="E44" s="244"/>
      <c r="F44" s="245"/>
      <c r="G44" s="3432"/>
    </row>
    <row r="45" spans="1:7" s="220" customFormat="1" ht="13.5" customHeight="1">
      <c r="A45" s="261" t="s">
        <v>1992</v>
      </c>
      <c r="B45" s="250" t="s">
        <v>1958</v>
      </c>
      <c r="C45" s="251">
        <f ca="1">C46</f>
        <v>2873</v>
      </c>
      <c r="D45" s="241">
        <f ca="1">C47</f>
        <v>4.0000000000000001E-3</v>
      </c>
      <c r="E45" s="242" t="s">
        <v>1984</v>
      </c>
      <c r="F45" s="2488">
        <f ca="1">F27</f>
        <v>0.2</v>
      </c>
      <c r="G45" s="253" t="s">
        <v>1993</v>
      </c>
    </row>
    <row r="46" spans="1:7" s="220" customFormat="1" ht="13.5" customHeight="1">
      <c r="A46" s="869" t="s">
        <v>610</v>
      </c>
      <c r="B46" s="254" t="s">
        <v>1994</v>
      </c>
      <c r="C46" s="255">
        <f ca="1">ROUND((C33+C39)*F27,0)</f>
        <v>2873</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19343</v>
      </c>
      <c r="D49" s="238"/>
      <c r="E49" s="238"/>
      <c r="F49" s="270"/>
      <c r="G49" s="240" t="s">
        <v>1999</v>
      </c>
    </row>
    <row r="50" spans="1:7" s="264" customFormat="1" ht="24">
      <c r="A50" s="261" t="s">
        <v>2000</v>
      </c>
      <c r="B50" s="216" t="s">
        <v>2001</v>
      </c>
      <c r="C50" s="238"/>
      <c r="D50" s="238"/>
      <c r="E50" s="238"/>
      <c r="F50" s="270">
        <f>IF('数据-取费表'!B24=0,'数据-取费表'!N16,1)</f>
        <v>0.83</v>
      </c>
      <c r="G50" s="253" t="s">
        <v>2002</v>
      </c>
    </row>
    <row r="51" spans="1:7" ht="16.5" customHeight="1">
      <c r="A51" s="261" t="s">
        <v>2003</v>
      </c>
      <c r="B51" s="216" t="s">
        <v>2004</v>
      </c>
      <c r="C51" s="238">
        <f ca="1">ROUND(C49*F50,0)</f>
        <v>16055</v>
      </c>
      <c r="D51" s="238"/>
      <c r="E51" s="238"/>
      <c r="F51" s="270"/>
      <c r="G51" s="240" t="s">
        <v>2005</v>
      </c>
    </row>
    <row r="52" spans="1:7" s="214" customFormat="1" ht="16.5" thickBot="1">
      <c r="A52" s="271" t="s">
        <v>2006</v>
      </c>
      <c r="B52" s="272"/>
      <c r="C52" s="273">
        <f ca="1">C31+C51</f>
        <v>20468</v>
      </c>
      <c r="D52" s="272"/>
      <c r="E52" s="272"/>
      <c r="F52" s="272"/>
      <c r="G52" s="274"/>
    </row>
    <row r="55" spans="1:7" ht="15">
      <c r="B55" s="276" t="s">
        <v>2007</v>
      </c>
      <c r="C55" s="277"/>
    </row>
    <row r="56" spans="1:7">
      <c r="B56" s="279" t="s">
        <v>1237</v>
      </c>
      <c r="C56" s="281">
        <f ca="1">1-C57</f>
        <v>0.21599999999999997</v>
      </c>
    </row>
    <row r="57" spans="1:7">
      <c r="B57" s="279" t="s">
        <v>1238</v>
      </c>
      <c r="C57" s="280">
        <f ca="1">ROUND(C51/C52,3)</f>
        <v>0.78400000000000003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16909</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9832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2579736</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2579736</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2579736</v>
      </c>
      <c r="D10" s="935">
        <f ca="1">IF(B1="",'数据-汇总表'!E6,IF(INDIRECT("'数据-取费表'!c"&amp;$G$1)="住宅",INDIRECT("'数据-取费表'!s"&amp;$G$1),INDIRECT("'数据-取费表'!k"&amp;$G$1)+INDIRECT("'数据-取费表'!s"&amp;$G$1)))</f>
        <v>17198.239999999998</v>
      </c>
      <c r="E10" s="231">
        <f>'数据-取费表'!B28</f>
        <v>150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3439648</v>
      </c>
      <c r="D19" s="939">
        <f ca="1">D9+D10</f>
        <v>17198.239999999998</v>
      </c>
      <c r="E19" s="217">
        <f>'数据-取费表'!B31</f>
        <v>200</v>
      </c>
      <c r="F19" s="237"/>
      <c r="G19" s="1993"/>
    </row>
    <row r="20" spans="1:7" s="220" customFormat="1" ht="13.5" customHeight="1">
      <c r="A20" s="261" t="s">
        <v>2019</v>
      </c>
      <c r="B20" s="216" t="s">
        <v>2020</v>
      </c>
      <c r="C20" s="238">
        <f ca="1">ROUND((C5+C19)*F20,0)</f>
        <v>120388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514972</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218561</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291415</v>
      </c>
      <c r="D24" s="244"/>
      <c r="E24" s="244"/>
      <c r="F24" s="245"/>
      <c r="G24" s="246" t="s">
        <v>2031</v>
      </c>
    </row>
    <row r="25" spans="1:7" s="220" customFormat="1" ht="24">
      <c r="A25" s="869" t="s">
        <v>1921</v>
      </c>
      <c r="B25" s="221" t="s">
        <v>2032</v>
      </c>
      <c r="C25" s="1243">
        <f ca="1">ROUND(IF('数据-取费表'!B22&lt;=1,C20*F22*'数据-取费表'!B22/2,C20*(POWER((1+F22),'数据-取费表'!B22/2)-1)),0)</f>
        <v>4996</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1227954</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ROUND((C5+C19+C20)*F27,0)</f>
        <v>1227954</v>
      </c>
      <c r="D28" s="241"/>
      <c r="E28" s="242"/>
      <c r="F28" s="252"/>
      <c r="G28" s="253"/>
    </row>
    <row r="29" spans="1:7" s="220" customFormat="1" ht="13.5" customHeight="1">
      <c r="A29" s="869"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8550491</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140810590</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128986800</v>
      </c>
      <c r="D34" s="223"/>
      <c r="E34" s="226"/>
      <c r="F34" s="263"/>
      <c r="G34" s="225"/>
    </row>
    <row r="35" spans="1:7" ht="13.5" customHeight="1">
      <c r="A35" s="869" t="s">
        <v>615</v>
      </c>
      <c r="B35" s="221" t="s">
        <v>1972</v>
      </c>
      <c r="C35" s="226">
        <f ca="1">ROUND(C34*F35,0)</f>
        <v>6449340</v>
      </c>
      <c r="D35" s="226"/>
      <c r="E35" s="226"/>
      <c r="F35" s="265">
        <f>'数据-取费表'!B33</f>
        <v>0.05</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3439648</v>
      </c>
      <c r="D37" s="223">
        <f ca="1">D19</f>
        <v>17198.239999999998</v>
      </c>
      <c r="E37" s="255">
        <f>'数据-取费表'!B35</f>
        <v>200</v>
      </c>
      <c r="F37" s="265"/>
      <c r="G37" s="267"/>
    </row>
    <row r="38" spans="1:7" ht="13.5" customHeight="1">
      <c r="A38" s="869" t="s">
        <v>618</v>
      </c>
      <c r="B38" s="221" t="s">
        <v>1978</v>
      </c>
      <c r="C38" s="226">
        <f ca="1">ROUND(C34*F38,0)</f>
        <v>1934802</v>
      </c>
      <c r="D38" s="226"/>
      <c r="E38" s="226"/>
      <c r="F38" s="265">
        <f>'数据-取费表'!B36</f>
        <v>1.4999999999999999E-2</v>
      </c>
      <c r="G38" s="225" t="s">
        <v>1973</v>
      </c>
    </row>
    <row r="39" spans="1:7" s="220" customFormat="1" ht="13.5" customHeight="1">
      <c r="A39" s="261" t="s">
        <v>1979</v>
      </c>
      <c r="B39" s="216" t="s">
        <v>1980</v>
      </c>
      <c r="C39" s="238">
        <f ca="1">ROUND(C33*F20,0)</f>
        <v>2816212</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5960512</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5843639</v>
      </c>
      <c r="D42" s="244"/>
      <c r="E42" s="244"/>
      <c r="F42" s="245"/>
      <c r="G42" s="3430" t="s">
        <v>2036</v>
      </c>
    </row>
    <row r="43" spans="1:7" ht="13.5" customHeight="1">
      <c r="A43" s="869" t="s">
        <v>611</v>
      </c>
      <c r="B43" s="221" t="s">
        <v>1990</v>
      </c>
      <c r="C43" s="244">
        <f ca="1">ROUND(IF('数据-取费表'!B22&lt;=1,C39*F22*'数据-取费表'!B20/2,C39*(POWER((1+F22),'数据-取费表'!B20/2)-1)),0)</f>
        <v>116873</v>
      </c>
      <c r="D43" s="244"/>
      <c r="E43" s="244"/>
      <c r="F43" s="245"/>
      <c r="G43" s="3431"/>
    </row>
    <row r="44" spans="1:7" ht="13.5" customHeight="1">
      <c r="A44" s="869" t="s">
        <v>612</v>
      </c>
      <c r="B44" s="221" t="s">
        <v>1991</v>
      </c>
      <c r="C44" s="244">
        <f ca="1">ROUND(IF('数据-取费表'!B22&lt;=1,C40*F22*'数据-取费表'!B20/2,C40*(POWER((1+F22),'数据-取费表'!B20/2)-1)),4)</f>
        <v>8.0000000000000004E-4</v>
      </c>
      <c r="D44" s="244"/>
      <c r="E44" s="244"/>
      <c r="F44" s="245"/>
      <c r="G44" s="3432"/>
    </row>
    <row r="45" spans="1:7" s="220" customFormat="1" ht="13.5" customHeight="1">
      <c r="A45" s="261" t="s">
        <v>1992</v>
      </c>
      <c r="B45" s="250" t="s">
        <v>1958</v>
      </c>
      <c r="C45" s="251">
        <f ca="1">C46</f>
        <v>28725360</v>
      </c>
      <c r="D45" s="241">
        <f ca="1">C47</f>
        <v>4.0000000000000001E-3</v>
      </c>
      <c r="E45" s="242" t="s">
        <v>1984</v>
      </c>
      <c r="F45" s="2488">
        <f ca="1">F27</f>
        <v>0.2</v>
      </c>
      <c r="G45" s="253" t="s">
        <v>1993</v>
      </c>
    </row>
    <row r="46" spans="1:7" s="220" customFormat="1" ht="13.5" customHeight="1">
      <c r="A46" s="869" t="s">
        <v>610</v>
      </c>
      <c r="B46" s="254" t="s">
        <v>1994</v>
      </c>
      <c r="C46" s="255">
        <f ca="1">ROUND((C33+C39)*F27,0)</f>
        <v>28725360</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193418672</v>
      </c>
      <c r="D49" s="238"/>
      <c r="E49" s="238"/>
      <c r="F49" s="270"/>
      <c r="G49" s="240" t="s">
        <v>1999</v>
      </c>
    </row>
    <row r="50" spans="1:7" s="264" customFormat="1">
      <c r="A50" s="261" t="s">
        <v>2000</v>
      </c>
      <c r="B50" s="216" t="s">
        <v>2001</v>
      </c>
      <c r="C50" s="238"/>
      <c r="D50" s="238"/>
      <c r="E50" s="238"/>
      <c r="F50" s="270">
        <f>IF('数据-取费表'!B24=0,'数据-取费表'!N16,1)</f>
        <v>0.83</v>
      </c>
      <c r="G50" s="253"/>
    </row>
    <row r="51" spans="1:7" ht="16.5" customHeight="1">
      <c r="A51" s="261" t="s">
        <v>2003</v>
      </c>
      <c r="B51" s="216" t="s">
        <v>2038</v>
      </c>
      <c r="C51" s="238">
        <f ca="1">ROUND(C49*F50,0)</f>
        <v>160537498</v>
      </c>
      <c r="D51" s="238"/>
      <c r="E51" s="238"/>
      <c r="F51" s="270"/>
      <c r="G51" s="240" t="s">
        <v>2005</v>
      </c>
    </row>
    <row r="52" spans="1:7" s="214" customFormat="1" ht="16.5" thickBot="1">
      <c r="A52" s="271" t="s">
        <v>2006</v>
      </c>
      <c r="B52" s="272"/>
      <c r="C52" s="273">
        <f ca="1">C31+C51</f>
        <v>169087989</v>
      </c>
      <c r="D52" s="272"/>
      <c r="E52" s="272"/>
      <c r="F52" s="272"/>
      <c r="G52" s="274"/>
    </row>
    <row r="55" spans="1:7" ht="15">
      <c r="B55" s="276" t="s">
        <v>2007</v>
      </c>
      <c r="C55" s="277"/>
    </row>
    <row r="56" spans="1:7">
      <c r="B56" s="279" t="s">
        <v>1237</v>
      </c>
      <c r="C56" s="281">
        <f ca="1">1-C57</f>
        <v>5.1000000000000045E-2</v>
      </c>
    </row>
    <row r="57" spans="1:7">
      <c r="B57" s="279" t="s">
        <v>1238</v>
      </c>
      <c r="C57" s="280">
        <f ca="1">ROUND(C51/C52,3)</f>
        <v>0.94899999999999995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5"/>
      <c r="F1" s="2985"/>
      <c r="G1" s="2848"/>
      <c r="H1" s="2985"/>
      <c r="I1" s="2985"/>
      <c r="J1" s="2985"/>
      <c r="K1" s="2986">
        <f>MATCH(C1,'数据-取费表'!A6:A16,0)+5</f>
        <v>7</v>
      </c>
    </row>
    <row r="2" spans="1:33" ht="18" customHeight="1">
      <c r="A2" s="207" t="s">
        <v>1907</v>
      </c>
      <c r="B2" s="210">
        <f ca="1">C32</f>
        <v>0</v>
      </c>
      <c r="C2" s="282" t="s">
        <v>2040</v>
      </c>
      <c r="D2" s="282"/>
      <c r="E2" s="2985"/>
      <c r="F2" s="2985"/>
      <c r="G2" s="2985"/>
      <c r="H2" s="2985"/>
      <c r="I2" s="2985"/>
      <c r="J2" s="2985"/>
      <c r="K2" s="2985"/>
    </row>
    <row r="3" spans="1:33" ht="18" customHeight="1" thickBot="1">
      <c r="A3" s="209" t="s">
        <v>1909</v>
      </c>
      <c r="B3" s="210">
        <f ca="1">ROUND(B2*10000/IF(C1="",'数据-汇总表'!E3,INDIRECT("'数据-取费表'!K"&amp;$K$1)),0)</f>
        <v>0</v>
      </c>
      <c r="C3" s="282" t="s">
        <v>2041</v>
      </c>
      <c r="D3" s="282"/>
      <c r="E3" s="2985"/>
      <c r="F3" s="2985"/>
      <c r="G3" s="2985"/>
      <c r="H3" s="2985"/>
      <c r="I3" s="2985"/>
      <c r="J3" s="2985"/>
      <c r="K3" s="2985"/>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0.05</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17198.239999999998</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17198.239999999998</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258</v>
      </c>
      <c r="D20" s="936">
        <f ca="1">IF(C1="",'数据-汇总表'!E6,IF(INDIRECT("'数据-取费表'!c"&amp;$K$1)="住宅",INDIRECT("'数据-取费表'!s"&amp;$K$1),INDIRECT("'数据-取费表'!k"&amp;$K$1)+INDIRECT("'数据-取费表'!s"&amp;$K$1)))</f>
        <v>17198.239999999998</v>
      </c>
      <c r="E20" s="24">
        <f>'数据-取费表'!B28</f>
        <v>150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B14" sqref="B1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3524</v>
      </c>
      <c r="D1" s="1497" t="s">
        <v>70</v>
      </c>
      <c r="E1" s="1498" t="s">
        <v>1111</v>
      </c>
      <c r="F1" s="1174">
        <f ca="1">J53</f>
        <v>0</v>
      </c>
      <c r="G1" s="1513">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t="e">
        <f ca="1">C40+J29+L46</f>
        <v>#DIV/0!</v>
      </c>
      <c r="C2" s="1522" t="s">
        <v>1240</v>
      </c>
      <c r="D2" s="1522"/>
      <c r="E2" s="1523"/>
      <c r="F2" s="1524"/>
      <c r="G2" s="2883"/>
      <c r="H2" s="2872"/>
      <c r="I2" s="2872"/>
      <c r="J2" s="2872"/>
      <c r="K2" s="2873"/>
      <c r="L2" s="2872"/>
      <c r="M2" s="2872"/>
    </row>
    <row r="3" spans="1:37" ht="18" customHeight="1" thickBot="1">
      <c r="A3" s="1525" t="s">
        <v>1241</v>
      </c>
      <c r="B3" s="1526">
        <f ca="1">IF(ISERROR(B2*10000/F43),0,ROUND(B2*10000/F43,0))</f>
        <v>0</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0</v>
      </c>
      <c r="D5" s="1499" t="s">
        <v>1126</v>
      </c>
      <c r="E5" s="1184"/>
      <c r="F5" s="1185"/>
      <c r="G5" s="1519"/>
      <c r="H5" s="305">
        <v>1</v>
      </c>
      <c r="I5" s="306" t="s">
        <v>1125</v>
      </c>
      <c r="J5" s="1183">
        <f ca="1">J6+J10+J12</f>
        <v>0</v>
      </c>
      <c r="K5" s="1499" t="s">
        <v>1126</v>
      </c>
      <c r="L5" s="1184"/>
      <c r="M5" s="1185"/>
    </row>
    <row r="6" spans="1:37" ht="18" customHeight="1">
      <c r="A6" s="1182" t="s">
        <v>822</v>
      </c>
      <c r="B6" s="3435" t="s">
        <v>1127</v>
      </c>
      <c r="C6" s="1187">
        <f ca="1">ROUND(F6*F8*F7*(1-F9)/10000,0)</f>
        <v>0</v>
      </c>
      <c r="D6" s="160" t="s">
        <v>2608</v>
      </c>
      <c r="E6" s="308" t="s">
        <v>1129</v>
      </c>
      <c r="F6" s="309">
        <f ca="1">INDIRECT("'数据-取费表'!u"&amp;$G$1)</f>
        <v>0</v>
      </c>
      <c r="G6" s="1519"/>
      <c r="H6" s="1182" t="s">
        <v>822</v>
      </c>
      <c r="I6" s="3435" t="s">
        <v>1127</v>
      </c>
      <c r="J6" s="307">
        <f ca="1">ROUND(M6*M8*M7*(1-M9)/10000,0)</f>
        <v>0</v>
      </c>
      <c r="K6" s="160" t="s">
        <v>2607</v>
      </c>
      <c r="L6" s="308" t="s">
        <v>1129</v>
      </c>
      <c r="M6" s="309">
        <f ca="1">INDIRECT("'数据-取费表'!z"&amp;$G$1)</f>
        <v>0</v>
      </c>
    </row>
    <row r="7" spans="1:37" ht="18" customHeight="1">
      <c r="A7" s="1186"/>
      <c r="B7" s="3436"/>
      <c r="C7" s="1188"/>
      <c r="D7" s="313"/>
      <c r="E7" s="1189" t="s">
        <v>1130</v>
      </c>
      <c r="F7" s="309">
        <f ca="1">IF(INDIRECT("'数据-取费表'!ah"&amp;$G$1)="",INDIRECT("'数据-取费表'!k"&amp;$G$1),INDIRECT("'数据-取费表'!ah"&amp;$G$1))</f>
        <v>17198.239999999998</v>
      </c>
      <c r="G7" s="1519"/>
      <c r="H7" s="310"/>
      <c r="I7" s="3436"/>
      <c r="J7" s="312"/>
      <c r="K7" s="313"/>
      <c r="L7" s="308" t="s">
        <v>1130</v>
      </c>
      <c r="M7" s="309">
        <f ca="1">F7</f>
        <v>17198.239999999998</v>
      </c>
    </row>
    <row r="8" spans="1:37" ht="18" customHeight="1">
      <c r="A8" s="310"/>
      <c r="B8" s="3436"/>
      <c r="C8" s="312"/>
      <c r="D8" s="313"/>
      <c r="E8" s="308" t="s">
        <v>1131</v>
      </c>
      <c r="F8" s="309">
        <f ca="1">INDIRECT("'数据-取费表'!ai"&amp;$G$1)</f>
        <v>365</v>
      </c>
      <c r="G8" s="1519"/>
      <c r="H8" s="310"/>
      <c r="I8" s="3436"/>
      <c r="J8" s="312"/>
      <c r="K8" s="313"/>
      <c r="L8" s="308" t="s">
        <v>1131</v>
      </c>
      <c r="M8" s="309">
        <f ca="1">INDIRECT("'数据-取费表'!ai"&amp;$G$1)</f>
        <v>365</v>
      </c>
    </row>
    <row r="9" spans="1:37" ht="18" customHeight="1">
      <c r="A9" s="310"/>
      <c r="B9" s="3437"/>
      <c r="C9" s="312"/>
      <c r="D9" s="313"/>
      <c r="E9" s="308" t="s">
        <v>1132</v>
      </c>
      <c r="F9" s="318">
        <f ca="1">INDIRECT("'数据-取费表'!w"&amp;$G$1)</f>
        <v>0</v>
      </c>
      <c r="G9" s="1519"/>
      <c r="H9" s="310"/>
      <c r="I9" s="343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t="s">
        <v>3530</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16055</v>
      </c>
      <c r="D13" s="1194" t="s">
        <v>1139</v>
      </c>
      <c r="E13" s="1194" t="s">
        <v>1140</v>
      </c>
      <c r="F13" s="1195">
        <f ca="1">INDIRECT("'数据-取费表'!y"&amp;$G$1)</f>
        <v>0.83</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12899</v>
      </c>
      <c r="D14" s="1480" t="s">
        <v>1142</v>
      </c>
      <c r="E14" s="1477"/>
      <c r="F14" s="325"/>
      <c r="G14" s="1519"/>
      <c r="H14" s="1094" t="s">
        <v>822</v>
      </c>
      <c r="I14" s="308" t="s">
        <v>1143</v>
      </c>
      <c r="J14" s="24">
        <f ca="1">C29</f>
        <v>19343</v>
      </c>
      <c r="K14" s="15"/>
      <c r="L14" s="897"/>
      <c r="M14" s="898"/>
    </row>
    <row r="15" spans="1:37" s="1532" customFormat="1" ht="18" customHeight="1" thickBot="1">
      <c r="A15" s="1094" t="s">
        <v>823</v>
      </c>
      <c r="B15" s="308" t="s">
        <v>1144</v>
      </c>
      <c r="C15" s="24">
        <f ca="1">ROUND(C14*F15,0)</f>
        <v>645</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355</v>
      </c>
      <c r="K16" s="1200" t="s">
        <v>1149</v>
      </c>
      <c r="L16" s="1201"/>
      <c r="M16" s="1185"/>
    </row>
    <row r="17" spans="1:37" s="1532" customFormat="1" ht="18" customHeight="1">
      <c r="A17" s="1094" t="s">
        <v>1114</v>
      </c>
      <c r="B17" s="308" t="s">
        <v>1150</v>
      </c>
      <c r="C17" s="24">
        <f ca="1">ROUND(F17*(F43+INDIRECT("'数据-取费表'!S"&amp;$G$1))/10000,0)</f>
        <v>344</v>
      </c>
      <c r="D17" s="308" t="s">
        <v>1151</v>
      </c>
      <c r="E17" s="308" t="s">
        <v>1152</v>
      </c>
      <c r="F17" s="26">
        <f>'数据-取费表'!B35</f>
        <v>200</v>
      </c>
      <c r="G17" s="1531"/>
      <c r="H17" s="1094" t="s">
        <v>822</v>
      </c>
      <c r="I17" s="308" t="s">
        <v>1153</v>
      </c>
      <c r="J17" s="2485">
        <f ca="1">ROUND(IF(AND(项目基本情况!B11="自然人",项目基本情况!B10="北京市"),J6*M17/(1+'数据-取费表'!C42),J18+J19+J20),0)</f>
        <v>162</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193</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14081</v>
      </c>
      <c r="D19" s="136" t="s">
        <v>1160</v>
      </c>
      <c r="E19" s="1495"/>
      <c r="F19" s="26"/>
      <c r="G19" s="1519"/>
      <c r="H19" s="1094" t="s">
        <v>823</v>
      </c>
      <c r="I19" s="308" t="s">
        <v>1161</v>
      </c>
      <c r="J19" s="24">
        <f ca="1">IF(K19="按租金收入计税",ROUND(J6*M19/(1+'数据-取费表'!C42),2),ROUND(C29*M19*0.7,2))</f>
        <v>162.47999999999999</v>
      </c>
      <c r="K19" s="1505" t="s">
        <v>1162</v>
      </c>
      <c r="L19" s="308" t="s">
        <v>1146</v>
      </c>
      <c r="M19" s="328">
        <f>IF(K19="按租金收入计税",'数据-取费表'!B51,'数据-取费表'!B50)</f>
        <v>1.2E-2</v>
      </c>
    </row>
    <row r="20" spans="1:37" s="1532" customFormat="1" ht="18" customHeight="1">
      <c r="A20" s="1094" t="s">
        <v>826</v>
      </c>
      <c r="B20" s="308" t="s">
        <v>1163</v>
      </c>
      <c r="C20" s="24">
        <f ca="1">ROUND(C19*F20,0)</f>
        <v>282</v>
      </c>
      <c r="D20" s="329" t="s">
        <v>1164</v>
      </c>
      <c r="E20" s="308" t="s">
        <v>1146</v>
      </c>
      <c r="F20" s="328">
        <f>'数据-取费表'!B37</f>
        <v>0.02</v>
      </c>
      <c r="G20" s="1531"/>
      <c r="H20" s="1094" t="s">
        <v>1113</v>
      </c>
      <c r="I20" s="160" t="s">
        <v>1165</v>
      </c>
      <c r="J20" s="25">
        <f ca="1">ROUND(M20*M21/10000,2)</f>
        <v>0</v>
      </c>
      <c r="K20" s="330" t="s">
        <v>1166</v>
      </c>
      <c r="L20" s="308" t="s">
        <v>1167</v>
      </c>
      <c r="M20" s="331">
        <f>'数据-取费表'!B52</f>
        <v>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193.4</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596</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-355</v>
      </c>
      <c r="K25" s="1208" t="s">
        <v>1188</v>
      </c>
      <c r="L25" s="1209"/>
      <c r="M25" s="1210"/>
    </row>
    <row r="26" spans="1:37">
      <c r="A26" s="1094" t="s">
        <v>821</v>
      </c>
      <c r="B26" s="308" t="s">
        <v>1189</v>
      </c>
      <c r="C26" s="24">
        <f ca="1">ROUND((C19+C20)*F26,0)</f>
        <v>2873</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4.0000000000000001E-3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19343</v>
      </c>
      <c r="D29" s="1205"/>
      <c r="E29" s="1203"/>
      <c r="F29" s="1206"/>
      <c r="G29" s="1531"/>
      <c r="H29" s="340" t="s">
        <v>820</v>
      </c>
      <c r="I29" s="341" t="s">
        <v>1203</v>
      </c>
      <c r="J29" s="342">
        <f ca="1">ROUND(J26/(1+F40)^F41,0)</f>
        <v>0</v>
      </c>
      <c r="K29" s="343" t="s">
        <v>1204</v>
      </c>
      <c r="L29" s="344"/>
      <c r="M29" s="345">
        <f ca="1">INDIRECT("'数据-取费表'!k"&amp;$G$1)</f>
        <v>17198.239999999998</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380</v>
      </c>
      <c r="D30" s="1200" t="s">
        <v>1149</v>
      </c>
      <c r="E30" s="1201"/>
      <c r="F30" s="1185"/>
      <c r="G30" s="1519"/>
      <c r="H30" s="2874"/>
      <c r="I30" s="1533"/>
      <c r="J30" s="1534"/>
      <c r="K30" s="2650"/>
      <c r="L30" s="2875"/>
      <c r="M30" s="2876"/>
    </row>
    <row r="31" spans="1:37" ht="18" customHeight="1">
      <c r="A31" s="1094" t="s">
        <v>822</v>
      </c>
      <c r="B31" s="308" t="s">
        <v>1153</v>
      </c>
      <c r="C31" s="2485">
        <f ca="1">ROUND(IF(AND(项目基本情况!B11="自然人",项目基本情况!B10="北京市"),C6*F31/(1+'数据-取费表'!C42),C32+C33+C34),0)</f>
        <v>162</v>
      </c>
      <c r="D31" s="1480" t="s">
        <v>1154</v>
      </c>
      <c r="E31" s="1479" t="s">
        <v>1205</v>
      </c>
      <c r="F31" s="2484" t="str">
        <f>IF(项目基本情况!B11="企业","——",IF('数据-取费表'!B10="住宅",IF(F6*F7*F8/12/(1+'数据-取费表'!F30)&gt;100000,4%,2.5%),IF(F6*F7*F8/12/(1+'数据-取费表'!F30)&gt;100000,12%,7%)))</f>
        <v>——</v>
      </c>
      <c r="G31" s="1519"/>
      <c r="H31" s="2987" t="s">
        <v>2811</v>
      </c>
      <c r="I31" s="1533"/>
      <c r="J31" s="1534"/>
      <c r="K31" s="2650"/>
      <c r="L31" s="2875"/>
      <c r="M31" s="2876"/>
    </row>
    <row r="32" spans="1:37" ht="18" customHeight="1">
      <c r="A32" s="1094" t="s">
        <v>821</v>
      </c>
      <c r="B32" s="308" t="s">
        <v>1157</v>
      </c>
      <c r="C32" s="24">
        <f ca="1">IF(项目基本情况!B11="自然人","——",ROUND(C6*F32/(1+'数据-取费表'!C42),2))</f>
        <v>0</v>
      </c>
      <c r="D32" s="1479" t="s">
        <v>1158</v>
      </c>
      <c r="E32" s="308" t="s">
        <v>1146</v>
      </c>
      <c r="F32" s="337">
        <f>'数据-取费表'!B41</f>
        <v>5.6000000000000001E-2</v>
      </c>
      <c r="G32" s="1519"/>
      <c r="H32" s="2874"/>
      <c r="I32" s="1533"/>
      <c r="J32" s="1534"/>
      <c r="K32" s="2650"/>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162.47999999999999</v>
      </c>
      <c r="D33" s="1505" t="s">
        <v>3531</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IF(项目基本情况!B11="自然人","——",ROUND(F34*F35/10000,2))</f>
        <v>0</v>
      </c>
      <c r="D34" s="330" t="s">
        <v>1166</v>
      </c>
      <c r="E34" s="308" t="s">
        <v>1167</v>
      </c>
      <c r="F34" s="331">
        <f>'数据-取费表'!B52</f>
        <v>5</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f ca="1">ROUND(C29*F36,1)</f>
        <v>193.4</v>
      </c>
      <c r="D36" s="1479" t="s">
        <v>1206</v>
      </c>
      <c r="E36" s="308" t="s">
        <v>1146</v>
      </c>
      <c r="F36" s="334">
        <f ca="1">INDIRECT("'数据-取费表'!Ak"&amp;$G$1)</f>
        <v>0.01</v>
      </c>
      <c r="G36" s="1519"/>
      <c r="H36" s="2877"/>
      <c r="I36" s="1533"/>
      <c r="J36" s="1534"/>
      <c r="K36" s="2719"/>
      <c r="L36" s="2877"/>
      <c r="M36" s="2877"/>
    </row>
    <row r="37" spans="1:18" ht="18" customHeight="1">
      <c r="A37" s="1094" t="s">
        <v>862</v>
      </c>
      <c r="B37" s="308" t="s">
        <v>1177</v>
      </c>
      <c r="C37" s="24">
        <f ca="1">ROUND(C13*F37,1)</f>
        <v>24.1</v>
      </c>
      <c r="D37" s="1479" t="s">
        <v>1178</v>
      </c>
      <c r="E37" s="308" t="s">
        <v>1179</v>
      </c>
      <c r="F37" s="336">
        <f ca="1">INDIRECT("'数据-取费表'!Al"&amp;$G$1)</f>
        <v>1.5E-3</v>
      </c>
      <c r="G37" s="1519"/>
      <c r="H37" s="2877"/>
      <c r="I37" s="1533"/>
      <c r="J37" s="1534"/>
      <c r="K37" s="2719"/>
      <c r="L37" s="2877"/>
      <c r="M37" s="2877"/>
    </row>
    <row r="38" spans="1:18" ht="18" customHeight="1" thickBot="1">
      <c r="A38" s="1202" t="s">
        <v>1117</v>
      </c>
      <c r="B38" s="1203" t="s">
        <v>1163</v>
      </c>
      <c r="C38" s="1204">
        <f ca="1">ROUND(C5*F38,1)</f>
        <v>0</v>
      </c>
      <c r="D38" s="1205" t="s">
        <v>1183</v>
      </c>
      <c r="E38" s="1203" t="s">
        <v>1179</v>
      </c>
      <c r="F38" s="1199">
        <f ca="1">INDIRECT("'数据-取费表'!Am"&amp;$G$1)</f>
        <v>0.01</v>
      </c>
      <c r="G38" s="1519"/>
      <c r="H38" s="2877"/>
      <c r="I38" s="1533"/>
      <c r="J38" s="1534"/>
      <c r="K38" s="2881"/>
      <c r="L38" s="2877"/>
      <c r="M38" s="2877"/>
    </row>
    <row r="39" spans="1:18" ht="24.6" customHeight="1" thickTop="1">
      <c r="A39" s="1192" t="s">
        <v>818</v>
      </c>
      <c r="B39" s="1207" t="s">
        <v>1207</v>
      </c>
      <c r="C39" s="316">
        <f ca="1">C5-C30</f>
        <v>-380</v>
      </c>
      <c r="D39" s="1208" t="s">
        <v>1208</v>
      </c>
      <c r="E39" s="1209"/>
      <c r="F39" s="1210"/>
      <c r="G39" s="1519"/>
      <c r="H39" s="2877"/>
      <c r="I39" s="1533"/>
      <c r="J39" s="1534"/>
      <c r="K39" s="2881"/>
      <c r="L39" s="2877"/>
      <c r="M39" s="2877"/>
    </row>
    <row r="40" spans="1:18" ht="18" customHeight="1">
      <c r="A40" s="305" t="s">
        <v>819</v>
      </c>
      <c r="B40" s="306" t="s">
        <v>1209</v>
      </c>
      <c r="C40" s="307">
        <f ca="1">ROUND(C39*(1-((1+F42)/(1+F40))^F41)/(F40-F42),0)</f>
        <v>0</v>
      </c>
      <c r="D40" s="330" t="s">
        <v>1193</v>
      </c>
      <c r="E40" s="308" t="s">
        <v>1194</v>
      </c>
      <c r="F40" s="318">
        <f ca="1">INDIRECT("'数据-取费表'!I"&amp;$G$1)</f>
        <v>5.5E-2</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f ca="1">ROUND(C40*10000/F43,0)</f>
        <v>0</v>
      </c>
      <c r="D43" s="343" t="s">
        <v>1212</v>
      </c>
      <c r="E43" s="344" t="s">
        <v>1213</v>
      </c>
      <c r="F43" s="345">
        <f ca="1">INDIRECT("'数据-取费表'!k"&amp;$G$1)</f>
        <v>17198.239999999998</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5" thickBot="1">
      <c r="A46" s="1539" t="s">
        <v>1244</v>
      </c>
      <c r="C46" s="1540">
        <f ca="1">C68-C40</f>
        <v>0</v>
      </c>
      <c r="D46" s="1541" t="str">
        <f>C2</f>
        <v>万元</v>
      </c>
      <c r="E46" s="1535"/>
      <c r="F46" s="1535"/>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c r="K47" s="1551" t="s">
        <v>1251</v>
      </c>
      <c r="L47" s="1552">
        <f ca="1">INDIRECT("'数据-取费表'!d"&amp;$G$1)</f>
        <v>40</v>
      </c>
      <c r="M47" s="1515" t="str">
        <f>IF(ISNUMBER(FIND("住宅",C1)),"住宅","非住宅")</f>
        <v>非住宅</v>
      </c>
      <c r="O47" s="1553" t="s">
        <v>827</v>
      </c>
      <c r="P47" s="1554" t="s">
        <v>1252</v>
      </c>
      <c r="Q47" s="1555">
        <f ca="1">C40+J29</f>
        <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39.28</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c r="K49" s="1558" t="s">
        <v>1259</v>
      </c>
      <c r="L49" s="1562"/>
      <c r="O49" s="1563" t="s">
        <v>829</v>
      </c>
      <c r="P49" s="1554" t="s">
        <v>1260</v>
      </c>
      <c r="Q49" s="1555">
        <f ca="1">C29</f>
        <v>19343</v>
      </c>
      <c r="R49" s="1555" t="s">
        <v>1253</v>
      </c>
    </row>
    <row r="50" spans="1:18" s="1519" customFormat="1" ht="13.5" thickBot="1">
      <c r="A50" s="1088"/>
      <c r="B50" s="1091"/>
      <c r="C50" s="1231"/>
      <c r="D50" s="1065"/>
      <c r="E50" s="1168" t="s">
        <v>1130</v>
      </c>
      <c r="F50" s="1169">
        <f ca="1">F7</f>
        <v>17198.239999999998</v>
      </c>
      <c r="H50" s="732"/>
      <c r="I50" s="1556" t="s">
        <v>1261</v>
      </c>
      <c r="J50" s="1564">
        <f>SUMPRODUCT((I63:I65=J47)*(J62:L62=J48)*(J63:L65))</f>
        <v>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0</v>
      </c>
      <c r="K53" s="3433" t="s">
        <v>1272</v>
      </c>
      <c r="L53" s="3434"/>
      <c r="O53" s="1553" t="s">
        <v>833</v>
      </c>
      <c r="P53" s="1554" t="s">
        <v>1273</v>
      </c>
      <c r="Q53" s="1555">
        <f ca="1">Q47+Q48</f>
        <v>0</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16055</v>
      </c>
      <c r="D56" s="1582"/>
      <c r="E56" s="1583"/>
      <c r="F56" s="1575"/>
      <c r="I56" s="1584" t="s">
        <v>1278</v>
      </c>
      <c r="J56" s="1585"/>
      <c r="K56" s="1556" t="s">
        <v>1279</v>
      </c>
      <c r="L56" s="1559">
        <f ca="1">IF(L48&lt;J51,"——",L48-J53)</f>
        <v>39.28</v>
      </c>
      <c r="O56" s="1553" t="s">
        <v>827</v>
      </c>
      <c r="P56" s="1554" t="s">
        <v>1252</v>
      </c>
      <c r="Q56" s="1555">
        <f ca="1">C40+J29</f>
        <v>0</v>
      </c>
      <c r="R56" s="1555" t="s">
        <v>1253</v>
      </c>
    </row>
    <row r="57" spans="1:18" s="1519" customFormat="1" ht="24.75" thickBot="1">
      <c r="A57" s="1586"/>
      <c r="B57" s="1062" t="s">
        <v>1202</v>
      </c>
      <c r="C57" s="244">
        <f ca="1">C29</f>
        <v>19343</v>
      </c>
      <c r="D57" s="1587"/>
      <c r="E57" s="1588"/>
      <c r="F57" s="1589"/>
      <c r="I57" s="1590" t="s">
        <v>1280</v>
      </c>
      <c r="J57" s="1591" t="str">
        <f ca="1">IF(OR(M47="住宅",J51&lt;L48,J56="是"),"——",J51-L48)</f>
        <v>——</v>
      </c>
      <c r="K57" s="1556" t="s">
        <v>1281</v>
      </c>
      <c r="L57" s="1559">
        <f ca="1">IF(L48&lt;J51,"——",IF(L55="比较法",L49,IF(L55="基准地价",L50,L51)))</f>
        <v>0</v>
      </c>
      <c r="O57" s="1553" t="s">
        <v>828</v>
      </c>
      <c r="P57" s="1554" t="s">
        <v>1282</v>
      </c>
      <c r="Q57" s="1555" t="e">
        <f ca="1">L60</f>
        <v>#DIV/0!</v>
      </c>
      <c r="R57" s="1555" t="s">
        <v>1283</v>
      </c>
    </row>
    <row r="58" spans="1:18" s="1519" customFormat="1" ht="24.75" thickBot="1">
      <c r="A58" s="321" t="s">
        <v>817</v>
      </c>
      <c r="B58" s="1070" t="s">
        <v>1148</v>
      </c>
      <c r="C58" s="322">
        <f ca="1">ROUND(C59+C64+C65+C66,0)</f>
        <v>380</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162</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162.47999999999999</v>
      </c>
      <c r="D61" s="1505" t="s">
        <v>1162</v>
      </c>
      <c r="E61" s="1062" t="s">
        <v>1218</v>
      </c>
      <c r="F61" s="328">
        <f t="shared" si="0"/>
        <v>1.2E-2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193.4</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24.1</v>
      </c>
      <c r="D65" s="1076" t="s">
        <v>1178</v>
      </c>
      <c r="E65" s="1062" t="s">
        <v>1179</v>
      </c>
      <c r="F65" s="336">
        <f t="shared" ca="1" si="0"/>
        <v>1.5E-3</v>
      </c>
      <c r="I65" s="1597" t="s">
        <v>1303</v>
      </c>
      <c r="J65" s="1598">
        <v>40</v>
      </c>
      <c r="K65" s="1598">
        <v>30</v>
      </c>
      <c r="L65" s="1598">
        <v>50</v>
      </c>
      <c r="M65" s="1600">
        <v>0.02</v>
      </c>
      <c r="O65" s="1553" t="s">
        <v>827</v>
      </c>
      <c r="P65" s="1554" t="s">
        <v>1304</v>
      </c>
      <c r="Q65" s="1555">
        <f ca="1">C40+J29</f>
        <v>0</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t="e">
        <f ca="1">L60</f>
        <v>#DIV/0!</v>
      </c>
      <c r="R66" s="1555" t="s">
        <v>1305</v>
      </c>
    </row>
    <row r="67" spans="1:18" s="1519" customFormat="1" ht="16.5" thickBot="1">
      <c r="A67" s="1069" t="s">
        <v>818</v>
      </c>
      <c r="B67" s="1079" t="s">
        <v>1187</v>
      </c>
      <c r="C67" s="322">
        <f ca="1">C48-C58</f>
        <v>-380</v>
      </c>
      <c r="D67" s="1075" t="s">
        <v>1188</v>
      </c>
      <c r="E67" s="1080"/>
      <c r="F67" s="1081"/>
      <c r="O67" s="1563" t="s">
        <v>829</v>
      </c>
      <c r="P67" s="1554" t="s">
        <v>1286</v>
      </c>
      <c r="Q67" s="1601">
        <f ca="1">L51</f>
        <v>0</v>
      </c>
      <c r="R67" s="1555" t="s">
        <v>1306</v>
      </c>
    </row>
    <row r="68" spans="1:18" s="1519" customFormat="1" ht="16.5" thickBot="1">
      <c r="A68" s="1059" t="s">
        <v>819</v>
      </c>
      <c r="B68" s="1060" t="s">
        <v>1209</v>
      </c>
      <c r="C68" s="307">
        <f ca="1">ROUND(C67*(1-((1+F70)/(1+F68))^F69)/(F68-F70),0)</f>
        <v>0</v>
      </c>
      <c r="D68" s="1077" t="s">
        <v>1193</v>
      </c>
      <c r="E68" s="1062" t="s">
        <v>1194</v>
      </c>
      <c r="F68" s="318">
        <f ca="1">F40</f>
        <v>5.5E-2</v>
      </c>
      <c r="O68" s="1563" t="s">
        <v>830</v>
      </c>
      <c r="P68" s="1602" t="s">
        <v>1307</v>
      </c>
      <c r="Q68" s="1555">
        <f ca="1">ROUND(Q69-Q70*Q71,0)</f>
        <v>-1504</v>
      </c>
      <c r="R68" s="1555" t="s">
        <v>838</v>
      </c>
    </row>
    <row r="69" spans="1:18" s="1519" customFormat="1" ht="13.5" thickBot="1">
      <c r="A69" s="1063"/>
      <c r="B69" s="1064"/>
      <c r="C69" s="312"/>
      <c r="D69" s="1082" t="s">
        <v>1197</v>
      </c>
      <c r="E69" s="1062" t="s">
        <v>1198</v>
      </c>
      <c r="F69" s="339">
        <f ca="1">F41</f>
        <v>0</v>
      </c>
      <c r="O69" s="1563" t="s">
        <v>835</v>
      </c>
      <c r="P69" s="1602" t="s">
        <v>1308</v>
      </c>
      <c r="Q69" s="1555">
        <f ca="1">C39</f>
        <v>-380</v>
      </c>
      <c r="R69" s="1555" t="s">
        <v>1253</v>
      </c>
    </row>
    <row r="70" spans="1:18" s="1519" customFormat="1" ht="13.5" thickBot="1">
      <c r="A70" s="1066"/>
      <c r="B70" s="1067"/>
      <c r="C70" s="316"/>
      <c r="D70" s="1078"/>
      <c r="E70" s="1062" t="s">
        <v>1201</v>
      </c>
      <c r="F70" s="1166"/>
      <c r="O70" s="1563" t="s">
        <v>836</v>
      </c>
      <c r="P70" s="1602" t="s">
        <v>1309</v>
      </c>
      <c r="Q70" s="1555">
        <f ca="1">C13</f>
        <v>16055</v>
      </c>
      <c r="R70" s="1555" t="s">
        <v>1253</v>
      </c>
    </row>
    <row r="71" spans="1:18" s="1519" customFormat="1" ht="13.5" thickBot="1">
      <c r="A71" s="1083" t="s">
        <v>820</v>
      </c>
      <c r="B71" s="1084" t="s">
        <v>1211</v>
      </c>
      <c r="C71" s="342">
        <f ca="1">ROUND(C68*10000/F71,0)</f>
        <v>0</v>
      </c>
      <c r="D71" s="1085" t="s">
        <v>1212</v>
      </c>
      <c r="E71" s="1086" t="s">
        <v>1213</v>
      </c>
      <c r="F71" s="345">
        <f ca="1">F43</f>
        <v>17198.239999999998</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1124</v>
      </c>
      <c r="D75" s="1519"/>
      <c r="E75" s="1519"/>
      <c r="F75" s="1519"/>
      <c r="K75" s="1537"/>
      <c r="L75" s="1519"/>
      <c r="O75" s="1553" t="s">
        <v>833</v>
      </c>
      <c r="P75" s="1554" t="s">
        <v>1273</v>
      </c>
      <c r="Q75" s="1555" t="e">
        <f ca="1">Q65+Q66</f>
        <v>#DIV/0!</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3.9580000000000002</v>
      </c>
    </row>
    <row r="80" spans="1:18">
      <c r="B80" s="346" t="s">
        <v>1235</v>
      </c>
      <c r="C80" s="280">
        <f ca="1">ROUND(C75/C39,3)</f>
        <v>-2.9580000000000002</v>
      </c>
    </row>
    <row r="81" spans="2:3">
      <c r="B81" s="276" t="s">
        <v>1236</v>
      </c>
      <c r="C81" s="244"/>
    </row>
    <row r="82" spans="2:3">
      <c r="B82" s="279" t="s">
        <v>1237</v>
      </c>
      <c r="C82" s="281" t="e">
        <f ca="1">1-C83</f>
        <v>#DIV/0!</v>
      </c>
    </row>
    <row r="83" spans="2:3">
      <c r="B83" s="279" t="s">
        <v>1238</v>
      </c>
      <c r="C83" s="28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3"/>
      <c r="H2" s="2872"/>
      <c r="I2" s="2872"/>
      <c r="J2" s="2872"/>
      <c r="K2" s="2873"/>
      <c r="L2" s="2872"/>
      <c r="M2" s="2872"/>
    </row>
    <row r="3" spans="1:37" ht="18" customHeight="1" thickBot="1">
      <c r="A3" s="1525" t="s">
        <v>1317</v>
      </c>
      <c r="B3" s="1526">
        <f ca="1">IF(ISERROR(D2/F43),0,ROUND(D2/F43,0))</f>
        <v>0</v>
      </c>
      <c r="C3" s="1522" t="s">
        <v>1318</v>
      </c>
      <c r="D3" s="1522"/>
      <c r="E3" s="1523"/>
      <c r="F3" s="1524"/>
      <c r="G3" s="2883"/>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5" t="s">
        <v>1127</v>
      </c>
      <c r="C6" s="1187">
        <f ca="1">ROUND(F6*F8*F7*(1-F9),0)</f>
        <v>0</v>
      </c>
      <c r="D6" s="160" t="s">
        <v>2605</v>
      </c>
      <c r="E6" s="308" t="s">
        <v>1129</v>
      </c>
      <c r="F6" s="309">
        <f ca="1">INDIRECT("'数据-取费表'!u"&amp;$G$1)</f>
        <v>0</v>
      </c>
      <c r="G6" s="1519"/>
      <c r="H6" s="1182" t="s">
        <v>822</v>
      </c>
      <c r="I6" s="3435" t="s">
        <v>1127</v>
      </c>
      <c r="J6" s="307">
        <f ca="1">ROUND(M6*M8*M7*(1-M9),0)</f>
        <v>0</v>
      </c>
      <c r="K6" s="1511" t="s">
        <v>2606</v>
      </c>
      <c r="L6" s="308" t="s">
        <v>1129</v>
      </c>
      <c r="M6" s="309">
        <f ca="1">INDIRECT("'数据-取费表'!z"&amp;$G$1)</f>
        <v>0</v>
      </c>
    </row>
    <row r="7" spans="1:37" ht="18" customHeight="1">
      <c r="A7" s="1186"/>
      <c r="B7" s="3436"/>
      <c r="C7" s="1188"/>
      <c r="D7" s="313"/>
      <c r="E7" s="1189" t="s">
        <v>1130</v>
      </c>
      <c r="F7" s="309">
        <f ca="1">IF(INDIRECT("'数据-取费表'!ah"&amp;$G$1)="",INDIRECT("'数据-取费表'!k"&amp;$G$1),INDIRECT("'数据-取费表'!ah"&amp;$G$1))</f>
        <v>0</v>
      </c>
      <c r="G7" s="1519"/>
      <c r="H7" s="310"/>
      <c r="I7" s="3436"/>
      <c r="J7" s="312"/>
      <c r="K7" s="313"/>
      <c r="L7" s="308" t="s">
        <v>1130</v>
      </c>
      <c r="M7" s="309">
        <f ca="1">F7</f>
        <v>0</v>
      </c>
    </row>
    <row r="8" spans="1:37" ht="18" customHeight="1">
      <c r="A8" s="310"/>
      <c r="B8" s="3436"/>
      <c r="C8" s="312"/>
      <c r="D8" s="313"/>
      <c r="E8" s="308" t="s">
        <v>1131</v>
      </c>
      <c r="F8" s="309">
        <f ca="1">INDIRECT("'数据-取费表'!ai"&amp;$G$1)</f>
        <v>0</v>
      </c>
      <c r="G8" s="1519"/>
      <c r="H8" s="310"/>
      <c r="I8" s="3436"/>
      <c r="J8" s="312"/>
      <c r="K8" s="313"/>
      <c r="L8" s="308" t="s">
        <v>1131</v>
      </c>
      <c r="M8" s="309">
        <f ca="1">INDIRECT("'数据-取费表'!ai"&amp;$G$1)</f>
        <v>0</v>
      </c>
    </row>
    <row r="9" spans="1:37" ht="18" customHeight="1">
      <c r="A9" s="310"/>
      <c r="B9" s="3437"/>
      <c r="C9" s="312"/>
      <c r="D9" s="313"/>
      <c r="E9" s="308" t="s">
        <v>1132</v>
      </c>
      <c r="F9" s="318">
        <f ca="1">INDIRECT("'数据-取费表'!w"&amp;$G$1)</f>
        <v>0</v>
      </c>
      <c r="G9" s="1519"/>
      <c r="H9" s="310"/>
      <c r="I9" s="343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4"/>
      <c r="I30" s="1533"/>
      <c r="J30" s="1534"/>
      <c r="K30" s="2650"/>
      <c r="L30" s="2875"/>
      <c r="M30" s="2876"/>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7" t="s">
        <v>2811</v>
      </c>
      <c r="I31" s="1533"/>
      <c r="J31" s="1534"/>
      <c r="K31" s="2650"/>
      <c r="L31" s="2875"/>
      <c r="M31" s="2876"/>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4"/>
      <c r="I32" s="1533"/>
      <c r="J32" s="1534"/>
      <c r="K32" s="2650"/>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f>
        <v>0</v>
      </c>
      <c r="D34" s="330" t="s">
        <v>1166</v>
      </c>
      <c r="E34" s="308" t="s">
        <v>1167</v>
      </c>
      <c r="F34" s="331">
        <f>'数据-取费表'!B52</f>
        <v>5</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f ca="1">ROUND(C29*F36,0)</f>
        <v>0</v>
      </c>
      <c r="D36" s="1479" t="s">
        <v>1206</v>
      </c>
      <c r="E36" s="308" t="s">
        <v>1146</v>
      </c>
      <c r="F36" s="334">
        <f ca="1">INDIRECT("'数据-取费表'!Ak"&amp;$G$1)</f>
        <v>0</v>
      </c>
      <c r="G36" s="1519"/>
      <c r="H36" s="2877"/>
      <c r="I36" s="1533"/>
      <c r="J36" s="1534"/>
      <c r="K36" s="2719"/>
      <c r="L36" s="2877"/>
      <c r="M36" s="2877"/>
    </row>
    <row r="37" spans="1:18" ht="18" customHeight="1">
      <c r="A37" s="1094" t="s">
        <v>862</v>
      </c>
      <c r="B37" s="308" t="s">
        <v>1177</v>
      </c>
      <c r="C37" s="24">
        <f ca="1">ROUND(C13*F37,0)</f>
        <v>0</v>
      </c>
      <c r="D37" s="1479" t="s">
        <v>1178</v>
      </c>
      <c r="E37" s="308" t="s">
        <v>1179</v>
      </c>
      <c r="F37" s="336">
        <f ca="1">INDIRECT("'数据-取费表'!Al"&amp;$G$1)</f>
        <v>0</v>
      </c>
      <c r="G37" s="1519"/>
      <c r="H37" s="2877"/>
      <c r="I37" s="1533"/>
      <c r="J37" s="1534"/>
      <c r="K37" s="2719"/>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f ca="1">C5-C30</f>
        <v>0</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33" t="s">
        <v>1272</v>
      </c>
      <c r="L53" s="343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abSelected="1" zoomScale="115" zoomScaleNormal="115" workbookViewId="0">
      <selection activeCell="H22" sqref="H22"/>
    </sheetView>
  </sheetViews>
  <sheetFormatPr defaultRowHeight="13.15" customHeight="1"/>
  <cols>
    <col min="1" max="1" width="9.5" style="3021" customWidth="1"/>
    <col min="2" max="2" width="8.875" style="3021"/>
    <col min="3" max="5" width="12.875" style="3021" customWidth="1"/>
    <col min="6" max="6" width="23.875" style="3021" customWidth="1"/>
    <col min="7" max="7" width="13" style="3173" customWidth="1"/>
    <col min="8" max="8" width="8.875" style="3015"/>
    <col min="9" max="9" width="8.875" style="3016"/>
    <col min="10" max="10" width="5.75" style="3174" customWidth="1"/>
    <col min="11" max="11" width="11.75" style="3174" customWidth="1"/>
    <col min="12" max="13" width="10.75" style="3174" customWidth="1"/>
    <col min="14" max="14" width="10" style="3174" customWidth="1"/>
    <col min="15" max="16" width="10.5" style="3174" bestFit="1" customWidth="1"/>
    <col min="17" max="17" width="10" style="3174" customWidth="1"/>
    <col min="18" max="18" width="10.125" style="3174" customWidth="1"/>
    <col min="19" max="19" width="10" style="3174" customWidth="1"/>
    <col min="20" max="20" width="26.125" style="3174" customWidth="1"/>
    <col min="21" max="21" width="8.875" style="3174"/>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2939</v>
      </c>
      <c r="B1" s="3011"/>
      <c r="C1" s="3023"/>
      <c r="D1" s="3023"/>
      <c r="E1" s="3012"/>
      <c r="F1" s="3013"/>
      <c r="G1" s="3014"/>
      <c r="J1" s="3017" t="s">
        <v>2818</v>
      </c>
      <c r="K1" s="3018"/>
      <c r="L1" s="3018"/>
      <c r="M1" s="3018"/>
      <c r="N1" s="3018"/>
      <c r="O1" s="3018"/>
      <c r="P1" s="3018"/>
      <c r="Q1" s="3018"/>
      <c r="R1" s="3019"/>
      <c r="S1" s="3020"/>
      <c r="T1" s="3020"/>
      <c r="U1" s="3020"/>
    </row>
    <row r="2" spans="1:22" s="3032" customFormat="1" ht="13.15" customHeight="1">
      <c r="A2" s="1520" t="s">
        <v>2819</v>
      </c>
      <c r="B2" s="3022">
        <f ca="1">C40</f>
        <v>32976</v>
      </c>
      <c r="C2" s="3023" t="s">
        <v>2820</v>
      </c>
      <c r="D2" s="3023"/>
      <c r="E2" s="3024"/>
      <c r="F2" s="3025"/>
      <c r="G2" s="3026"/>
      <c r="H2" s="3027"/>
      <c r="I2" s="3028"/>
      <c r="J2" s="3444" t="s">
        <v>2821</v>
      </c>
      <c r="K2" s="3445"/>
      <c r="L2" s="3029" t="s">
        <v>2822</v>
      </c>
      <c r="M2" s="3029" t="s">
        <v>2823</v>
      </c>
      <c r="N2" s="3029" t="s">
        <v>2824</v>
      </c>
      <c r="O2" s="3029" t="s">
        <v>2825</v>
      </c>
      <c r="P2" s="3029" t="s">
        <v>2826</v>
      </c>
      <c r="Q2" s="3030" t="s">
        <v>2827</v>
      </c>
      <c r="R2" s="3031" t="s">
        <v>2828</v>
      </c>
      <c r="S2" s="3020"/>
      <c r="T2" s="3020"/>
      <c r="U2" s="3020"/>
      <c r="V2" s="3028"/>
    </row>
    <row r="3" spans="1:22" s="3032" customFormat="1" ht="13.15" customHeight="1">
      <c r="A3" s="3033" t="s">
        <v>2829</v>
      </c>
      <c r="B3" s="3034">
        <f ca="1">ROUND(B2*10000/B4,0)</f>
        <v>19174</v>
      </c>
      <c r="C3" s="3023" t="s">
        <v>2830</v>
      </c>
      <c r="D3" s="3023"/>
      <c r="E3" s="3024"/>
      <c r="F3" s="3025"/>
      <c r="G3" s="3026"/>
      <c r="H3" s="3027"/>
      <c r="I3" s="3028"/>
      <c r="J3" s="3446" t="s">
        <v>2831</v>
      </c>
      <c r="K3" s="3447"/>
      <c r="L3" s="3035"/>
      <c r="M3" s="3035"/>
      <c r="N3" s="3035"/>
      <c r="O3" s="3035"/>
      <c r="P3" s="3035"/>
      <c r="Q3" s="3036"/>
      <c r="R3" s="3037">
        <f>SUM(L3:Q3)</f>
        <v>0</v>
      </c>
      <c r="S3" s="3020"/>
      <c r="T3" s="3020"/>
      <c r="U3" s="3020"/>
      <c r="V3" s="3028"/>
    </row>
    <row r="4" spans="1:22" s="3032" customFormat="1" ht="13.15" customHeight="1">
      <c r="A4" s="3038" t="s">
        <v>2832</v>
      </c>
      <c r="B4" s="3039">
        <f>'数据-汇总表'!E3</f>
        <v>17198.239999999998</v>
      </c>
      <c r="C4" s="3023"/>
      <c r="D4" s="3023"/>
      <c r="E4" s="3024"/>
      <c r="F4" s="3025"/>
      <c r="G4" s="3026"/>
      <c r="H4" s="3027"/>
      <c r="I4" s="3028"/>
      <c r="J4" s="3446" t="s">
        <v>2833</v>
      </c>
      <c r="K4" s="3447"/>
      <c r="L4" s="3040"/>
      <c r="M4" s="3040"/>
      <c r="N4" s="3040"/>
      <c r="O4" s="3040"/>
      <c r="P4" s="3040"/>
      <c r="Q4" s="3041"/>
      <c r="R4" s="3042">
        <f>SUM(L4:Q4)</f>
        <v>0</v>
      </c>
      <c r="S4" s="3020"/>
      <c r="T4" s="3020"/>
      <c r="U4" s="3020"/>
      <c r="V4" s="3028"/>
    </row>
    <row r="5" spans="1:22" s="3032" customFormat="1" ht="13.15" customHeight="1" thickBot="1">
      <c r="A5" s="3043" t="s">
        <v>2834</v>
      </c>
      <c r="B5" s="3044">
        <v>0</v>
      </c>
      <c r="C5" s="3023"/>
      <c r="D5" s="3045"/>
      <c r="E5" s="3025"/>
      <c r="F5" s="3025"/>
      <c r="G5" s="3026"/>
      <c r="H5" s="3027"/>
      <c r="I5" s="3028"/>
      <c r="J5" s="3046" t="s">
        <v>2835</v>
      </c>
      <c r="K5" s="3047"/>
      <c r="L5" s="3047"/>
      <c r="M5" s="3048"/>
      <c r="N5" s="3048"/>
      <c r="O5" s="3048"/>
      <c r="P5" s="3048"/>
      <c r="Q5" s="3048"/>
      <c r="R5" s="3031">
        <f>SUM(R14,R19,R24,R25,R27,R28)</f>
        <v>3414</v>
      </c>
      <c r="S5" s="3020"/>
      <c r="T5" s="3020" t="s">
        <v>2836</v>
      </c>
      <c r="U5" s="3020" t="e">
        <f>ROUND(R5*10000/365/R3,1)</f>
        <v>#DIV/0!</v>
      </c>
      <c r="V5" s="3028"/>
    </row>
    <row r="6" spans="1:22" s="3032" customFormat="1" ht="13.15" customHeight="1" thickBot="1">
      <c r="A6" s="3452" t="s">
        <v>2837</v>
      </c>
      <c r="B6" s="3453"/>
      <c r="C6" s="3454"/>
      <c r="D6" s="3049">
        <f>R5</f>
        <v>3414</v>
      </c>
      <c r="E6" s="3050"/>
      <c r="F6" s="3051"/>
      <c r="G6" s="3052"/>
      <c r="H6" s="3027"/>
      <c r="I6" s="3028"/>
      <c r="J6" s="3438">
        <v>1</v>
      </c>
      <c r="K6" s="3439" t="s">
        <v>2838</v>
      </c>
      <c r="L6" s="3053" t="s">
        <v>2839</v>
      </c>
      <c r="M6" s="3054" t="s">
        <v>2840</v>
      </c>
      <c r="N6" s="3054" t="s">
        <v>2841</v>
      </c>
      <c r="O6" s="3054" t="s">
        <v>2842</v>
      </c>
      <c r="P6" s="3054" t="s">
        <v>2843</v>
      </c>
      <c r="Q6" s="3054" t="s">
        <v>2844</v>
      </c>
      <c r="R6" s="3037" t="s">
        <v>2845</v>
      </c>
      <c r="S6" s="3020"/>
      <c r="T6" s="3020" t="s">
        <v>2846</v>
      </c>
      <c r="U6" s="3020"/>
      <c r="V6" s="3028"/>
    </row>
    <row r="7" spans="1:22" s="3032" customFormat="1" ht="13.15" customHeight="1">
      <c r="A7" s="3055" t="s">
        <v>2847</v>
      </c>
      <c r="B7" s="3056"/>
      <c r="C7" s="3057"/>
      <c r="D7" s="3058">
        <f ca="1">SUM(D9,D10,D11,D17,0)</f>
        <v>1892.18</v>
      </c>
      <c r="E7" s="3059">
        <f ca="1">E9+E10+E11+E17</f>
        <v>0.55403632103104872</v>
      </c>
      <c r="F7" s="3060"/>
      <c r="G7" s="3061"/>
      <c r="H7" s="3027"/>
      <c r="I7" s="3028"/>
      <c r="J7" s="3438"/>
      <c r="K7" s="3440"/>
      <c r="L7" s="3062" t="s">
        <v>2848</v>
      </c>
      <c r="M7" s="3063">
        <v>1</v>
      </c>
      <c r="N7" s="3039">
        <v>3999</v>
      </c>
      <c r="O7" s="3064">
        <v>0.8</v>
      </c>
      <c r="P7" s="3064">
        <v>0.2</v>
      </c>
      <c r="Q7" s="3065">
        <v>365</v>
      </c>
      <c r="R7" s="3066">
        <f>ROUND(M7*N7*O7*P7*Q7/10000,0)</f>
        <v>23</v>
      </c>
      <c r="S7" s="3020"/>
      <c r="T7" s="3020" t="s">
        <v>2849</v>
      </c>
      <c r="U7" s="3020"/>
      <c r="V7" s="3028"/>
    </row>
    <row r="8" spans="1:22" s="3032" customFormat="1" ht="13.15" customHeight="1">
      <c r="A8" s="3067" t="s">
        <v>2850</v>
      </c>
      <c r="B8" s="3455" t="s">
        <v>2851</v>
      </c>
      <c r="C8" s="3456"/>
      <c r="D8" s="3068" t="s">
        <v>2852</v>
      </c>
      <c r="E8" s="3069" t="s">
        <v>2853</v>
      </c>
      <c r="F8" s="3070" t="s">
        <v>2854</v>
      </c>
      <c r="G8" s="3071"/>
      <c r="H8" s="3027"/>
      <c r="I8" s="3028"/>
      <c r="J8" s="3438"/>
      <c r="K8" s="3440"/>
      <c r="L8" s="3062" t="s">
        <v>2855</v>
      </c>
      <c r="M8" s="3063">
        <v>7</v>
      </c>
      <c r="N8" s="3039">
        <v>740</v>
      </c>
      <c r="O8" s="3064">
        <v>1</v>
      </c>
      <c r="P8" s="3064">
        <v>0.4</v>
      </c>
      <c r="Q8" s="3065">
        <v>365</v>
      </c>
      <c r="R8" s="3066">
        <f t="shared" ref="R8:R13" si="0">ROUND(M8*N8*O8*P8*Q8/10000,0)</f>
        <v>76</v>
      </c>
      <c r="S8" s="3020"/>
      <c r="T8" s="3020" t="s">
        <v>2856</v>
      </c>
      <c r="U8" s="3020"/>
      <c r="V8" s="3028"/>
    </row>
    <row r="9" spans="1:22" s="3032" customFormat="1" ht="13.15" customHeight="1">
      <c r="A9" s="3067">
        <v>1</v>
      </c>
      <c r="B9" s="3455" t="s">
        <v>2857</v>
      </c>
      <c r="C9" s="3456"/>
      <c r="D9" s="3068">
        <f>ROUND(D6*E9,0)</f>
        <v>512</v>
      </c>
      <c r="E9" s="3072">
        <v>0.15</v>
      </c>
      <c r="F9" s="3237" t="s">
        <v>2858</v>
      </c>
      <c r="G9" s="3052"/>
      <c r="H9" s="3027"/>
      <c r="I9" s="3028"/>
      <c r="J9" s="3438"/>
      <c r="K9" s="3440"/>
      <c r="L9" s="3062" t="s">
        <v>2859</v>
      </c>
      <c r="M9" s="3063">
        <v>35</v>
      </c>
      <c r="N9" s="3039">
        <v>420</v>
      </c>
      <c r="O9" s="3064">
        <v>1</v>
      </c>
      <c r="P9" s="3064">
        <v>0.7</v>
      </c>
      <c r="Q9" s="3065">
        <v>365</v>
      </c>
      <c r="R9" s="3066">
        <f t="shared" si="0"/>
        <v>376</v>
      </c>
      <c r="S9" s="3020"/>
      <c r="T9" s="3020"/>
      <c r="U9" s="3020"/>
      <c r="V9" s="3028"/>
    </row>
    <row r="10" spans="1:22" s="3032" customFormat="1" ht="13.15" customHeight="1">
      <c r="A10" s="3067">
        <v>2</v>
      </c>
      <c r="B10" s="3455" t="s">
        <v>2860</v>
      </c>
      <c r="C10" s="3456"/>
      <c r="D10" s="3068">
        <f>ROUND(D6*E10,0)</f>
        <v>854</v>
      </c>
      <c r="E10" s="3072">
        <v>0.25</v>
      </c>
      <c r="F10" s="3237" t="s">
        <v>2861</v>
      </c>
      <c r="G10" s="3052"/>
      <c r="H10" s="3027"/>
      <c r="I10" s="3028"/>
      <c r="J10" s="3438"/>
      <c r="K10" s="3440"/>
      <c r="L10" s="3062" t="s">
        <v>2862</v>
      </c>
      <c r="M10" s="3063">
        <v>152</v>
      </c>
      <c r="N10" s="3039">
        <v>380</v>
      </c>
      <c r="O10" s="3064">
        <v>1</v>
      </c>
      <c r="P10" s="3064">
        <v>0.7</v>
      </c>
      <c r="Q10" s="3065">
        <v>365</v>
      </c>
      <c r="R10" s="3066">
        <f t="shared" si="0"/>
        <v>1476</v>
      </c>
      <c r="S10" s="3020"/>
      <c r="T10" s="3020"/>
      <c r="U10" s="3020"/>
      <c r="V10" s="3028"/>
    </row>
    <row r="11" spans="1:22" s="3032" customFormat="1" ht="13.15" customHeight="1">
      <c r="A11" s="3067">
        <v>3</v>
      </c>
      <c r="B11" s="3455" t="s">
        <v>2863</v>
      </c>
      <c r="C11" s="3456"/>
      <c r="D11" s="3068">
        <f ca="1">D12+D14+D15+D16</f>
        <v>355.18</v>
      </c>
      <c r="E11" s="3073">
        <f ca="1">D11/D6</f>
        <v>0.10403632103104862</v>
      </c>
      <c r="F11" s="3239"/>
      <c r="G11" s="3071"/>
      <c r="H11" s="3027"/>
      <c r="I11" s="3028"/>
      <c r="J11" s="3438"/>
      <c r="K11" s="3440"/>
      <c r="L11" s="3062" t="s">
        <v>2864</v>
      </c>
      <c r="M11" s="3063"/>
      <c r="N11" s="3039"/>
      <c r="O11" s="3064"/>
      <c r="P11" s="3064"/>
      <c r="Q11" s="3065">
        <v>365</v>
      </c>
      <c r="R11" s="3066">
        <f t="shared" si="0"/>
        <v>0</v>
      </c>
      <c r="S11" s="3020"/>
      <c r="T11" s="3020"/>
      <c r="U11" s="3020"/>
      <c r="V11" s="3028"/>
    </row>
    <row r="12" spans="1:22" s="3032" customFormat="1" ht="13.15" customHeight="1">
      <c r="A12" s="3074" t="s">
        <v>2865</v>
      </c>
      <c r="B12" s="3448" t="s">
        <v>2866</v>
      </c>
      <c r="C12" s="3449"/>
      <c r="D12" s="3075">
        <f ca="1">ROUND(D13*1.2%*(1-30%),0)</f>
        <v>162</v>
      </c>
      <c r="E12" s="3076">
        <v>1.2E-2</v>
      </c>
      <c r="F12" s="3239" t="s">
        <v>2867</v>
      </c>
      <c r="G12" s="3071"/>
      <c r="H12" s="3027"/>
      <c r="I12" s="3028"/>
      <c r="J12" s="3438"/>
      <c r="K12" s="3440"/>
      <c r="L12" s="3062" t="s">
        <v>2868</v>
      </c>
      <c r="M12" s="3063"/>
      <c r="N12" s="3039"/>
      <c r="O12" s="3064"/>
      <c r="P12" s="3064"/>
      <c r="Q12" s="3065">
        <v>365</v>
      </c>
      <c r="R12" s="3066">
        <f t="shared" si="0"/>
        <v>0</v>
      </c>
      <c r="S12" s="3020"/>
      <c r="T12" s="3020"/>
      <c r="U12" s="3020"/>
      <c r="V12" s="3028"/>
    </row>
    <row r="13" spans="1:22" s="3032" customFormat="1" ht="13.15" customHeight="1">
      <c r="A13" s="3074"/>
      <c r="B13" s="3077"/>
      <c r="C13" s="3078" t="s">
        <v>2869</v>
      </c>
      <c r="D13" s="3079">
        <f ca="1">成本法!C49</f>
        <v>19343</v>
      </c>
      <c r="E13" s="3080"/>
      <c r="F13" s="3239"/>
      <c r="G13" s="3071"/>
      <c r="H13" s="3027"/>
      <c r="I13" s="3028"/>
      <c r="J13" s="3438"/>
      <c r="K13" s="3440"/>
      <c r="L13" s="3062" t="s">
        <v>2870</v>
      </c>
      <c r="M13" s="3063"/>
      <c r="N13" s="3039"/>
      <c r="O13" s="3064"/>
      <c r="P13" s="3064"/>
      <c r="Q13" s="3065">
        <v>365</v>
      </c>
      <c r="R13" s="3066">
        <f t="shared" si="0"/>
        <v>0</v>
      </c>
      <c r="S13" s="3020"/>
      <c r="T13" s="3020"/>
      <c r="U13" s="3020"/>
      <c r="V13" s="3028"/>
    </row>
    <row r="14" spans="1:22" s="3032" customFormat="1" ht="13.15" customHeight="1">
      <c r="A14" s="3074" t="s">
        <v>2871</v>
      </c>
      <c r="B14" s="3448" t="s">
        <v>2872</v>
      </c>
      <c r="C14" s="3449"/>
      <c r="D14" s="3236">
        <f>ROUND(5452.63*4/10000,2)</f>
        <v>2.1800000000000002</v>
      </c>
      <c r="E14" s="3065"/>
      <c r="F14" s="3239" t="s">
        <v>2873</v>
      </c>
      <c r="G14" s="3071"/>
      <c r="H14" s="3027"/>
      <c r="I14" s="3028"/>
      <c r="J14" s="3438"/>
      <c r="K14" s="3441"/>
      <c r="L14" s="3081" t="s">
        <v>2874</v>
      </c>
      <c r="M14" s="3082">
        <f>SUM(M7:M13)</f>
        <v>195</v>
      </c>
      <c r="N14" s="3082">
        <f>ROUND((N7*M7+N8*M8+N9*M9+N10*M10+N11*M11+N12*M12+N13*M13)/M14,0)</f>
        <v>419</v>
      </c>
      <c r="O14" s="3083"/>
      <c r="P14" s="3083"/>
      <c r="Q14" s="3084"/>
      <c r="R14" s="3031">
        <f>SUM(R7:R13)</f>
        <v>1951</v>
      </c>
      <c r="S14" s="3020"/>
      <c r="T14" s="3020"/>
      <c r="U14" s="3020"/>
      <c r="V14" s="3028"/>
    </row>
    <row r="15" spans="1:22" s="3032" customFormat="1" ht="13.15" customHeight="1">
      <c r="A15" s="3074" t="s">
        <v>2875</v>
      </c>
      <c r="B15" s="3448" t="s">
        <v>2876</v>
      </c>
      <c r="C15" s="3449"/>
      <c r="D15" s="3075">
        <f>ROUND(D6*E15,0)</f>
        <v>191</v>
      </c>
      <c r="E15" s="3076">
        <v>5.6000000000000001E-2</v>
      </c>
      <c r="F15" s="3239" t="s">
        <v>2877</v>
      </c>
      <c r="G15" s="3052"/>
      <c r="H15" s="3027"/>
      <c r="I15" s="3028"/>
      <c r="J15" s="3438">
        <v>2</v>
      </c>
      <c r="K15" s="3439" t="s">
        <v>2878</v>
      </c>
      <c r="L15" s="3062" t="s">
        <v>2879</v>
      </c>
      <c r="M15" s="3063" t="s">
        <v>2880</v>
      </c>
      <c r="N15" s="3063" t="s">
        <v>2881</v>
      </c>
      <c r="O15" s="3064" t="s">
        <v>2882</v>
      </c>
      <c r="P15" s="3064" t="s">
        <v>2844</v>
      </c>
      <c r="Q15" s="3039" t="s">
        <v>2883</v>
      </c>
      <c r="R15" s="3085" t="s">
        <v>2845</v>
      </c>
      <c r="S15" s="3020"/>
      <c r="T15" s="3020"/>
      <c r="U15" s="3020"/>
      <c r="V15" s="3028"/>
    </row>
    <row r="16" spans="1:22" s="3032" customFormat="1" ht="13.15" customHeight="1">
      <c r="A16" s="3074" t="s">
        <v>2884</v>
      </c>
      <c r="B16" s="3448" t="s">
        <v>2885</v>
      </c>
      <c r="C16" s="3449"/>
      <c r="D16" s="3086">
        <f>D6*E16</f>
        <v>0</v>
      </c>
      <c r="E16" s="3087"/>
      <c r="F16" s="3237" t="s">
        <v>2886</v>
      </c>
      <c r="G16" s="3052"/>
      <c r="H16" s="3027"/>
      <c r="I16" s="3028"/>
      <c r="J16" s="3438"/>
      <c r="K16" s="3440"/>
      <c r="L16" s="3062" t="s">
        <v>2887</v>
      </c>
      <c r="M16" s="3063"/>
      <c r="N16" s="3063"/>
      <c r="O16" s="3064"/>
      <c r="P16" s="3065">
        <v>365</v>
      </c>
      <c r="Q16" s="3039"/>
      <c r="R16" s="3085">
        <f>ROUND(M16*N16*O16*P16/10000,0)</f>
        <v>0</v>
      </c>
      <c r="S16" s="3020"/>
      <c r="T16" s="3020"/>
      <c r="U16" s="3020"/>
      <c r="V16" s="3028"/>
    </row>
    <row r="17" spans="1:22" s="3032" customFormat="1" ht="13.15" customHeight="1" thickBot="1">
      <c r="A17" s="3088">
        <v>4</v>
      </c>
      <c r="B17" s="3450" t="s">
        <v>2888</v>
      </c>
      <c r="C17" s="3451"/>
      <c r="D17" s="3089">
        <f>ROUND(D6*E17,0)</f>
        <v>171</v>
      </c>
      <c r="E17" s="3090">
        <v>0.05</v>
      </c>
      <c r="F17" s="3238" t="s">
        <v>2889</v>
      </c>
      <c r="G17" s="3052"/>
      <c r="H17" s="3027"/>
      <c r="I17" s="3028"/>
      <c r="J17" s="3438"/>
      <c r="K17" s="3440"/>
      <c r="L17" s="3062" t="s">
        <v>2890</v>
      </c>
      <c r="M17" s="3063"/>
      <c r="N17" s="3063"/>
      <c r="O17" s="3064"/>
      <c r="P17" s="3065">
        <v>365</v>
      </c>
      <c r="Q17" s="3039"/>
      <c r="R17" s="3085">
        <f>ROUND(M17*N17*O17*P17/10000,0)</f>
        <v>0</v>
      </c>
      <c r="S17" s="3020"/>
      <c r="T17" s="3020"/>
      <c r="U17" s="3020"/>
      <c r="V17" s="3028"/>
    </row>
    <row r="18" spans="1:22" s="3032" customFormat="1" ht="13.15" customHeight="1" thickBot="1">
      <c r="A18" s="3055" t="s">
        <v>2891</v>
      </c>
      <c r="B18" s="3056"/>
      <c r="C18" s="3056"/>
      <c r="D18" s="3091">
        <f>ROUND(D6*E18,0)</f>
        <v>171</v>
      </c>
      <c r="E18" s="3092">
        <v>0.05</v>
      </c>
      <c r="F18" s="3240" t="s">
        <v>2892</v>
      </c>
      <c r="G18" s="3052"/>
      <c r="H18" s="3027"/>
      <c r="I18" s="3028"/>
      <c r="J18" s="3438"/>
      <c r="K18" s="3440"/>
      <c r="L18" s="3062" t="s">
        <v>2893</v>
      </c>
      <c r="M18" s="3063"/>
      <c r="N18" s="3063"/>
      <c r="O18" s="3064"/>
      <c r="P18" s="3065">
        <v>365</v>
      </c>
      <c r="Q18" s="3039"/>
      <c r="R18" s="3085">
        <f>ROUND(M18*N18*O18*P18/10000,0)</f>
        <v>0</v>
      </c>
      <c r="S18" s="3020"/>
      <c r="T18" s="3020"/>
      <c r="U18" s="3020"/>
      <c r="V18" s="3028"/>
    </row>
    <row r="19" spans="1:22" s="3032" customFormat="1" ht="13.15" customHeight="1" thickBot="1">
      <c r="A19" s="3093" t="s">
        <v>2894</v>
      </c>
      <c r="B19" s="3050"/>
      <c r="C19" s="3050"/>
      <c r="D19" s="3050"/>
      <c r="E19" s="3050"/>
      <c r="F19" s="3051"/>
      <c r="G19" s="3071"/>
      <c r="H19" s="3027"/>
      <c r="I19" s="3028"/>
      <c r="J19" s="3438"/>
      <c r="K19" s="3441"/>
      <c r="L19" s="3081" t="s">
        <v>2874</v>
      </c>
      <c r="M19" s="3082"/>
      <c r="N19" s="3082">
        <f>SUM(N16:N18)</f>
        <v>0</v>
      </c>
      <c r="O19" s="3083"/>
      <c r="P19" s="3094" t="s">
        <v>2938</v>
      </c>
      <c r="Q19" s="3064">
        <v>0</v>
      </c>
      <c r="R19" s="3095">
        <f>ROUND(IF(P19="按比例",R14*Q19,SUM(R16:R18)),0)</f>
        <v>0</v>
      </c>
      <c r="S19" s="3020"/>
      <c r="T19" s="3020"/>
      <c r="U19" s="3020"/>
      <c r="V19" s="3028"/>
    </row>
    <row r="20" spans="1:22" s="3032" customFormat="1" ht="13.15" customHeight="1">
      <c r="A20" s="3055"/>
      <c r="B20" s="3056"/>
      <c r="C20" s="3056"/>
      <c r="D20" s="3056"/>
      <c r="E20" s="3056"/>
      <c r="F20" s="3096"/>
      <c r="G20" s="3071"/>
      <c r="H20" s="3027"/>
      <c r="I20" s="3028"/>
      <c r="J20" s="3438">
        <v>3</v>
      </c>
      <c r="K20" s="3439" t="s">
        <v>2895</v>
      </c>
      <c r="L20" s="3062" t="s">
        <v>2896</v>
      </c>
      <c r="M20" s="3063" t="s">
        <v>2897</v>
      </c>
      <c r="N20" s="3097" t="s">
        <v>2898</v>
      </c>
      <c r="O20" s="3064" t="s">
        <v>2899</v>
      </c>
      <c r="P20" s="3065" t="s">
        <v>2900</v>
      </c>
      <c r="Q20" s="3039" t="s">
        <v>2901</v>
      </c>
      <c r="R20" s="3085" t="s">
        <v>2902</v>
      </c>
      <c r="S20" s="3098"/>
      <c r="T20" s="3098"/>
      <c r="U20" s="3098"/>
      <c r="V20" s="3028"/>
    </row>
    <row r="21" spans="1:22" s="3032" customFormat="1" ht="13.15" customHeight="1">
      <c r="A21" s="3055"/>
      <c r="B21" s="3056"/>
      <c r="C21" s="3099" t="s">
        <v>2903</v>
      </c>
      <c r="D21" s="3100" t="s">
        <v>2904</v>
      </c>
      <c r="E21" s="3101" t="s">
        <v>2905</v>
      </c>
      <c r="F21" s="3096"/>
      <c r="G21" s="3071"/>
      <c r="H21" s="3027"/>
      <c r="I21" s="3028"/>
      <c r="J21" s="3438"/>
      <c r="K21" s="3440"/>
      <c r="L21" s="3062" t="s">
        <v>2906</v>
      </c>
      <c r="M21" s="3063"/>
      <c r="N21" s="3063"/>
      <c r="O21" s="3064"/>
      <c r="P21" s="3065">
        <v>365</v>
      </c>
      <c r="Q21" s="3039"/>
      <c r="R21" s="3102">
        <f>ROUND(M21*N21*O21*P21/10000,0)</f>
        <v>0</v>
      </c>
      <c r="S21" s="3098"/>
      <c r="T21" s="3098"/>
      <c r="U21" s="3098"/>
      <c r="V21" s="3028"/>
    </row>
    <row r="22" spans="1:22" s="3032" customFormat="1" ht="13.15" customHeight="1">
      <c r="A22" s="3055"/>
      <c r="B22" s="3056"/>
      <c r="C22" s="3103" t="s">
        <v>2907</v>
      </c>
      <c r="D22" s="3104" t="s">
        <v>2908</v>
      </c>
      <c r="E22" s="3105" t="s">
        <v>2909</v>
      </c>
      <c r="F22" s="3096"/>
      <c r="G22" s="3106"/>
      <c r="H22" s="3027"/>
      <c r="I22" s="3028"/>
      <c r="J22" s="3438"/>
      <c r="K22" s="3440"/>
      <c r="L22" s="3062" t="s">
        <v>2910</v>
      </c>
      <c r="M22" s="3063"/>
      <c r="N22" s="3063"/>
      <c r="O22" s="3064"/>
      <c r="P22" s="3065">
        <v>365</v>
      </c>
      <c r="Q22" s="3039"/>
      <c r="R22" s="3102">
        <f>ROUND(M22*N22*O22*P22/10000,0)</f>
        <v>0</v>
      </c>
      <c r="S22" s="3098"/>
      <c r="T22" s="3098"/>
      <c r="U22" s="3098"/>
      <c r="V22" s="3028"/>
    </row>
    <row r="23" spans="1:22" s="3032" customFormat="1" ht="13.15" customHeight="1">
      <c r="A23" s="3107">
        <v>1</v>
      </c>
      <c r="B23" s="3108" t="s">
        <v>2911</v>
      </c>
      <c r="C23" s="3109">
        <f>D6</f>
        <v>3414</v>
      </c>
      <c r="D23" s="3110">
        <f>C23*(1+D24)</f>
        <v>3414</v>
      </c>
      <c r="E23" s="3111">
        <f>D23*(1+E24)</f>
        <v>3414</v>
      </c>
      <c r="F23" s="3112"/>
      <c r="G23" s="3113"/>
      <c r="H23" s="3027"/>
      <c r="I23" s="3028"/>
      <c r="J23" s="3438"/>
      <c r="K23" s="3440"/>
      <c r="L23" s="3062" t="s">
        <v>2912</v>
      </c>
      <c r="M23" s="3063"/>
      <c r="N23" s="3063"/>
      <c r="O23" s="3064"/>
      <c r="P23" s="3065">
        <v>365</v>
      </c>
      <c r="Q23" s="3039"/>
      <c r="R23" s="3102">
        <f>ROUND(M23*N23*O23*P23/10000,0)</f>
        <v>0</v>
      </c>
      <c r="S23" s="3020"/>
      <c r="T23" s="3020"/>
      <c r="U23" s="3020"/>
      <c r="V23" s="3028"/>
    </row>
    <row r="24" spans="1:22" s="3032" customFormat="1" ht="13.15" customHeight="1">
      <c r="A24" s="3114"/>
      <c r="B24" s="3115" t="s">
        <v>2913</v>
      </c>
      <c r="C24" s="3116"/>
      <c r="D24" s="3117"/>
      <c r="E24" s="3118"/>
      <c r="F24" s="3119"/>
      <c r="G24" s="3113"/>
      <c r="H24" s="3027"/>
      <c r="I24" s="3028"/>
      <c r="J24" s="3438"/>
      <c r="K24" s="3441"/>
      <c r="L24" s="3081" t="s">
        <v>2874</v>
      </c>
      <c r="M24" s="3082">
        <f>SUM(M21:M23)</f>
        <v>0</v>
      </c>
      <c r="N24" s="3082"/>
      <c r="O24" s="3083"/>
      <c r="P24" s="3094" t="s">
        <v>2938</v>
      </c>
      <c r="Q24" s="3064">
        <v>0</v>
      </c>
      <c r="R24" s="3095">
        <f>ROUND(IF(P24="按比例",R14*Q24,SUM(R21:R23)),0)</f>
        <v>0</v>
      </c>
      <c r="S24" s="3020"/>
      <c r="T24" s="3020"/>
      <c r="U24" s="3020"/>
      <c r="V24" s="3028"/>
    </row>
    <row r="25" spans="1:22" s="3126" customFormat="1" ht="13.15" customHeight="1">
      <c r="A25" s="3114"/>
      <c r="B25" s="3115"/>
      <c r="C25" s="3116"/>
      <c r="D25" s="3117"/>
      <c r="E25" s="3118"/>
      <c r="F25" s="3119"/>
      <c r="G25" s="3106"/>
      <c r="H25" s="3027"/>
      <c r="I25" s="3028"/>
      <c r="J25" s="3120">
        <v>4</v>
      </c>
      <c r="K25" s="3121" t="s">
        <v>2914</v>
      </c>
      <c r="L25" s="3122"/>
      <c r="M25" s="3122"/>
      <c r="N25" s="3122"/>
      <c r="O25" s="3122"/>
      <c r="P25" s="3123"/>
      <c r="Q25" s="3124">
        <v>0.75</v>
      </c>
      <c r="R25" s="3095">
        <f>ROUND(R14*Q25,0)</f>
        <v>1463</v>
      </c>
      <c r="S25" s="3020"/>
      <c r="T25" s="3020"/>
      <c r="U25" s="3020"/>
      <c r="V25" s="3125"/>
    </row>
    <row r="26" spans="1:22" s="3126" customFormat="1" ht="13.15" customHeight="1">
      <c r="A26" s="3107">
        <v>2</v>
      </c>
      <c r="B26" s="3108" t="s">
        <v>2915</v>
      </c>
      <c r="C26" s="3109">
        <f ca="1">D7</f>
        <v>1892.18</v>
      </c>
      <c r="D26" s="3110">
        <f ca="1">D23*D27</f>
        <v>1891.4800000000002</v>
      </c>
      <c r="E26" s="3111">
        <f ca="1">E23*E27</f>
        <v>1891.4800000000002</v>
      </c>
      <c r="F26" s="3112"/>
      <c r="G26" s="3113"/>
      <c r="H26" s="3027"/>
      <c r="I26" s="3028"/>
      <c r="J26" s="3442">
        <v>5</v>
      </c>
      <c r="K26" s="3127" t="s">
        <v>2916</v>
      </c>
      <c r="L26" s="3128"/>
      <c r="M26" s="3129"/>
      <c r="N26" s="3130" t="s">
        <v>2917</v>
      </c>
      <c r="O26" s="3130" t="s">
        <v>2918</v>
      </c>
      <c r="P26" s="3131" t="s">
        <v>2919</v>
      </c>
      <c r="Q26" s="3131" t="s">
        <v>2920</v>
      </c>
      <c r="R26" s="3037" t="s">
        <v>2845</v>
      </c>
      <c r="S26" s="3132"/>
      <c r="T26" s="3132"/>
      <c r="U26" s="3132"/>
      <c r="V26" s="3125"/>
    </row>
    <row r="27" spans="1:22" s="3032" customFormat="1" ht="13.15" customHeight="1">
      <c r="A27" s="3114"/>
      <c r="B27" s="3115" t="s">
        <v>2921</v>
      </c>
      <c r="C27" s="3133">
        <f ca="1">E7</f>
        <v>0.55403632103104872</v>
      </c>
      <c r="D27" s="3117">
        <f ca="1">C27</f>
        <v>0.55403632103104872</v>
      </c>
      <c r="E27" s="3117">
        <f ca="1">D27</f>
        <v>0.55403632103104872</v>
      </c>
      <c r="F27" s="3119"/>
      <c r="G27" s="3113"/>
      <c r="H27" s="3134"/>
      <c r="I27" s="3125"/>
      <c r="J27" s="3443"/>
      <c r="K27" s="3135"/>
      <c r="L27" s="3136"/>
      <c r="M27" s="3137"/>
      <c r="N27" s="3138"/>
      <c r="O27" s="3138"/>
      <c r="P27" s="3138"/>
      <c r="Q27" s="3139"/>
      <c r="R27" s="3095">
        <f>ROUND(O27*N27*P27*(1-Q27)/10000,0)</f>
        <v>0</v>
      </c>
      <c r="S27" s="3020"/>
      <c r="T27" s="3020"/>
      <c r="U27" s="3020"/>
      <c r="V27" s="3028"/>
    </row>
    <row r="28" spans="1:22" s="3126" customFormat="1" ht="13.15" customHeight="1" thickBot="1">
      <c r="A28" s="3114"/>
      <c r="B28" s="3115"/>
      <c r="C28" s="3133"/>
      <c r="D28" s="3117"/>
      <c r="E28" s="3118" t="s">
        <v>2922</v>
      </c>
      <c r="F28" s="3119"/>
      <c r="G28" s="3106"/>
      <c r="H28" s="3134"/>
      <c r="I28" s="3125"/>
      <c r="J28" s="3140">
        <v>6</v>
      </c>
      <c r="K28" s="3141" t="s">
        <v>2923</v>
      </c>
      <c r="L28" s="3142" t="s">
        <v>2924</v>
      </c>
      <c r="M28" s="3143"/>
      <c r="N28" s="3142" t="s">
        <v>2925</v>
      </c>
      <c r="O28" s="3144"/>
      <c r="P28" s="3142" t="s">
        <v>2926</v>
      </c>
      <c r="Q28" s="3145">
        <v>1.4999999999999999E-2</v>
      </c>
      <c r="R28" s="3146"/>
      <c r="S28" s="3098"/>
      <c r="T28" s="3098"/>
      <c r="U28" s="3098"/>
      <c r="V28" s="3125"/>
    </row>
    <row r="29" spans="1:22" s="3126" customFormat="1" ht="13.15" customHeight="1">
      <c r="A29" s="3107">
        <v>3</v>
      </c>
      <c r="B29" s="3108" t="s">
        <v>2927</v>
      </c>
      <c r="C29" s="3109">
        <f>C23*C30</f>
        <v>170.70000000000002</v>
      </c>
      <c r="D29" s="3110">
        <f>D23*C30</f>
        <v>170.70000000000002</v>
      </c>
      <c r="E29" s="3111">
        <f>E23*C30</f>
        <v>170.70000000000002</v>
      </c>
      <c r="F29" s="3112"/>
      <c r="G29" s="3113"/>
      <c r="H29" s="3027"/>
      <c r="I29" s="3028"/>
      <c r="J29" s="3098"/>
      <c r="K29" s="3098"/>
      <c r="L29" s="3098"/>
      <c r="M29" s="3098"/>
      <c r="N29" s="3098"/>
      <c r="O29" s="3098"/>
      <c r="P29" s="3098"/>
      <c r="Q29" s="3098"/>
      <c r="R29" s="3098"/>
      <c r="S29" s="3098"/>
      <c r="T29" s="3098"/>
      <c r="U29" s="3098"/>
      <c r="V29" s="3125"/>
    </row>
    <row r="30" spans="1:22" s="3032" customFormat="1" ht="13.15" customHeight="1" thickBot="1">
      <c r="A30" s="3114"/>
      <c r="B30" s="3115" t="s">
        <v>2921</v>
      </c>
      <c r="C30" s="3133">
        <f>E18</f>
        <v>0.05</v>
      </c>
      <c r="D30" s="3147"/>
      <c r="E30" s="3080"/>
      <c r="F30" s="3119"/>
      <c r="G30" s="3113"/>
      <c r="H30" s="3134"/>
      <c r="I30" s="3125"/>
      <c r="J30" s="3098"/>
      <c r="K30" s="3098"/>
      <c r="L30" s="3098"/>
      <c r="M30" s="3098"/>
      <c r="N30" s="3098"/>
      <c r="O30" s="3098"/>
      <c r="P30" s="3098"/>
      <c r="Q30" s="3098"/>
      <c r="R30" s="3098"/>
      <c r="S30" s="3098"/>
      <c r="T30" s="3098"/>
      <c r="U30" s="3020"/>
      <c r="V30" s="3028"/>
    </row>
    <row r="31" spans="1:22" s="3126" customFormat="1" ht="13.15" customHeight="1">
      <c r="A31" s="3114"/>
      <c r="B31" s="3115"/>
      <c r="C31" s="3148"/>
      <c r="D31" s="3147"/>
      <c r="E31" s="3080"/>
      <c r="F31" s="3119"/>
      <c r="G31" s="3106"/>
      <c r="H31" s="3134"/>
      <c r="I31" s="3125"/>
      <c r="J31" s="3017" t="s">
        <v>2928</v>
      </c>
      <c r="K31" s="3018"/>
      <c r="L31" s="3018"/>
      <c r="M31" s="3018"/>
      <c r="N31" s="3018"/>
      <c r="O31" s="3018"/>
      <c r="P31" s="3018"/>
      <c r="Q31" s="3018"/>
      <c r="R31" s="3019"/>
      <c r="S31" s="3098"/>
      <c r="T31" s="3020"/>
      <c r="U31" s="3020"/>
      <c r="V31" s="3125"/>
    </row>
    <row r="32" spans="1:22" s="3126" customFormat="1" ht="13.15" customHeight="1">
      <c r="A32" s="3107">
        <v>4</v>
      </c>
      <c r="B32" s="3108" t="s">
        <v>2929</v>
      </c>
      <c r="C32" s="3109">
        <f ca="1">C23-C26-C29</f>
        <v>1351.12</v>
      </c>
      <c r="D32" s="3110">
        <f ca="1">D23-D26-D29</f>
        <v>1351.8199999999997</v>
      </c>
      <c r="E32" s="3111">
        <f ca="1">E23-E26-E29</f>
        <v>1351.8199999999997</v>
      </c>
      <c r="F32" s="3112"/>
      <c r="G32" s="3106"/>
      <c r="H32" s="3027"/>
      <c r="I32" s="3028"/>
      <c r="J32" s="3444" t="s">
        <v>2821</v>
      </c>
      <c r="K32" s="3445"/>
      <c r="L32" s="3029" t="s">
        <v>2822</v>
      </c>
      <c r="M32" s="3029" t="s">
        <v>2823</v>
      </c>
      <c r="N32" s="3029" t="s">
        <v>2824</v>
      </c>
      <c r="O32" s="3029" t="s">
        <v>2825</v>
      </c>
      <c r="P32" s="3029" t="s">
        <v>2826</v>
      </c>
      <c r="Q32" s="3030" t="s">
        <v>2827</v>
      </c>
      <c r="R32" s="3149" t="s">
        <v>2828</v>
      </c>
      <c r="S32" s="3098"/>
      <c r="T32" s="3020"/>
      <c r="U32" s="3020"/>
      <c r="V32" s="3125"/>
    </row>
    <row r="33" spans="1:23" s="3032" customFormat="1" ht="13.15" customHeight="1">
      <c r="A33" s="3107"/>
      <c r="B33" s="3108"/>
      <c r="C33" s="3109"/>
      <c r="D33" s="3150"/>
      <c r="E33" s="3151"/>
      <c r="F33" s="3112"/>
      <c r="G33" s="3106"/>
      <c r="H33" s="3134"/>
      <c r="I33" s="3125"/>
      <c r="J33" s="3446" t="s">
        <v>2831</v>
      </c>
      <c r="K33" s="3447"/>
      <c r="L33" s="3035"/>
      <c r="M33" s="3035"/>
      <c r="N33" s="3035"/>
      <c r="O33" s="3035"/>
      <c r="P33" s="3035"/>
      <c r="Q33" s="3036"/>
      <c r="R33" s="3152">
        <f>SUM(L33:Q33)</f>
        <v>0</v>
      </c>
      <c r="S33" s="3098"/>
      <c r="T33" s="3020"/>
      <c r="U33" s="3020"/>
      <c r="V33" s="3028"/>
    </row>
    <row r="34" spans="1:23" s="3032" customFormat="1" ht="13.15" customHeight="1">
      <c r="A34" s="3107">
        <v>5</v>
      </c>
      <c r="B34" s="3108" t="s">
        <v>2930</v>
      </c>
      <c r="C34" s="3153">
        <v>5.5E-2</v>
      </c>
      <c r="D34" s="3153">
        <f>C34</f>
        <v>5.5E-2</v>
      </c>
      <c r="E34" s="3153">
        <f>D34</f>
        <v>5.5E-2</v>
      </c>
      <c r="F34" s="3112"/>
      <c r="G34" s="3106"/>
      <c r="H34" s="3134"/>
      <c r="I34" s="3125"/>
      <c r="J34" s="3446" t="s">
        <v>2833</v>
      </c>
      <c r="K34" s="3447"/>
      <c r="L34" s="3040"/>
      <c r="M34" s="3040"/>
      <c r="N34" s="3040"/>
      <c r="O34" s="3040"/>
      <c r="P34" s="3040"/>
      <c r="Q34" s="3041"/>
      <c r="R34" s="3154">
        <f>SUM(L34:Q34)</f>
        <v>0</v>
      </c>
      <c r="S34" s="3098"/>
      <c r="T34" s="3020"/>
      <c r="U34" s="3020" t="e">
        <f>ROUND(R35*10000/365/R33,1)</f>
        <v>#DIV/0!</v>
      </c>
      <c r="V34" s="3028"/>
    </row>
    <row r="35" spans="1:23" s="3032" customFormat="1" ht="13.15" customHeight="1">
      <c r="A35" s="3107">
        <v>6</v>
      </c>
      <c r="B35" s="3108" t="s">
        <v>2931</v>
      </c>
      <c r="C35" s="3155">
        <v>0.03</v>
      </c>
      <c r="D35" s="3155"/>
      <c r="E35" s="3155"/>
      <c r="F35" s="3112"/>
      <c r="G35" s="3156"/>
      <c r="H35" s="3027"/>
      <c r="I35" s="3125"/>
      <c r="J35" s="3046" t="s">
        <v>2835</v>
      </c>
      <c r="K35" s="3047"/>
      <c r="L35" s="3047"/>
      <c r="M35" s="3048"/>
      <c r="N35" s="3048"/>
      <c r="O35" s="3048"/>
      <c r="P35" s="3048"/>
      <c r="Q35" s="3048"/>
      <c r="R35" s="3157">
        <f>R40+R41+R43</f>
        <v>0</v>
      </c>
      <c r="S35" s="3098"/>
      <c r="T35" s="3020" t="s">
        <v>2836</v>
      </c>
      <c r="U35" s="3020"/>
      <c r="V35" s="3028"/>
    </row>
    <row r="36" spans="1:23" s="3032" customFormat="1" ht="13.15" customHeight="1" thickBot="1">
      <c r="A36" s="3107">
        <v>7</v>
      </c>
      <c r="B36" s="3158" t="s">
        <v>2932</v>
      </c>
      <c r="C36" s="3159">
        <f>项目基本情况!F15</f>
        <v>39.28</v>
      </c>
      <c r="D36" s="3160"/>
      <c r="E36" s="3161"/>
      <c r="F36" s="3162">
        <f>C36+D36+E36</f>
        <v>39.28</v>
      </c>
      <c r="G36" s="3106"/>
      <c r="H36" s="3027"/>
      <c r="I36" s="3028"/>
      <c r="J36" s="3438">
        <v>1</v>
      </c>
      <c r="K36" s="3439" t="s">
        <v>2933</v>
      </c>
      <c r="L36" s="3053"/>
      <c r="M36" s="3054"/>
      <c r="N36" s="3054"/>
      <c r="O36" s="3054"/>
      <c r="P36" s="3054"/>
      <c r="Q36" s="3054"/>
      <c r="R36" s="3037" t="s">
        <v>2845</v>
      </c>
      <c r="S36" s="3098"/>
      <c r="T36" s="3020" t="s">
        <v>2846</v>
      </c>
      <c r="U36" s="3020"/>
      <c r="V36" s="3028"/>
    </row>
    <row r="37" spans="1:23" s="3032" customFormat="1" ht="13.15" customHeight="1">
      <c r="A37" s="3107"/>
      <c r="B37" s="3108"/>
      <c r="C37" s="3108"/>
      <c r="D37" s="3108"/>
      <c r="E37" s="3108"/>
      <c r="F37" s="3112"/>
      <c r="G37" s="3106"/>
      <c r="H37" s="3027"/>
      <c r="I37" s="3028"/>
      <c r="J37" s="3438"/>
      <c r="K37" s="3440"/>
      <c r="L37" s="3062"/>
      <c r="M37" s="3063"/>
      <c r="N37" s="3039"/>
      <c r="O37" s="3064"/>
      <c r="P37" s="3064"/>
      <c r="Q37" s="3065"/>
      <c r="R37" s="3066"/>
      <c r="S37" s="3098"/>
      <c r="T37" s="3020" t="s">
        <v>2849</v>
      </c>
      <c r="U37" s="3020"/>
      <c r="V37" s="3028"/>
    </row>
    <row r="38" spans="1:23" s="3032" customFormat="1" ht="13.15" customHeight="1">
      <c r="A38" s="3107">
        <v>8</v>
      </c>
      <c r="B38" s="3108"/>
      <c r="C38" s="3068">
        <f ca="1">ROUND(C32*(1-((1+C35)/(1+C34))^C36)/(C34-C35),0)</f>
        <v>32976</v>
      </c>
      <c r="D38" s="3068">
        <f ca="1">IF(D23=0,0,ROUND(D32*(1-((1+D35)/(1+D34))^D36)/(D34-D35),0))</f>
        <v>0</v>
      </c>
      <c r="E38" s="3068">
        <v>0</v>
      </c>
      <c r="F38" s="3112"/>
      <c r="G38" s="3106"/>
      <c r="H38" s="3027"/>
      <c r="I38" s="3028"/>
      <c r="J38" s="3438"/>
      <c r="K38" s="3440"/>
      <c r="L38" s="3062"/>
      <c r="M38" s="3063"/>
      <c r="N38" s="3039"/>
      <c r="O38" s="3064"/>
      <c r="P38" s="3064"/>
      <c r="Q38" s="3065"/>
      <c r="R38" s="3066"/>
      <c r="S38" s="3098"/>
      <c r="T38" s="3020" t="s">
        <v>2856</v>
      </c>
      <c r="U38" s="3020"/>
      <c r="V38" s="3028"/>
    </row>
    <row r="39" spans="1:23" s="3032" customFormat="1" ht="13.15" customHeight="1">
      <c r="A39" s="3107">
        <v>9</v>
      </c>
      <c r="B39" s="3108" t="s">
        <v>2934</v>
      </c>
      <c r="C39" s="3075">
        <f ca="1">C38</f>
        <v>32976</v>
      </c>
      <c r="D39" s="3108">
        <f ca="1">ROUND(D38/(1+D34)^C36,0)</f>
        <v>0</v>
      </c>
      <c r="E39" s="3108">
        <f>E38/(1+E34)^(C36+D36)</f>
        <v>0</v>
      </c>
      <c r="F39" s="3112"/>
      <c r="G39" s="3163"/>
      <c r="H39" s="3027"/>
      <c r="I39" s="3028"/>
      <c r="J39" s="3438"/>
      <c r="K39" s="3440"/>
      <c r="L39" s="3062"/>
      <c r="M39" s="3063"/>
      <c r="N39" s="3039"/>
      <c r="O39" s="3064"/>
      <c r="P39" s="3064"/>
      <c r="Q39" s="3065"/>
      <c r="R39" s="3066"/>
      <c r="S39" s="3098"/>
      <c r="T39" s="3020"/>
      <c r="U39" s="3020"/>
      <c r="V39" s="3028"/>
    </row>
    <row r="40" spans="1:23" s="3032" customFormat="1" ht="13.15" customHeight="1">
      <c r="A40" s="3164">
        <v>10</v>
      </c>
      <c r="B40" s="3108" t="s">
        <v>2935</v>
      </c>
      <c r="C40" s="3165">
        <f ca="1">C39+D39+E39</f>
        <v>32976</v>
      </c>
      <c r="D40" s="3166"/>
      <c r="E40" s="3166"/>
      <c r="F40" s="3167"/>
      <c r="G40" s="3106"/>
      <c r="H40" s="3027"/>
      <c r="I40" s="3028"/>
      <c r="J40" s="3438"/>
      <c r="K40" s="3441"/>
      <c r="L40" s="3081" t="s">
        <v>2874</v>
      </c>
      <c r="M40" s="3082"/>
      <c r="N40" s="3082"/>
      <c r="O40" s="3083"/>
      <c r="P40" s="3083"/>
      <c r="Q40" s="3084"/>
      <c r="R40" s="3031">
        <f>SUM(R37:R39)</f>
        <v>0</v>
      </c>
      <c r="S40" s="3098"/>
      <c r="T40" s="3020"/>
      <c r="U40" s="3020"/>
      <c r="V40" s="3028"/>
    </row>
    <row r="41" spans="1:23" s="3032" customFormat="1" ht="13.15" customHeight="1" thickBot="1">
      <c r="A41" s="3168">
        <v>11</v>
      </c>
      <c r="B41" s="3169" t="s">
        <v>2936</v>
      </c>
      <c r="C41" s="3169">
        <f ca="1">ROUND(C40*10000/B4,0)</f>
        <v>19174</v>
      </c>
      <c r="D41" s="3170"/>
      <c r="E41" s="3170"/>
      <c r="F41" s="3171"/>
      <c r="G41" s="3172"/>
      <c r="H41" s="3027"/>
      <c r="I41" s="3028"/>
      <c r="J41" s="3120">
        <v>2</v>
      </c>
      <c r="K41" s="3121" t="s">
        <v>2914</v>
      </c>
      <c r="L41" s="3122"/>
      <c r="M41" s="3122"/>
      <c r="N41" s="3122"/>
      <c r="O41" s="3122"/>
      <c r="P41" s="3123"/>
      <c r="Q41" s="3124"/>
      <c r="R41" s="3095">
        <f>ROUND(R40*Q41,0)</f>
        <v>0</v>
      </c>
      <c r="S41" s="3098"/>
      <c r="T41" s="3020"/>
      <c r="U41" s="3132"/>
      <c r="V41" s="3028"/>
    </row>
    <row r="42" spans="1:23" s="3032" customFormat="1" ht="13.15" customHeight="1">
      <c r="G42" s="3172"/>
      <c r="H42" s="3027"/>
      <c r="I42" s="3028"/>
      <c r="J42" s="3442">
        <v>3</v>
      </c>
      <c r="K42" s="3127" t="s">
        <v>2916</v>
      </c>
      <c r="L42" s="3128"/>
      <c r="M42" s="3129"/>
      <c r="N42" s="3130" t="s">
        <v>2917</v>
      </c>
      <c r="O42" s="3130" t="s">
        <v>2918</v>
      </c>
      <c r="P42" s="3131" t="s">
        <v>2919</v>
      </c>
      <c r="Q42" s="3131" t="s">
        <v>2920</v>
      </c>
      <c r="R42" s="3037" t="s">
        <v>2845</v>
      </c>
      <c r="S42" s="3132"/>
      <c r="T42" s="3132"/>
      <c r="U42" s="3020"/>
      <c r="V42" s="3028"/>
    </row>
    <row r="43" spans="1:23" ht="13.15" customHeight="1">
      <c r="A43" s="3032"/>
      <c r="B43" s="3032"/>
      <c r="C43" s="3032"/>
      <c r="D43" s="3032"/>
      <c r="E43" s="3032"/>
      <c r="F43" s="3032"/>
      <c r="I43" s="3015"/>
      <c r="J43" s="3443"/>
      <c r="K43" s="3135"/>
      <c r="L43" s="3136"/>
      <c r="M43" s="3137"/>
      <c r="N43" s="3063"/>
      <c r="O43" s="3063"/>
      <c r="P43" s="3063"/>
      <c r="Q43" s="3124"/>
      <c r="R43" s="3095">
        <f>ROUND(O43*N43*P43*(1-Q43)/10000,0)</f>
        <v>0</v>
      </c>
      <c r="S43" s="3098"/>
      <c r="T43" s="3020"/>
      <c r="V43" s="3174"/>
      <c r="W43" s="3175"/>
    </row>
    <row r="44" spans="1:23" ht="13.15" customHeight="1" thickBot="1">
      <c r="J44" s="3140">
        <v>6</v>
      </c>
      <c r="K44" s="3141" t="s">
        <v>2923</v>
      </c>
      <c r="L44" s="3176" t="s">
        <v>2924</v>
      </c>
      <c r="M44" s="3143"/>
      <c r="N44" s="3176" t="s">
        <v>2925</v>
      </c>
      <c r="O44" s="3143"/>
      <c r="P44" s="3176" t="s">
        <v>2926</v>
      </c>
      <c r="Q44" s="3145">
        <v>1.4999999999999999E-2</v>
      </c>
      <c r="R44" s="3146"/>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4"/>
      <c r="G1" s="1625"/>
      <c r="H1" s="1625"/>
      <c r="I1" s="1625"/>
      <c r="J1" s="1625"/>
      <c r="K1" s="1625"/>
      <c r="L1" s="1625"/>
      <c r="M1" s="1625"/>
      <c r="N1" s="1625"/>
      <c r="O1" s="1625"/>
      <c r="P1" s="1625"/>
      <c r="Q1" s="1625"/>
      <c r="R1" s="1625"/>
      <c r="S1" s="1625"/>
    </row>
    <row r="2" spans="1:22" ht="15.75">
      <c r="A2" s="2007" t="s">
        <v>1907</v>
      </c>
      <c r="B2" s="2008" t="e">
        <f ca="1">SUMIF(B6:B13,"&lt;&gt;#ref!",B6:B13)</f>
        <v>#DIV/0!</v>
      </c>
      <c r="C2" s="2009" t="s">
        <v>2099</v>
      </c>
      <c r="D2" s="2010" t="s">
        <v>2100</v>
      </c>
      <c r="E2" s="2782">
        <f>SUM(E6:E13)</f>
        <v>17198.239999999998</v>
      </c>
      <c r="F2" s="2884"/>
      <c r="G2" s="1625"/>
      <c r="H2" s="1625"/>
      <c r="I2" s="1625"/>
      <c r="J2" s="1625"/>
      <c r="K2" s="1625"/>
      <c r="L2" s="1625"/>
      <c r="M2" s="1625"/>
      <c r="N2" s="1625"/>
      <c r="O2" s="1625"/>
      <c r="P2" s="1625"/>
      <c r="Q2" s="1625"/>
      <c r="R2" s="1625"/>
      <c r="S2" s="1625"/>
    </row>
    <row r="3" spans="1:22" ht="15.75">
      <c r="A3" s="2007" t="s">
        <v>1119</v>
      </c>
      <c r="B3" s="2776" t="e">
        <f ca="1">ROUND(B2*10000/E2,0)</f>
        <v>#DIV/0!</v>
      </c>
      <c r="C3" s="2009" t="s">
        <v>2107</v>
      </c>
      <c r="D3" s="2886"/>
      <c r="E3" s="2888"/>
      <c r="F3" s="2884"/>
      <c r="G3" s="1625"/>
      <c r="H3" s="1625"/>
      <c r="I3" s="1625"/>
      <c r="J3" s="1625"/>
      <c r="K3" s="1625"/>
      <c r="L3" s="1625"/>
      <c r="M3" s="1625"/>
      <c r="N3" s="1625"/>
      <c r="O3" s="1625"/>
      <c r="P3" s="1625"/>
      <c r="Q3" s="1625"/>
      <c r="R3" s="1625"/>
      <c r="S3" s="1625"/>
    </row>
    <row r="4" spans="1:22" ht="15.75">
      <c r="A4" s="2889"/>
      <c r="B4" s="2886"/>
      <c r="C4" s="2886"/>
      <c r="D4" s="2886"/>
      <c r="E4" s="2888"/>
      <c r="F4" s="2884"/>
      <c r="G4" s="1625"/>
      <c r="H4" s="1625"/>
      <c r="I4" s="1625"/>
      <c r="J4" s="1625"/>
      <c r="K4" s="1625"/>
      <c r="L4" s="1625"/>
      <c r="M4" s="1625"/>
      <c r="N4" s="1625"/>
      <c r="O4" s="1625"/>
      <c r="P4" s="1625"/>
      <c r="Q4" s="1625"/>
      <c r="R4" s="1625"/>
      <c r="S4" s="1625"/>
    </row>
    <row r="5" spans="1:22" ht="15">
      <c r="A5" s="2778" t="s">
        <v>2101</v>
      </c>
      <c r="B5" s="3457" t="s">
        <v>2102</v>
      </c>
      <c r="C5" s="3458"/>
      <c r="D5" s="2885"/>
      <c r="E5" s="2011" t="s">
        <v>2103</v>
      </c>
      <c r="F5" s="2012" t="s">
        <v>2104</v>
      </c>
      <c r="G5" s="1625"/>
      <c r="H5" s="1625"/>
      <c r="I5" s="1625"/>
      <c r="J5" s="1625"/>
      <c r="K5" s="1625"/>
      <c r="L5" s="1625"/>
      <c r="M5" s="1625"/>
      <c r="N5" s="1625"/>
      <c r="O5" s="1625"/>
      <c r="P5" s="1625"/>
      <c r="Q5" s="1625"/>
      <c r="R5" s="1625"/>
      <c r="S5" s="1625"/>
    </row>
    <row r="6" spans="1:22">
      <c r="A6" s="2779" t="str">
        <f>'数据-取费表'!AN6</f>
        <v>收益法</v>
      </c>
      <c r="B6" s="2777" t="e">
        <f ca="1">IF(F6="是",'数据-取费表'!AO6,0)</f>
        <v>#DIV/0!</v>
      </c>
      <c r="C6" s="2009" t="s">
        <v>2099</v>
      </c>
      <c r="D6" s="2886"/>
      <c r="E6" s="2781">
        <f>IF(OR(A6=0,F6="否"),0,'数据-取费表'!K6+'数据-取费表'!S6)</f>
        <v>17198.239999999998</v>
      </c>
      <c r="F6" s="2013" t="s">
        <v>2105</v>
      </c>
      <c r="G6" s="1625"/>
      <c r="H6" s="1625"/>
      <c r="I6" s="1625"/>
      <c r="J6" s="1625"/>
      <c r="K6" s="1625"/>
      <c r="L6" s="1625"/>
      <c r="M6" s="1625"/>
      <c r="N6" s="1625"/>
      <c r="O6" s="1625"/>
      <c r="P6" s="1625"/>
      <c r="Q6" s="1625"/>
      <c r="R6" s="1625"/>
      <c r="S6" s="1625"/>
    </row>
    <row r="7" spans="1:22">
      <c r="A7" s="2779">
        <f>'数据-取费表'!AN7</f>
        <v>0</v>
      </c>
      <c r="B7" s="2777" t="e">
        <f ca="1">IF(F7="是",'数据-取费表'!AO7,0)</f>
        <v>#REF!</v>
      </c>
      <c r="C7" s="2009" t="s">
        <v>2099</v>
      </c>
      <c r="D7" s="2886"/>
      <c r="E7" s="2781">
        <f>IF(OR(A7=0,F7="否"),0,'数据-取费表'!K7+'数据-取费表'!S7)</f>
        <v>0</v>
      </c>
      <c r="F7" s="2013" t="s">
        <v>2105</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9" t="s">
        <v>2099</v>
      </c>
      <c r="D8" s="2886"/>
      <c r="E8" s="2781">
        <f>IF(OR(A8=0,F8="否"),0,'数据-取费表'!K8+'数据-取费表'!S8)</f>
        <v>0</v>
      </c>
      <c r="F8" s="2013" t="s">
        <v>2105</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9" t="s">
        <v>2099</v>
      </c>
      <c r="D9" s="2886"/>
      <c r="E9" s="2781">
        <f>IF(OR(A9=0,F9="否"),0,'数据-取费表'!K9+'数据-取费表'!S9)</f>
        <v>0</v>
      </c>
      <c r="F9" s="2013" t="s">
        <v>2105</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9" t="s">
        <v>2099</v>
      </c>
      <c r="D10" s="2886"/>
      <c r="E10" s="2781">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9" t="s">
        <v>2099</v>
      </c>
      <c r="D11" s="2886"/>
      <c r="E11" s="2781">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9" t="s">
        <v>2099</v>
      </c>
      <c r="D12" s="2886"/>
      <c r="E12" s="2781">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2099</v>
      </c>
      <c r="D13" s="2887"/>
      <c r="E13" s="2781">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0"/>
      <c r="M2" s="2891"/>
      <c r="N2" s="2891"/>
      <c r="O2" s="2891"/>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17198.239999999998</v>
      </c>
      <c r="E3" s="1019"/>
      <c r="F3" s="2025"/>
      <c r="G3" s="1019"/>
      <c r="H3" s="1019"/>
      <c r="I3" s="1019"/>
      <c r="J3" s="1019"/>
      <c r="K3" s="2021"/>
      <c r="L3" s="2890"/>
      <c r="M3" s="2891"/>
      <c r="N3" s="2891"/>
      <c r="O3" s="2891"/>
      <c r="P3" s="2022"/>
      <c r="Q3" s="2023"/>
      <c r="R3" s="2023"/>
      <c r="S3" s="2023"/>
      <c r="T3" s="2023"/>
      <c r="U3" s="2023"/>
      <c r="V3" s="2023"/>
      <c r="W3" s="2023"/>
      <c r="X3" s="2023"/>
      <c r="Y3" s="2023"/>
      <c r="Z3" s="2023"/>
      <c r="AA3" s="2023"/>
      <c r="AB3" s="2023"/>
      <c r="AC3" s="1173"/>
    </row>
    <row r="4" spans="1:29" ht="15">
      <c r="A4" s="361" t="s">
        <v>2115</v>
      </c>
      <c r="B4" s="362"/>
      <c r="C4" s="3477" t="s">
        <v>2116</v>
      </c>
      <c r="D4" s="3478"/>
      <c r="E4" s="3479" t="s">
        <v>2117</v>
      </c>
      <c r="F4" s="3480"/>
      <c r="G4" s="3477" t="s">
        <v>2118</v>
      </c>
      <c r="H4" s="3478"/>
      <c r="I4" s="3477" t="s">
        <v>2119</v>
      </c>
      <c r="J4" s="3478"/>
      <c r="K4" s="2026" t="s">
        <v>2120</v>
      </c>
      <c r="L4" s="2892"/>
      <c r="M4" s="2893"/>
      <c r="N4" s="2893"/>
      <c r="O4" s="2893"/>
      <c r="P4" s="3481" t="s">
        <v>2121</v>
      </c>
      <c r="Q4" s="3482"/>
      <c r="R4" s="3487" t="s">
        <v>2117</v>
      </c>
      <c r="S4" s="3488"/>
      <c r="T4" s="3487" t="s">
        <v>2118</v>
      </c>
      <c r="U4" s="3488"/>
      <c r="V4" s="3493" t="s">
        <v>2119</v>
      </c>
      <c r="W4" s="3493"/>
      <c r="X4" s="1490"/>
      <c r="Y4" s="3487" t="s">
        <v>2121</v>
      </c>
      <c r="Z4" s="3488"/>
      <c r="AA4" s="3474" t="s">
        <v>2117</v>
      </c>
      <c r="AB4" s="3474" t="s">
        <v>2118</v>
      </c>
      <c r="AC4" s="3474" t="s">
        <v>2119</v>
      </c>
    </row>
    <row r="5" spans="1:29" ht="15">
      <c r="A5" s="364"/>
      <c r="B5" s="365"/>
      <c r="C5" s="3496" t="s">
        <v>2122</v>
      </c>
      <c r="D5" s="3497"/>
      <c r="E5" s="3503" t="s">
        <v>2123</v>
      </c>
      <c r="F5" s="3504"/>
      <c r="G5" s="3496" t="s">
        <v>2124</v>
      </c>
      <c r="H5" s="3497"/>
      <c r="I5" s="3496" t="s">
        <v>2125</v>
      </c>
      <c r="J5" s="3497"/>
      <c r="K5" s="2027"/>
      <c r="L5" s="2892"/>
      <c r="M5" s="2893"/>
      <c r="N5" s="2893"/>
      <c r="O5" s="2893"/>
      <c r="P5" s="3483"/>
      <c r="Q5" s="3484"/>
      <c r="R5" s="3489"/>
      <c r="S5" s="3490"/>
      <c r="T5" s="3489"/>
      <c r="U5" s="3490"/>
      <c r="V5" s="3493"/>
      <c r="W5" s="3493"/>
      <c r="X5" s="1490"/>
      <c r="Y5" s="3489"/>
      <c r="Z5" s="3490"/>
      <c r="AA5" s="3475"/>
      <c r="AB5" s="3475"/>
      <c r="AC5" s="3475"/>
    </row>
    <row r="6" spans="1:29" ht="15.75" thickBot="1">
      <c r="A6" s="366"/>
      <c r="B6" s="367"/>
      <c r="C6" s="3494" t="s">
        <v>2126</v>
      </c>
      <c r="D6" s="3495"/>
      <c r="E6" s="3501" t="s">
        <v>2126</v>
      </c>
      <c r="F6" s="3502"/>
      <c r="G6" s="3494" t="s">
        <v>2126</v>
      </c>
      <c r="H6" s="3495"/>
      <c r="I6" s="3494" t="s">
        <v>2126</v>
      </c>
      <c r="J6" s="3495"/>
      <c r="K6" s="2027" t="s">
        <v>2127</v>
      </c>
      <c r="L6" s="2892"/>
      <c r="M6" s="2893"/>
      <c r="N6" s="2893"/>
      <c r="O6" s="2893"/>
      <c r="P6" s="3485"/>
      <c r="Q6" s="3486"/>
      <c r="R6" s="3489"/>
      <c r="S6" s="3490"/>
      <c r="T6" s="3491"/>
      <c r="U6" s="3492"/>
      <c r="V6" s="3493"/>
      <c r="W6" s="3493"/>
      <c r="X6" s="1490"/>
      <c r="Y6" s="3491"/>
      <c r="Z6" s="3492"/>
      <c r="AA6" s="3476"/>
      <c r="AB6" s="3476"/>
      <c r="AC6" s="3476"/>
    </row>
    <row r="7" spans="1:29" s="113" customFormat="1" ht="15.75" thickBot="1">
      <c r="A7" s="368" t="s">
        <v>2128</v>
      </c>
      <c r="B7" s="369"/>
      <c r="C7" s="370">
        <f>'数据-取费表'!B2</f>
        <v>44804</v>
      </c>
      <c r="D7" s="371">
        <v>100</v>
      </c>
      <c r="E7" s="372"/>
      <c r="F7" s="373">
        <f>SUMIF(58:58,YEAR(E7)&amp;"-"&amp;MONTH(E7),59:59)</f>
        <v>0</v>
      </c>
      <c r="G7" s="372"/>
      <c r="H7" s="371">
        <f>SUMIF(58:58,YEAR(G7)&amp;"-"&amp;MONTH(G7),59:59)</f>
        <v>0</v>
      </c>
      <c r="I7" s="372"/>
      <c r="J7" s="371">
        <f>SUMIF(58:58,YEAR(I7)&amp;"-"&amp;MONTH(I7),59:59)</f>
        <v>0</v>
      </c>
      <c r="K7" s="2028"/>
      <c r="L7" s="2894"/>
      <c r="M7" s="2895"/>
      <c r="N7" s="2895"/>
      <c r="O7" s="2895"/>
      <c r="P7" s="3498" t="s">
        <v>2129</v>
      </c>
      <c r="Q7" s="3500"/>
      <c r="R7" s="710" t="s">
        <v>23</v>
      </c>
      <c r="S7" s="711">
        <f t="shared" ref="S7:S15" si="0">F7</f>
        <v>0</v>
      </c>
      <c r="T7" s="710" t="s">
        <v>23</v>
      </c>
      <c r="U7" s="711">
        <f t="shared" ref="U7:U15" si="1">H7</f>
        <v>0</v>
      </c>
      <c r="V7" s="710" t="s">
        <v>23</v>
      </c>
      <c r="W7" s="711">
        <f t="shared" ref="W7:W15" si="2">J7</f>
        <v>0</v>
      </c>
      <c r="X7" s="712"/>
      <c r="Y7" s="3498" t="s">
        <v>2129</v>
      </c>
      <c r="Z7" s="349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4"/>
      <c r="M8" s="2895"/>
      <c r="N8" s="2895"/>
      <c r="O8" s="2895"/>
      <c r="P8" s="3498" t="s">
        <v>2132</v>
      </c>
      <c r="Q8" s="3499"/>
      <c r="R8" s="710" t="s">
        <v>23</v>
      </c>
      <c r="S8" s="711">
        <f t="shared" si="0"/>
        <v>0</v>
      </c>
      <c r="T8" s="710" t="s">
        <v>23</v>
      </c>
      <c r="U8" s="711">
        <f t="shared" si="1"/>
        <v>0</v>
      </c>
      <c r="V8" s="710" t="s">
        <v>23</v>
      </c>
      <c r="W8" s="711">
        <f t="shared" si="2"/>
        <v>0</v>
      </c>
      <c r="X8" s="712"/>
      <c r="Y8" s="3498" t="s">
        <v>2132</v>
      </c>
      <c r="Z8" s="349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4"/>
      <c r="M9" s="2895"/>
      <c r="N9" s="2895"/>
      <c r="O9" s="2895"/>
      <c r="P9" s="3473"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73"/>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73"/>
      <c r="Q11" s="1478" t="str">
        <f t="shared" si="6"/>
        <v>容积率</v>
      </c>
      <c r="R11" s="710" t="s">
        <v>21</v>
      </c>
      <c r="S11" s="711" t="e">
        <f t="shared" si="0"/>
        <v>#N/A</v>
      </c>
      <c r="T11" s="710" t="s">
        <v>21</v>
      </c>
      <c r="U11" s="711" t="e">
        <f t="shared" si="1"/>
        <v>#N/A</v>
      </c>
      <c r="V11" s="710" t="s">
        <v>21</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4"/>
      <c r="M12" s="2895"/>
      <c r="N12" s="2895"/>
      <c r="O12" s="2895"/>
      <c r="P12" s="3473"/>
      <c r="Q12" s="1478">
        <f t="shared" si="6"/>
        <v>111</v>
      </c>
      <c r="R12" s="710" t="s">
        <v>21</v>
      </c>
      <c r="S12" s="711">
        <f t="shared" si="0"/>
        <v>100</v>
      </c>
      <c r="T12" s="710" t="s">
        <v>21</v>
      </c>
      <c r="U12" s="711">
        <f t="shared" si="1"/>
        <v>100</v>
      </c>
      <c r="V12" s="710" t="s">
        <v>21</v>
      </c>
      <c r="W12" s="711">
        <f t="shared" si="2"/>
        <v>100</v>
      </c>
      <c r="X12" s="712"/>
      <c r="Y12" s="333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9"/>
      <c r="M13" s="2893"/>
      <c r="N13" s="2893"/>
      <c r="O13" s="2893"/>
      <c r="P13" s="3473"/>
      <c r="Q13" s="1478">
        <f t="shared" si="6"/>
        <v>111</v>
      </c>
      <c r="R13" s="710" t="s">
        <v>21</v>
      </c>
      <c r="S13" s="711">
        <f t="shared" si="0"/>
        <v>100</v>
      </c>
      <c r="T13" s="710" t="s">
        <v>21</v>
      </c>
      <c r="U13" s="711">
        <f t="shared" si="1"/>
        <v>100</v>
      </c>
      <c r="V13" s="710" t="s">
        <v>21</v>
      </c>
      <c r="W13" s="711">
        <f t="shared" si="2"/>
        <v>100</v>
      </c>
      <c r="X13" s="712"/>
      <c r="Y13" s="333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9"/>
      <c r="M14" s="2893"/>
      <c r="N14" s="2893"/>
      <c r="O14" s="2893"/>
      <c r="P14" s="3473"/>
      <c r="Q14" s="1478">
        <f t="shared" si="6"/>
        <v>111</v>
      </c>
      <c r="R14" s="710" t="s">
        <v>21</v>
      </c>
      <c r="S14" s="711">
        <f t="shared" si="0"/>
        <v>100</v>
      </c>
      <c r="T14" s="710" t="s">
        <v>21</v>
      </c>
      <c r="U14" s="711">
        <f t="shared" si="1"/>
        <v>100</v>
      </c>
      <c r="V14" s="710" t="s">
        <v>21</v>
      </c>
      <c r="W14" s="711">
        <f t="shared" si="2"/>
        <v>100</v>
      </c>
      <c r="X14" s="712"/>
      <c r="Y14" s="3334"/>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471" t="s">
        <v>2140</v>
      </c>
      <c r="Q15" s="1487" t="str">
        <f t="shared" si="6"/>
        <v>居住社区成熟度</v>
      </c>
      <c r="R15" s="714" t="s">
        <v>21</v>
      </c>
      <c r="S15" s="715">
        <f t="shared" si="0"/>
        <v>100</v>
      </c>
      <c r="T15" s="714" t="s">
        <v>21</v>
      </c>
      <c r="U15" s="715">
        <f t="shared" si="1"/>
        <v>100</v>
      </c>
      <c r="V15" s="714" t="s">
        <v>21</v>
      </c>
      <c r="W15" s="715">
        <f t="shared" si="2"/>
        <v>100</v>
      </c>
      <c r="X15" s="1490"/>
      <c r="Y15" s="346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9"/>
      <c r="M16" s="2893"/>
      <c r="N16" s="2893"/>
      <c r="O16" s="2893"/>
      <c r="P16" s="3472"/>
      <c r="Q16" s="1487"/>
      <c r="R16" s="714"/>
      <c r="S16" s="715"/>
      <c r="T16" s="714"/>
      <c r="U16" s="715"/>
      <c r="V16" s="714"/>
      <c r="W16" s="715"/>
      <c r="X16" s="1490"/>
      <c r="Y16" s="346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472"/>
      <c r="Q17" s="1487" t="str">
        <f>B17</f>
        <v>交通便捷度</v>
      </c>
      <c r="R17" s="714" t="s">
        <v>21</v>
      </c>
      <c r="S17" s="715">
        <f>F17</f>
        <v>100</v>
      </c>
      <c r="T17" s="714" t="s">
        <v>21</v>
      </c>
      <c r="U17" s="715">
        <f>H17</f>
        <v>100</v>
      </c>
      <c r="V17" s="714" t="s">
        <v>21</v>
      </c>
      <c r="W17" s="715">
        <f>J17</f>
        <v>100</v>
      </c>
      <c r="X17" s="1490"/>
      <c r="Y17" s="346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9"/>
      <c r="M18" s="2893"/>
      <c r="N18" s="2893"/>
      <c r="O18" s="2893"/>
      <c r="P18" s="3472"/>
      <c r="Q18" s="1487"/>
      <c r="R18" s="714"/>
      <c r="S18" s="715"/>
      <c r="T18" s="714"/>
      <c r="U18" s="715"/>
      <c r="V18" s="714"/>
      <c r="W18" s="715"/>
      <c r="X18" s="1490"/>
      <c r="Y18" s="3465"/>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472"/>
      <c r="Q19" s="1487" t="str">
        <f>B19</f>
        <v>公共配套设施</v>
      </c>
      <c r="R19" s="714" t="s">
        <v>21</v>
      </c>
      <c r="S19" s="715">
        <f>F19</f>
        <v>100</v>
      </c>
      <c r="T19" s="714" t="s">
        <v>21</v>
      </c>
      <c r="U19" s="715">
        <f>H19</f>
        <v>100</v>
      </c>
      <c r="V19" s="714" t="s">
        <v>21</v>
      </c>
      <c r="W19" s="715">
        <f>J19</f>
        <v>100</v>
      </c>
      <c r="X19" s="1490"/>
      <c r="Y19" s="346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9"/>
      <c r="M20" s="2893"/>
      <c r="N20" s="2893"/>
      <c r="O20" s="2893"/>
      <c r="P20" s="3472"/>
      <c r="Q20" s="1487"/>
      <c r="R20" s="714"/>
      <c r="S20" s="715"/>
      <c r="T20" s="714"/>
      <c r="U20" s="715"/>
      <c r="V20" s="714"/>
      <c r="W20" s="715"/>
      <c r="X20" s="1490"/>
      <c r="Y20" s="3465"/>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472"/>
      <c r="Q21" s="1487" t="str">
        <f>B21</f>
        <v>基础设施水平</v>
      </c>
      <c r="R21" s="714" t="s">
        <v>17</v>
      </c>
      <c r="S21" s="715">
        <f>F21</f>
        <v>100</v>
      </c>
      <c r="T21" s="714" t="s">
        <v>17</v>
      </c>
      <c r="U21" s="715">
        <f>H21</f>
        <v>100</v>
      </c>
      <c r="V21" s="714" t="s">
        <v>17</v>
      </c>
      <c r="W21" s="715">
        <f>J21</f>
        <v>100</v>
      </c>
      <c r="X21" s="1490"/>
      <c r="Y21" s="346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9"/>
      <c r="M22" s="2893"/>
      <c r="N22" s="2893"/>
      <c r="O22" s="2893"/>
      <c r="P22" s="3472"/>
      <c r="Q22" s="1487"/>
      <c r="R22" s="714"/>
      <c r="S22" s="715"/>
      <c r="T22" s="714"/>
      <c r="U22" s="715"/>
      <c r="V22" s="714"/>
      <c r="W22" s="715"/>
      <c r="X22" s="1490"/>
      <c r="Y22" s="3465"/>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472"/>
      <c r="Q23" s="1487" t="str">
        <f>B23</f>
        <v>自然及人文环境</v>
      </c>
      <c r="R23" s="714" t="s">
        <v>21</v>
      </c>
      <c r="S23" s="715">
        <f>F23</f>
        <v>100</v>
      </c>
      <c r="T23" s="714" t="s">
        <v>21</v>
      </c>
      <c r="U23" s="715">
        <f>H23</f>
        <v>100</v>
      </c>
      <c r="V23" s="714" t="s">
        <v>21</v>
      </c>
      <c r="W23" s="715">
        <f>J23</f>
        <v>100</v>
      </c>
      <c r="X23" s="1490"/>
      <c r="Y23" s="346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9"/>
      <c r="M24" s="2893"/>
      <c r="N24" s="2893"/>
      <c r="O24" s="2893"/>
      <c r="P24" s="3472"/>
      <c r="Q24" s="1487"/>
      <c r="R24" s="714"/>
      <c r="S24" s="715"/>
      <c r="T24" s="714"/>
      <c r="U24" s="715"/>
      <c r="V24" s="714"/>
      <c r="W24" s="715"/>
      <c r="X24" s="1490"/>
      <c r="Y24" s="346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9"/>
      <c r="M25" s="2893"/>
      <c r="N25" s="2893"/>
      <c r="O25" s="2893"/>
      <c r="P25" s="347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9"/>
      <c r="M26" s="2893"/>
      <c r="N26" s="2893"/>
      <c r="O26" s="2893"/>
      <c r="P26" s="3472"/>
      <c r="Q26" s="1487" t="str">
        <f t="shared" si="11"/>
        <v>朝向</v>
      </c>
      <c r="R26" s="714" t="s">
        <v>21</v>
      </c>
      <c r="S26" s="715">
        <f t="shared" si="12"/>
        <v>100</v>
      </c>
      <c r="T26" s="714" t="s">
        <v>21</v>
      </c>
      <c r="U26" s="715">
        <f t="shared" si="13"/>
        <v>100</v>
      </c>
      <c r="V26" s="714" t="s">
        <v>21</v>
      </c>
      <c r="W26" s="715">
        <f t="shared" si="14"/>
        <v>100</v>
      </c>
      <c r="X26" s="1490"/>
      <c r="Y26" s="346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4"/>
      <c r="M27" s="2895"/>
      <c r="N27" s="2895"/>
      <c r="O27" s="2895"/>
      <c r="P27" s="3472"/>
      <c r="Q27" s="1478">
        <f t="shared" si="11"/>
        <v>111</v>
      </c>
      <c r="R27" s="710" t="s">
        <v>21</v>
      </c>
      <c r="S27" s="711">
        <f t="shared" si="12"/>
        <v>100</v>
      </c>
      <c r="T27" s="710" t="s">
        <v>21</v>
      </c>
      <c r="U27" s="711">
        <f t="shared" si="13"/>
        <v>100</v>
      </c>
      <c r="V27" s="710" t="s">
        <v>21</v>
      </c>
      <c r="W27" s="711">
        <f t="shared" si="14"/>
        <v>100</v>
      </c>
      <c r="X27" s="712"/>
      <c r="Y27" s="346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9"/>
      <c r="M28" s="2893"/>
      <c r="N28" s="2893"/>
      <c r="O28" s="2893"/>
      <c r="P28" s="3472"/>
      <c r="Q28" s="1487">
        <f t="shared" si="11"/>
        <v>111</v>
      </c>
      <c r="R28" s="714" t="s">
        <v>21</v>
      </c>
      <c r="S28" s="715">
        <f t="shared" si="12"/>
        <v>100</v>
      </c>
      <c r="T28" s="714" t="s">
        <v>21</v>
      </c>
      <c r="U28" s="715">
        <f t="shared" si="13"/>
        <v>100</v>
      </c>
      <c r="V28" s="714" t="s">
        <v>21</v>
      </c>
      <c r="W28" s="715">
        <f t="shared" si="14"/>
        <v>100</v>
      </c>
      <c r="X28" s="1490"/>
      <c r="Y28" s="346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9"/>
      <c r="M29" s="2893"/>
      <c r="N29" s="2893"/>
      <c r="O29" s="2893"/>
      <c r="P29" s="3472"/>
      <c r="Q29" s="1487">
        <f t="shared" si="11"/>
        <v>111</v>
      </c>
      <c r="R29" s="714" t="s">
        <v>21</v>
      </c>
      <c r="S29" s="715">
        <f t="shared" si="12"/>
        <v>100</v>
      </c>
      <c r="T29" s="714" t="s">
        <v>21</v>
      </c>
      <c r="U29" s="715">
        <f t="shared" si="13"/>
        <v>100</v>
      </c>
      <c r="V29" s="714" t="s">
        <v>21</v>
      </c>
      <c r="W29" s="715">
        <f t="shared" si="14"/>
        <v>100</v>
      </c>
      <c r="X29" s="1490"/>
      <c r="Y29" s="346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9"/>
      <c r="M30" s="2893"/>
      <c r="N30" s="2893"/>
      <c r="O30" s="2893"/>
      <c r="P30" s="3472"/>
      <c r="Q30" s="1487">
        <f t="shared" si="11"/>
        <v>111</v>
      </c>
      <c r="R30" s="714" t="s">
        <v>21</v>
      </c>
      <c r="S30" s="715">
        <f t="shared" si="12"/>
        <v>100</v>
      </c>
      <c r="T30" s="714" t="s">
        <v>21</v>
      </c>
      <c r="U30" s="715">
        <f t="shared" si="13"/>
        <v>100</v>
      </c>
      <c r="V30" s="714" t="s">
        <v>21</v>
      </c>
      <c r="W30" s="715">
        <f t="shared" si="14"/>
        <v>100</v>
      </c>
      <c r="X30" s="1490"/>
      <c r="Y30" s="346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9"/>
      <c r="M31" s="2893"/>
      <c r="N31" s="2893"/>
      <c r="O31" s="2893"/>
      <c r="P31" s="3472"/>
      <c r="Q31" s="1487">
        <f t="shared" si="11"/>
        <v>111</v>
      </c>
      <c r="R31" s="714" t="s">
        <v>21</v>
      </c>
      <c r="S31" s="715">
        <f t="shared" si="12"/>
        <v>100</v>
      </c>
      <c r="T31" s="714" t="s">
        <v>21</v>
      </c>
      <c r="U31" s="715">
        <f t="shared" si="13"/>
        <v>100</v>
      </c>
      <c r="V31" s="714" t="s">
        <v>21</v>
      </c>
      <c r="W31" s="715">
        <f t="shared" si="14"/>
        <v>100</v>
      </c>
      <c r="X31" s="1490"/>
      <c r="Y31" s="346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9"/>
      <c r="M32" s="2893"/>
      <c r="N32" s="2893"/>
      <c r="O32" s="2893"/>
      <c r="P32" s="3466" t="s">
        <v>2145</v>
      </c>
      <c r="Q32" s="1487" t="str">
        <f t="shared" si="11"/>
        <v>建筑类型</v>
      </c>
      <c r="R32" s="714" t="s">
        <v>21</v>
      </c>
      <c r="S32" s="715">
        <f t="shared" si="12"/>
        <v>100</v>
      </c>
      <c r="T32" s="714" t="s">
        <v>21</v>
      </c>
      <c r="U32" s="715">
        <f t="shared" si="13"/>
        <v>100</v>
      </c>
      <c r="V32" s="714" t="s">
        <v>21</v>
      </c>
      <c r="W32" s="715">
        <f t="shared" si="14"/>
        <v>100</v>
      </c>
      <c r="X32" s="1490"/>
      <c r="Y32" s="346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8"/>
      <c r="M33" s="2900"/>
      <c r="N33" s="2900"/>
      <c r="O33" s="2900"/>
      <c r="P33" s="3467"/>
      <c r="Q33" s="716" t="str">
        <f t="shared" si="11"/>
        <v>项目建筑规模</v>
      </c>
      <c r="R33" s="717" t="s">
        <v>21</v>
      </c>
      <c r="S33" s="718" t="e">
        <f t="shared" si="12"/>
        <v>#N/A</v>
      </c>
      <c r="T33" s="717" t="s">
        <v>21</v>
      </c>
      <c r="U33" s="718" t="e">
        <f t="shared" si="13"/>
        <v>#N/A</v>
      </c>
      <c r="V33" s="717" t="s">
        <v>21</v>
      </c>
      <c r="W33" s="718" t="e">
        <f t="shared" si="14"/>
        <v>#N/A</v>
      </c>
      <c r="X33" s="719"/>
      <c r="Y33" s="346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9"/>
      <c r="M34" s="2893"/>
      <c r="N34" s="2893"/>
      <c r="O34" s="2893"/>
      <c r="P34" s="3467"/>
      <c r="Q34" s="1487" t="str">
        <f t="shared" si="11"/>
        <v>建筑结构</v>
      </c>
      <c r="R34" s="714" t="s">
        <v>21</v>
      </c>
      <c r="S34" s="715">
        <f t="shared" si="12"/>
        <v>100</v>
      </c>
      <c r="T34" s="714" t="s">
        <v>21</v>
      </c>
      <c r="U34" s="715">
        <f t="shared" si="13"/>
        <v>100</v>
      </c>
      <c r="V34" s="714" t="s">
        <v>21</v>
      </c>
      <c r="W34" s="715">
        <f t="shared" si="14"/>
        <v>100</v>
      </c>
      <c r="X34" s="1490"/>
      <c r="Y34" s="346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9"/>
      <c r="M35" s="2893"/>
      <c r="N35" s="2893"/>
      <c r="O35" s="2893"/>
      <c r="P35" s="3467"/>
      <c r="Q35" s="1487" t="str">
        <f t="shared" si="11"/>
        <v>建筑品质</v>
      </c>
      <c r="R35" s="714" t="s">
        <v>21</v>
      </c>
      <c r="S35" s="715">
        <f t="shared" si="12"/>
        <v>100</v>
      </c>
      <c r="T35" s="714" t="s">
        <v>21</v>
      </c>
      <c r="U35" s="715">
        <f t="shared" si="13"/>
        <v>100</v>
      </c>
      <c r="V35" s="714" t="s">
        <v>21</v>
      </c>
      <c r="W35" s="715">
        <f t="shared" si="14"/>
        <v>100</v>
      </c>
      <c r="X35" s="1490"/>
      <c r="Y35" s="346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9"/>
      <c r="M36" s="2893"/>
      <c r="N36" s="2893"/>
      <c r="O36" s="2893"/>
      <c r="P36" s="3467"/>
      <c r="Q36" s="1487" t="str">
        <f t="shared" si="11"/>
        <v>公共部分装修</v>
      </c>
      <c r="R36" s="714" t="s">
        <v>21</v>
      </c>
      <c r="S36" s="715">
        <f t="shared" si="12"/>
        <v>100</v>
      </c>
      <c r="T36" s="714" t="s">
        <v>21</v>
      </c>
      <c r="U36" s="715">
        <f t="shared" si="13"/>
        <v>100</v>
      </c>
      <c r="V36" s="714" t="s">
        <v>21</v>
      </c>
      <c r="W36" s="715">
        <f t="shared" si="14"/>
        <v>100</v>
      </c>
      <c r="X36" s="1490"/>
      <c r="Y36" s="346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467"/>
      <c r="Q37" s="1478" t="str">
        <f t="shared" si="11"/>
        <v>成新度</v>
      </c>
      <c r="R37" s="710" t="s">
        <v>21</v>
      </c>
      <c r="S37" s="711" t="e">
        <f t="shared" si="12"/>
        <v>#N/A</v>
      </c>
      <c r="T37" s="710" t="s">
        <v>21</v>
      </c>
      <c r="U37" s="711" t="e">
        <f t="shared" si="13"/>
        <v>#N/A</v>
      </c>
      <c r="V37" s="710" t="s">
        <v>21</v>
      </c>
      <c r="W37" s="711" t="e">
        <f t="shared" si="14"/>
        <v>#N/A</v>
      </c>
      <c r="X37" s="712"/>
      <c r="Y37" s="346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9"/>
      <c r="M38" s="2893"/>
      <c r="N38" s="2893"/>
      <c r="O38" s="2893"/>
      <c r="P38" s="3467" t="s">
        <v>2145</v>
      </c>
      <c r="Q38" s="1487" t="str">
        <f t="shared" si="11"/>
        <v>物业管理</v>
      </c>
      <c r="R38" s="714" t="s">
        <v>21</v>
      </c>
      <c r="S38" s="715">
        <f t="shared" si="12"/>
        <v>100</v>
      </c>
      <c r="T38" s="714" t="s">
        <v>21</v>
      </c>
      <c r="U38" s="715">
        <f t="shared" si="13"/>
        <v>100</v>
      </c>
      <c r="V38" s="714" t="s">
        <v>21</v>
      </c>
      <c r="W38" s="715">
        <f t="shared" si="14"/>
        <v>100</v>
      </c>
      <c r="X38" s="1490"/>
      <c r="Y38" s="346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9"/>
      <c r="M39" s="2893"/>
      <c r="N39" s="2893"/>
      <c r="O39" s="2893"/>
      <c r="P39" s="3467"/>
      <c r="Q39" s="1487" t="str">
        <f t="shared" si="11"/>
        <v>市政基础设施</v>
      </c>
      <c r="R39" s="714" t="s">
        <v>21</v>
      </c>
      <c r="S39" s="715">
        <f t="shared" si="12"/>
        <v>100</v>
      </c>
      <c r="T39" s="714" t="s">
        <v>21</v>
      </c>
      <c r="U39" s="715">
        <f t="shared" si="13"/>
        <v>100</v>
      </c>
      <c r="V39" s="714" t="s">
        <v>21</v>
      </c>
      <c r="W39" s="715">
        <f t="shared" si="14"/>
        <v>100</v>
      </c>
      <c r="X39" s="1490"/>
      <c r="Y39" s="346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9"/>
      <c r="M40" s="2893"/>
      <c r="N40" s="2893"/>
      <c r="O40" s="2893"/>
      <c r="P40" s="3467"/>
      <c r="Q40" s="1487" t="str">
        <f t="shared" si="11"/>
        <v>房型</v>
      </c>
      <c r="R40" s="714" t="s">
        <v>21</v>
      </c>
      <c r="S40" s="715">
        <f t="shared" si="12"/>
        <v>100</v>
      </c>
      <c r="T40" s="714" t="s">
        <v>21</v>
      </c>
      <c r="U40" s="715">
        <f t="shared" si="13"/>
        <v>100</v>
      </c>
      <c r="V40" s="714" t="s">
        <v>21</v>
      </c>
      <c r="W40" s="715">
        <f t="shared" si="14"/>
        <v>100</v>
      </c>
      <c r="X40" s="1490"/>
      <c r="Y40" s="346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8"/>
      <c r="M41" s="2900"/>
      <c r="N41" s="2900"/>
      <c r="O41" s="2900"/>
      <c r="P41" s="3467"/>
      <c r="Q41" s="716" t="str">
        <f t="shared" si="11"/>
        <v>单套/主力户型建筑面积</v>
      </c>
      <c r="R41" s="717" t="s">
        <v>21</v>
      </c>
      <c r="S41" s="718">
        <f t="shared" si="12"/>
        <v>100</v>
      </c>
      <c r="T41" s="717" t="s">
        <v>21</v>
      </c>
      <c r="U41" s="718">
        <f t="shared" si="13"/>
        <v>100</v>
      </c>
      <c r="V41" s="717" t="s">
        <v>21</v>
      </c>
      <c r="W41" s="718">
        <f t="shared" si="14"/>
        <v>100</v>
      </c>
      <c r="X41" s="719"/>
      <c r="Y41" s="346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9"/>
      <c r="M42" s="2893"/>
      <c r="N42" s="2893"/>
      <c r="O42" s="2893"/>
      <c r="P42" s="3467"/>
      <c r="Q42" s="1487" t="str">
        <f t="shared" si="11"/>
        <v>内部装修</v>
      </c>
      <c r="R42" s="714" t="s">
        <v>21</v>
      </c>
      <c r="S42" s="715">
        <f t="shared" si="12"/>
        <v>100</v>
      </c>
      <c r="T42" s="714" t="s">
        <v>21</v>
      </c>
      <c r="U42" s="715">
        <f t="shared" si="13"/>
        <v>100</v>
      </c>
      <c r="V42" s="714" t="s">
        <v>21</v>
      </c>
      <c r="W42" s="715">
        <f t="shared" si="14"/>
        <v>100</v>
      </c>
      <c r="X42" s="1490"/>
      <c r="Y42" s="346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9"/>
      <c r="M43" s="2893"/>
      <c r="N43" s="2893"/>
      <c r="O43" s="2893"/>
      <c r="P43" s="3467"/>
      <c r="Q43" s="1487" t="str">
        <f t="shared" si="11"/>
        <v>内部装修维护情况</v>
      </c>
      <c r="R43" s="714" t="s">
        <v>21</v>
      </c>
      <c r="S43" s="715">
        <f t="shared" si="12"/>
        <v>100</v>
      </c>
      <c r="T43" s="714" t="s">
        <v>21</v>
      </c>
      <c r="U43" s="715">
        <f t="shared" si="13"/>
        <v>100</v>
      </c>
      <c r="V43" s="714" t="s">
        <v>21</v>
      </c>
      <c r="W43" s="715">
        <f t="shared" si="14"/>
        <v>100</v>
      </c>
      <c r="X43" s="1490"/>
      <c r="Y43" s="346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4"/>
      <c r="M44" s="2895"/>
      <c r="N44" s="2895"/>
      <c r="O44" s="2895"/>
      <c r="P44" s="3467"/>
      <c r="Q44" s="1478">
        <f t="shared" si="11"/>
        <v>111</v>
      </c>
      <c r="R44" s="710" t="s">
        <v>21</v>
      </c>
      <c r="S44" s="711">
        <f t="shared" si="12"/>
        <v>100</v>
      </c>
      <c r="T44" s="710" t="s">
        <v>21</v>
      </c>
      <c r="U44" s="711">
        <f t="shared" si="13"/>
        <v>100</v>
      </c>
      <c r="V44" s="710" t="s">
        <v>21</v>
      </c>
      <c r="W44" s="711">
        <f t="shared" si="14"/>
        <v>100</v>
      </c>
      <c r="X44" s="712"/>
      <c r="Y44" s="346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9"/>
      <c r="M45" s="2893"/>
      <c r="N45" s="2893"/>
      <c r="O45" s="2893"/>
      <c r="P45" s="3467"/>
      <c r="Q45" s="1487">
        <f t="shared" si="11"/>
        <v>111</v>
      </c>
      <c r="R45" s="714" t="s">
        <v>21</v>
      </c>
      <c r="S45" s="715">
        <f t="shared" si="12"/>
        <v>100</v>
      </c>
      <c r="T45" s="714" t="s">
        <v>21</v>
      </c>
      <c r="U45" s="715">
        <f t="shared" si="13"/>
        <v>100</v>
      </c>
      <c r="V45" s="714" t="s">
        <v>21</v>
      </c>
      <c r="W45" s="715">
        <f t="shared" si="14"/>
        <v>100</v>
      </c>
      <c r="X45" s="1490"/>
      <c r="Y45" s="346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9"/>
      <c r="M46" s="2893"/>
      <c r="N46" s="2893"/>
      <c r="O46" s="2893"/>
      <c r="P46" s="3468"/>
      <c r="Q46" s="1487">
        <f t="shared" si="11"/>
        <v>111</v>
      </c>
      <c r="R46" s="714" t="s">
        <v>20</v>
      </c>
      <c r="S46" s="715">
        <f t="shared" si="12"/>
        <v>100</v>
      </c>
      <c r="T46" s="714" t="s">
        <v>20</v>
      </c>
      <c r="U46" s="715">
        <f t="shared" si="13"/>
        <v>100</v>
      </c>
      <c r="V46" s="714" t="s">
        <v>20</v>
      </c>
      <c r="W46" s="715">
        <f t="shared" si="14"/>
        <v>100</v>
      </c>
      <c r="X46" s="1490"/>
      <c r="Y46" s="347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1"/>
      <c r="M47" s="2902"/>
      <c r="N47" s="2893"/>
      <c r="O47" s="2902"/>
      <c r="P47" s="3462" t="str">
        <f>A47</f>
        <v>成交单价（元/平方米）</v>
      </c>
      <c r="Q47" s="3462"/>
      <c r="R47" s="3463">
        <f>E47</f>
        <v>0</v>
      </c>
      <c r="S47" s="3463"/>
      <c r="T47" s="3463">
        <f>G47</f>
        <v>0</v>
      </c>
      <c r="U47" s="3463"/>
      <c r="V47" s="3463">
        <f>I47</f>
        <v>0</v>
      </c>
      <c r="W47" s="3463"/>
      <c r="X47" s="699"/>
      <c r="Y47" s="721"/>
      <c r="Z47" s="699"/>
      <c r="AA47" s="699"/>
      <c r="AB47" s="699"/>
      <c r="AC47" s="699"/>
    </row>
    <row r="48" spans="1:29" ht="15.75" thickBot="1">
      <c r="A48" s="445" t="s">
        <v>2158</v>
      </c>
      <c r="B48" s="446"/>
      <c r="C48" s="1275" t="e">
        <f>R49</f>
        <v>#DIV/0!</v>
      </c>
      <c r="D48" s="2489" t="s">
        <v>2638</v>
      </c>
      <c r="E48" s="1276" t="e">
        <f>R48</f>
        <v>#DIV/0!</v>
      </c>
      <c r="F48" s="2490"/>
      <c r="G48" s="1275" t="e">
        <f>T48</f>
        <v>#DIV/0!</v>
      </c>
      <c r="H48" s="2490"/>
      <c r="I48" s="1276" t="e">
        <f>V48</f>
        <v>#DIV/0!</v>
      </c>
      <c r="J48" s="2490"/>
      <c r="K48" s="2491">
        <f>F48+H48+J48</f>
        <v>0</v>
      </c>
      <c r="L48" s="2901"/>
      <c r="M48" s="2902"/>
      <c r="N48" s="2902"/>
      <c r="O48" s="2902"/>
      <c r="P48" s="3462" t="str">
        <f>A48</f>
        <v>比较价值（元/平方米）</v>
      </c>
      <c r="Q48" s="3462"/>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1"/>
      <c r="M49" s="2902"/>
      <c r="N49" s="2902"/>
      <c r="O49" s="2902"/>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4"/>
    </row>
    <row r="55" spans="1:29" s="459" customFormat="1">
      <c r="A55" s="2905"/>
      <c r="B55" s="2908"/>
      <c r="C55" s="2909"/>
      <c r="D55" s="2905"/>
      <c r="E55" s="2905"/>
      <c r="F55" s="2905"/>
      <c r="G55" s="2905"/>
      <c r="H55" s="2905"/>
      <c r="I55" s="2905"/>
      <c r="J55" s="2905"/>
      <c r="K55" s="2910"/>
      <c r="L55" s="2904"/>
      <c r="M55" s="2905"/>
      <c r="N55" s="2905"/>
      <c r="O55" s="2905"/>
      <c r="P55" s="2054"/>
    </row>
    <row r="56" spans="1:29">
      <c r="A56" s="2902"/>
      <c r="B56" s="2908"/>
      <c r="C56" s="2909"/>
      <c r="D56" s="2902"/>
      <c r="E56" s="2902"/>
      <c r="F56" s="2902"/>
      <c r="G56" s="2902"/>
      <c r="H56" s="2902"/>
      <c r="I56" s="2902"/>
      <c r="J56" s="2902"/>
      <c r="K56" s="2907"/>
      <c r="L56" s="2903"/>
      <c r="M56" s="2902"/>
      <c r="N56" s="2902"/>
      <c r="O56" s="2902"/>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17198.239999999998</v>
      </c>
      <c r="E3" s="2091"/>
      <c r="F3" s="1021"/>
      <c r="G3" s="1020"/>
      <c r="H3" s="1020"/>
      <c r="I3" s="1020"/>
      <c r="J3" s="1020"/>
      <c r="K3" s="1022"/>
      <c r="L3" s="2911"/>
      <c r="M3" s="2912"/>
      <c r="N3" s="2912"/>
      <c r="O3" s="2912"/>
      <c r="P3" s="2089"/>
      <c r="Q3" s="1024"/>
      <c r="R3" s="1024"/>
      <c r="S3" s="1024"/>
      <c r="T3" s="1024"/>
      <c r="U3" s="1024"/>
      <c r="V3" s="1024"/>
      <c r="W3" s="1024"/>
      <c r="X3" s="1024"/>
      <c r="Y3" s="1024"/>
      <c r="Z3" s="1024"/>
      <c r="AA3" s="1024"/>
      <c r="AB3" s="1024"/>
      <c r="AC3" s="2091"/>
    </row>
    <row r="4" spans="1:29" ht="15">
      <c r="A4" s="361" t="s">
        <v>2225</v>
      </c>
      <c r="B4" s="362"/>
      <c r="C4" s="3477" t="s">
        <v>2226</v>
      </c>
      <c r="D4" s="3478"/>
      <c r="E4" s="3479" t="s">
        <v>2227</v>
      </c>
      <c r="F4" s="3480"/>
      <c r="G4" s="3477" t="s">
        <v>2228</v>
      </c>
      <c r="H4" s="3478"/>
      <c r="I4" s="3477" t="s">
        <v>2229</v>
      </c>
      <c r="J4" s="3478"/>
      <c r="K4" s="567" t="s">
        <v>2230</v>
      </c>
      <c r="L4" s="2892"/>
      <c r="M4" s="2893"/>
      <c r="N4" s="2893"/>
      <c r="O4" s="2893"/>
      <c r="P4" s="3481" t="s">
        <v>2231</v>
      </c>
      <c r="Q4" s="3482"/>
      <c r="R4" s="3487" t="s">
        <v>2227</v>
      </c>
      <c r="S4" s="3488"/>
      <c r="T4" s="3487" t="s">
        <v>2228</v>
      </c>
      <c r="U4" s="3488"/>
      <c r="V4" s="3493" t="s">
        <v>2229</v>
      </c>
      <c r="W4" s="3493"/>
      <c r="X4" s="1490"/>
      <c r="Y4" s="3487" t="s">
        <v>2231</v>
      </c>
      <c r="Z4" s="3488"/>
      <c r="AA4" s="3474" t="s">
        <v>2227</v>
      </c>
      <c r="AB4" s="3493" t="s">
        <v>2228</v>
      </c>
      <c r="AC4" s="3474" t="s">
        <v>2229</v>
      </c>
    </row>
    <row r="5" spans="1:29" ht="15">
      <c r="A5" s="364"/>
      <c r="B5" s="365"/>
      <c r="C5" s="3496" t="s">
        <v>2122</v>
      </c>
      <c r="D5" s="3497"/>
      <c r="E5" s="3503" t="s">
        <v>2123</v>
      </c>
      <c r="F5" s="3504"/>
      <c r="G5" s="3496" t="s">
        <v>2124</v>
      </c>
      <c r="H5" s="3497"/>
      <c r="I5" s="3496" t="s">
        <v>2125</v>
      </c>
      <c r="J5" s="3497"/>
      <c r="K5" s="567"/>
      <c r="L5" s="2892"/>
      <c r="M5" s="2893"/>
      <c r="N5" s="2893"/>
      <c r="O5" s="2893"/>
      <c r="P5" s="3483"/>
      <c r="Q5" s="3484"/>
      <c r="R5" s="3489"/>
      <c r="S5" s="3490"/>
      <c r="T5" s="3489"/>
      <c r="U5" s="3490"/>
      <c r="V5" s="3493"/>
      <c r="W5" s="3493"/>
      <c r="X5" s="1490"/>
      <c r="Y5" s="3489"/>
      <c r="Z5" s="3490"/>
      <c r="AA5" s="3475"/>
      <c r="AB5" s="3493"/>
      <c r="AC5" s="3475"/>
    </row>
    <row r="6" spans="1:29" ht="15.75" thickBot="1">
      <c r="A6" s="366"/>
      <c r="B6" s="367"/>
      <c r="C6" s="3494" t="s">
        <v>2126</v>
      </c>
      <c r="D6" s="3495"/>
      <c r="E6" s="3501" t="s">
        <v>2126</v>
      </c>
      <c r="F6" s="3502"/>
      <c r="G6" s="3494" t="s">
        <v>2126</v>
      </c>
      <c r="H6" s="3495"/>
      <c r="I6" s="3494" t="s">
        <v>2126</v>
      </c>
      <c r="J6" s="3495"/>
      <c r="K6" s="567" t="s">
        <v>2127</v>
      </c>
      <c r="L6" s="2892"/>
      <c r="M6" s="2893"/>
      <c r="N6" s="2893"/>
      <c r="O6" s="2893"/>
      <c r="P6" s="3485"/>
      <c r="Q6" s="3486"/>
      <c r="R6" s="3489"/>
      <c r="S6" s="3490"/>
      <c r="T6" s="3491"/>
      <c r="U6" s="3492"/>
      <c r="V6" s="3493"/>
      <c r="W6" s="3493"/>
      <c r="X6" s="1490"/>
      <c r="Y6" s="3491"/>
      <c r="Z6" s="3492"/>
      <c r="AA6" s="3476"/>
      <c r="AB6" s="3493"/>
      <c r="AC6" s="3476"/>
    </row>
    <row r="7" spans="1:29" s="113" customFormat="1" ht="15.75" thickBot="1">
      <c r="A7" s="368" t="s">
        <v>2128</v>
      </c>
      <c r="B7" s="369"/>
      <c r="C7" s="370">
        <f>'数据-取费表'!B2</f>
        <v>44804</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98" t="s">
        <v>2129</v>
      </c>
      <c r="Q7" s="3500"/>
      <c r="R7" s="710" t="s">
        <v>17</v>
      </c>
      <c r="S7" s="711">
        <f t="shared" ref="S7:S15" si="0">F7</f>
        <v>0</v>
      </c>
      <c r="T7" s="710" t="s">
        <v>17</v>
      </c>
      <c r="U7" s="711">
        <f t="shared" ref="U7:U15" si="1">H7</f>
        <v>0</v>
      </c>
      <c r="V7" s="710" t="s">
        <v>17</v>
      </c>
      <c r="W7" s="711">
        <f t="shared" ref="W7:W15" si="2">J7</f>
        <v>0</v>
      </c>
      <c r="X7" s="712"/>
      <c r="Y7" s="3498" t="s">
        <v>2129</v>
      </c>
      <c r="Z7" s="349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98" t="s">
        <v>2132</v>
      </c>
      <c r="Q8" s="3499"/>
      <c r="R8" s="710" t="s">
        <v>17</v>
      </c>
      <c r="S8" s="711">
        <f t="shared" si="0"/>
        <v>0</v>
      </c>
      <c r="T8" s="710" t="s">
        <v>17</v>
      </c>
      <c r="U8" s="711">
        <f t="shared" si="1"/>
        <v>0</v>
      </c>
      <c r="V8" s="710" t="s">
        <v>17</v>
      </c>
      <c r="W8" s="711">
        <f t="shared" si="2"/>
        <v>0</v>
      </c>
      <c r="X8" s="712"/>
      <c r="Y8" s="3498" t="s">
        <v>2132</v>
      </c>
      <c r="Z8" s="349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73"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73"/>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73"/>
      <c r="Q11" s="1478"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73"/>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73"/>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73"/>
      <c r="Q14" s="1478">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471" t="s">
        <v>2140</v>
      </c>
      <c r="Q15" s="1487" t="str">
        <f t="shared" si="6"/>
        <v>商业繁华度</v>
      </c>
      <c r="R15" s="714" t="s">
        <v>17</v>
      </c>
      <c r="S15" s="715">
        <f t="shared" si="0"/>
        <v>100</v>
      </c>
      <c r="T15" s="714" t="s">
        <v>17</v>
      </c>
      <c r="U15" s="715">
        <f t="shared" si="1"/>
        <v>100</v>
      </c>
      <c r="V15" s="714" t="s">
        <v>17</v>
      </c>
      <c r="W15" s="715">
        <f t="shared" si="2"/>
        <v>100</v>
      </c>
      <c r="X15" s="1490"/>
      <c r="Y15" s="346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9"/>
      <c r="M16" s="2893"/>
      <c r="N16" s="2893"/>
      <c r="O16" s="2893"/>
      <c r="P16" s="3472"/>
      <c r="Q16" s="1487"/>
      <c r="R16" s="714"/>
      <c r="S16" s="715"/>
      <c r="T16" s="714"/>
      <c r="U16" s="715"/>
      <c r="V16" s="714"/>
      <c r="W16" s="715"/>
      <c r="X16" s="1490"/>
      <c r="Y16" s="346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472"/>
      <c r="Q17" s="1487" t="str">
        <f>B17</f>
        <v>交通便捷度</v>
      </c>
      <c r="R17" s="714" t="s">
        <v>17</v>
      </c>
      <c r="S17" s="715">
        <f>F17</f>
        <v>100</v>
      </c>
      <c r="T17" s="714" t="s">
        <v>17</v>
      </c>
      <c r="U17" s="715">
        <f>H17</f>
        <v>100</v>
      </c>
      <c r="V17" s="714" t="s">
        <v>17</v>
      </c>
      <c r="W17" s="715">
        <f>J17</f>
        <v>100</v>
      </c>
      <c r="X17" s="1490"/>
      <c r="Y17" s="346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9"/>
      <c r="M18" s="2893"/>
      <c r="N18" s="2893"/>
      <c r="O18" s="2893"/>
      <c r="P18" s="3472"/>
      <c r="Q18" s="1487"/>
      <c r="R18" s="714"/>
      <c r="S18" s="715"/>
      <c r="T18" s="714"/>
      <c r="U18" s="715"/>
      <c r="V18" s="714"/>
      <c r="W18" s="715"/>
      <c r="X18" s="1490"/>
      <c r="Y18" s="3465"/>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472"/>
      <c r="Q19" s="1487" t="str">
        <f>B19</f>
        <v>公共配套设施</v>
      </c>
      <c r="R19" s="714" t="s">
        <v>17</v>
      </c>
      <c r="S19" s="715">
        <f>F19</f>
        <v>100</v>
      </c>
      <c r="T19" s="714" t="s">
        <v>17</v>
      </c>
      <c r="U19" s="715">
        <f>H19</f>
        <v>100</v>
      </c>
      <c r="V19" s="714" t="s">
        <v>17</v>
      </c>
      <c r="W19" s="715">
        <f>J19</f>
        <v>100</v>
      </c>
      <c r="X19" s="1490"/>
      <c r="Y19" s="346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9"/>
      <c r="M20" s="2893"/>
      <c r="N20" s="2893"/>
      <c r="O20" s="2893"/>
      <c r="P20" s="3472"/>
      <c r="Q20" s="1487"/>
      <c r="R20" s="714"/>
      <c r="S20" s="715"/>
      <c r="T20" s="714"/>
      <c r="U20" s="715"/>
      <c r="V20" s="714"/>
      <c r="W20" s="715"/>
      <c r="X20" s="1490"/>
      <c r="Y20" s="3465"/>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472"/>
      <c r="Q21" s="1487" t="str">
        <f>B21</f>
        <v>基础设施水平</v>
      </c>
      <c r="R21" s="714" t="s">
        <v>17</v>
      </c>
      <c r="S21" s="715">
        <f>F21</f>
        <v>100</v>
      </c>
      <c r="T21" s="714" t="s">
        <v>17</v>
      </c>
      <c r="U21" s="715">
        <f>H21</f>
        <v>100</v>
      </c>
      <c r="V21" s="714" t="s">
        <v>17</v>
      </c>
      <c r="W21" s="715">
        <f>J21</f>
        <v>100</v>
      </c>
      <c r="X21" s="1490"/>
      <c r="Y21" s="346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9"/>
      <c r="M22" s="2893"/>
      <c r="N22" s="2893"/>
      <c r="O22" s="2893"/>
      <c r="P22" s="3472"/>
      <c r="Q22" s="1487"/>
      <c r="R22" s="714"/>
      <c r="S22" s="715"/>
      <c r="T22" s="714"/>
      <c r="U22" s="715"/>
      <c r="V22" s="714"/>
      <c r="W22" s="715"/>
      <c r="X22" s="1490"/>
      <c r="Y22" s="3465"/>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472"/>
      <c r="Q23" s="1487" t="str">
        <f>B23</f>
        <v>自然及人文环境</v>
      </c>
      <c r="R23" s="714" t="s">
        <v>17</v>
      </c>
      <c r="S23" s="715">
        <f>F23</f>
        <v>100</v>
      </c>
      <c r="T23" s="714" t="s">
        <v>17</v>
      </c>
      <c r="U23" s="715">
        <f>H23</f>
        <v>100</v>
      </c>
      <c r="V23" s="714" t="s">
        <v>17</v>
      </c>
      <c r="W23" s="715">
        <f>J23</f>
        <v>100</v>
      </c>
      <c r="X23" s="1490"/>
      <c r="Y23" s="346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9"/>
      <c r="M24" s="2893"/>
      <c r="N24" s="2893"/>
      <c r="O24" s="2893"/>
      <c r="P24" s="3472"/>
      <c r="Q24" s="1487"/>
      <c r="R24" s="714"/>
      <c r="S24" s="715"/>
      <c r="T24" s="714"/>
      <c r="U24" s="715"/>
      <c r="V24" s="714"/>
      <c r="W24" s="715"/>
      <c r="X24" s="1490"/>
      <c r="Y24" s="346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472"/>
      <c r="Q25" s="1487" t="str">
        <f t="shared" ref="Q25:Q46" si="11">B25</f>
        <v>临街状况</v>
      </c>
      <c r="R25" s="714" t="s">
        <v>17</v>
      </c>
      <c r="S25" s="715">
        <f>F25</f>
        <v>100</v>
      </c>
      <c r="T25" s="714" t="s">
        <v>17</v>
      </c>
      <c r="U25" s="715">
        <f>H25</f>
        <v>100</v>
      </c>
      <c r="V25" s="714" t="s">
        <v>17</v>
      </c>
      <c r="W25" s="715">
        <f>J25</f>
        <v>100</v>
      </c>
      <c r="X25" s="1490"/>
      <c r="Y25" s="346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472"/>
      <c r="Q26" s="1487" t="str">
        <f t="shared" si="11"/>
        <v>平面位置/可视性</v>
      </c>
      <c r="R26" s="714" t="s">
        <v>17</v>
      </c>
      <c r="S26" s="715">
        <f>F26</f>
        <v>100</v>
      </c>
      <c r="T26" s="714" t="s">
        <v>17</v>
      </c>
      <c r="U26" s="715">
        <f>H26</f>
        <v>100</v>
      </c>
      <c r="V26" s="714" t="s">
        <v>17</v>
      </c>
      <c r="W26" s="715">
        <f>J26</f>
        <v>100</v>
      </c>
      <c r="X26" s="1490"/>
      <c r="Y26" s="346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4"/>
      <c r="M27" s="2895"/>
      <c r="N27" s="2895"/>
      <c r="O27" s="2895"/>
      <c r="P27" s="3472"/>
      <c r="Q27" s="1478" t="str">
        <f t="shared" si="11"/>
        <v>人流量</v>
      </c>
      <c r="R27" s="710" t="s">
        <v>17</v>
      </c>
      <c r="S27" s="711">
        <f>F27</f>
        <v>100</v>
      </c>
      <c r="T27" s="710" t="s">
        <v>17</v>
      </c>
      <c r="U27" s="711">
        <f>H27</f>
        <v>100</v>
      </c>
      <c r="V27" s="710" t="s">
        <v>17</v>
      </c>
      <c r="W27" s="711">
        <f>J27</f>
        <v>100</v>
      </c>
      <c r="X27" s="712"/>
      <c r="Y27" s="346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47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472"/>
      <c r="Q29" s="1487">
        <f t="shared" si="11"/>
        <v>111</v>
      </c>
      <c r="R29" s="714" t="s">
        <v>17</v>
      </c>
      <c r="S29" s="715">
        <f t="shared" si="12"/>
        <v>100</v>
      </c>
      <c r="T29" s="714" t="s">
        <v>17</v>
      </c>
      <c r="U29" s="715">
        <f t="shared" si="13"/>
        <v>100</v>
      </c>
      <c r="V29" s="714" t="s">
        <v>17</v>
      </c>
      <c r="W29" s="715">
        <f t="shared" si="14"/>
        <v>100</v>
      </c>
      <c r="X29" s="1490"/>
      <c r="Y29" s="346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472"/>
      <c r="Q30" s="1487">
        <f t="shared" si="11"/>
        <v>111</v>
      </c>
      <c r="R30" s="714" t="s">
        <v>17</v>
      </c>
      <c r="S30" s="715">
        <f t="shared" si="12"/>
        <v>100</v>
      </c>
      <c r="T30" s="714" t="s">
        <v>17</v>
      </c>
      <c r="U30" s="715">
        <f t="shared" si="13"/>
        <v>100</v>
      </c>
      <c r="V30" s="714" t="s">
        <v>17</v>
      </c>
      <c r="W30" s="715">
        <f t="shared" si="14"/>
        <v>100</v>
      </c>
      <c r="X30" s="1490"/>
      <c r="Y30" s="346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472"/>
      <c r="Q31" s="1487">
        <f t="shared" si="11"/>
        <v>111</v>
      </c>
      <c r="R31" s="714" t="s">
        <v>17</v>
      </c>
      <c r="S31" s="715">
        <f t="shared" si="12"/>
        <v>100</v>
      </c>
      <c r="T31" s="714" t="s">
        <v>17</v>
      </c>
      <c r="U31" s="715">
        <f t="shared" si="13"/>
        <v>100</v>
      </c>
      <c r="V31" s="714" t="s">
        <v>17</v>
      </c>
      <c r="W31" s="715">
        <f t="shared" si="14"/>
        <v>100</v>
      </c>
      <c r="X31" s="1490"/>
      <c r="Y31" s="346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9"/>
      <c r="M32" s="2893"/>
      <c r="N32" s="2893"/>
      <c r="O32" s="2893"/>
      <c r="P32" s="3466" t="s">
        <v>2145</v>
      </c>
      <c r="Q32" s="1487" t="str">
        <f t="shared" si="11"/>
        <v>商业类型</v>
      </c>
      <c r="R32" s="714" t="s">
        <v>17</v>
      </c>
      <c r="S32" s="715">
        <f t="shared" si="12"/>
        <v>100</v>
      </c>
      <c r="T32" s="714" t="s">
        <v>17</v>
      </c>
      <c r="U32" s="715">
        <f t="shared" si="13"/>
        <v>100</v>
      </c>
      <c r="V32" s="714" t="s">
        <v>17</v>
      </c>
      <c r="W32" s="715">
        <f t="shared" si="14"/>
        <v>100</v>
      </c>
      <c r="X32" s="1490"/>
      <c r="Y32" s="346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467"/>
      <c r="Q33" s="716" t="str">
        <f t="shared" si="11"/>
        <v>项目建筑规模</v>
      </c>
      <c r="R33" s="717" t="s">
        <v>17</v>
      </c>
      <c r="S33" s="718" t="e">
        <f t="shared" si="12"/>
        <v>#N/A</v>
      </c>
      <c r="T33" s="717" t="s">
        <v>17</v>
      </c>
      <c r="U33" s="718" t="e">
        <f t="shared" si="13"/>
        <v>#N/A</v>
      </c>
      <c r="V33" s="717" t="s">
        <v>17</v>
      </c>
      <c r="W33" s="718" t="e">
        <f t="shared" si="14"/>
        <v>#N/A</v>
      </c>
      <c r="X33" s="719"/>
      <c r="Y33" s="346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9"/>
      <c r="M34" s="2893"/>
      <c r="N34" s="2893"/>
      <c r="O34" s="2893"/>
      <c r="P34" s="3467"/>
      <c r="Q34" s="1487" t="str">
        <f t="shared" si="11"/>
        <v>建筑结构</v>
      </c>
      <c r="R34" s="714" t="s">
        <v>17</v>
      </c>
      <c r="S34" s="715">
        <f t="shared" si="12"/>
        <v>100</v>
      </c>
      <c r="T34" s="714" t="s">
        <v>17</v>
      </c>
      <c r="U34" s="715">
        <f t="shared" si="13"/>
        <v>100</v>
      </c>
      <c r="V34" s="714" t="s">
        <v>17</v>
      </c>
      <c r="W34" s="715">
        <f t="shared" si="14"/>
        <v>100</v>
      </c>
      <c r="X34" s="1490"/>
      <c r="Y34" s="346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9"/>
      <c r="M35" s="2893"/>
      <c r="N35" s="2893"/>
      <c r="O35" s="2893"/>
      <c r="P35" s="3467"/>
      <c r="Q35" s="1487" t="str">
        <f t="shared" si="11"/>
        <v>公共部分装修</v>
      </c>
      <c r="R35" s="714" t="s">
        <v>17</v>
      </c>
      <c r="S35" s="715">
        <f t="shared" si="12"/>
        <v>100</v>
      </c>
      <c r="T35" s="714" t="s">
        <v>17</v>
      </c>
      <c r="U35" s="715">
        <f t="shared" si="13"/>
        <v>100</v>
      </c>
      <c r="V35" s="714" t="s">
        <v>17</v>
      </c>
      <c r="W35" s="715">
        <f t="shared" si="14"/>
        <v>100</v>
      </c>
      <c r="X35" s="1490"/>
      <c r="Y35" s="346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467"/>
      <c r="Q36" s="1487" t="str">
        <f t="shared" si="11"/>
        <v>成新度</v>
      </c>
      <c r="R36" s="714" t="s">
        <v>17</v>
      </c>
      <c r="S36" s="715" t="e">
        <f t="shared" si="12"/>
        <v>#N/A</v>
      </c>
      <c r="T36" s="714" t="s">
        <v>17</v>
      </c>
      <c r="U36" s="715" t="e">
        <f t="shared" si="13"/>
        <v>#N/A</v>
      </c>
      <c r="V36" s="714" t="s">
        <v>17</v>
      </c>
      <c r="W36" s="715" t="e">
        <f t="shared" si="14"/>
        <v>#N/A</v>
      </c>
      <c r="X36" s="1490"/>
      <c r="Y36" s="346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4"/>
      <c r="M37" s="2895"/>
      <c r="N37" s="2895"/>
      <c r="O37" s="2895"/>
      <c r="P37" s="3467"/>
      <c r="Q37" s="1478" t="str">
        <f t="shared" si="11"/>
        <v>市政基础设施</v>
      </c>
      <c r="R37" s="710" t="s">
        <v>17</v>
      </c>
      <c r="S37" s="711">
        <f t="shared" si="12"/>
        <v>100</v>
      </c>
      <c r="T37" s="710" t="s">
        <v>17</v>
      </c>
      <c r="U37" s="711">
        <f t="shared" si="13"/>
        <v>100</v>
      </c>
      <c r="V37" s="710" t="s">
        <v>17</v>
      </c>
      <c r="W37" s="711">
        <f t="shared" si="14"/>
        <v>100</v>
      </c>
      <c r="X37" s="712"/>
      <c r="Y37" s="346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9"/>
      <c r="M38" s="2893"/>
      <c r="N38" s="2893"/>
      <c r="O38" s="2893"/>
      <c r="P38" s="3467" t="s">
        <v>2145</v>
      </c>
      <c r="Q38" s="1487" t="str">
        <f t="shared" si="11"/>
        <v>业态</v>
      </c>
      <c r="R38" s="714" t="s">
        <v>17</v>
      </c>
      <c r="S38" s="715">
        <f t="shared" si="12"/>
        <v>100</v>
      </c>
      <c r="T38" s="714" t="s">
        <v>17</v>
      </c>
      <c r="U38" s="715">
        <f t="shared" si="13"/>
        <v>100</v>
      </c>
      <c r="V38" s="714" t="s">
        <v>17</v>
      </c>
      <c r="W38" s="715">
        <f t="shared" si="14"/>
        <v>100</v>
      </c>
      <c r="X38" s="1490"/>
      <c r="Y38" s="346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9"/>
      <c r="M39" s="2893"/>
      <c r="N39" s="2893"/>
      <c r="O39" s="2893"/>
      <c r="P39" s="3467"/>
      <c r="Q39" s="1487" t="str">
        <f t="shared" si="11"/>
        <v>层高</v>
      </c>
      <c r="R39" s="714" t="s">
        <v>17</v>
      </c>
      <c r="S39" s="715">
        <f t="shared" si="12"/>
        <v>100</v>
      </c>
      <c r="T39" s="714" t="s">
        <v>17</v>
      </c>
      <c r="U39" s="715">
        <f t="shared" si="13"/>
        <v>100</v>
      </c>
      <c r="V39" s="714" t="s">
        <v>17</v>
      </c>
      <c r="W39" s="715">
        <f t="shared" si="14"/>
        <v>100</v>
      </c>
      <c r="X39" s="1490"/>
      <c r="Y39" s="346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467"/>
      <c r="Q40" s="1487" t="str">
        <f t="shared" si="11"/>
        <v>单套建筑面积</v>
      </c>
      <c r="R40" s="714" t="s">
        <v>17</v>
      </c>
      <c r="S40" s="715">
        <f t="shared" si="12"/>
        <v>100</v>
      </c>
      <c r="T40" s="714" t="s">
        <v>17</v>
      </c>
      <c r="U40" s="715">
        <f t="shared" si="13"/>
        <v>100</v>
      </c>
      <c r="V40" s="714" t="s">
        <v>17</v>
      </c>
      <c r="W40" s="715">
        <f t="shared" si="14"/>
        <v>100</v>
      </c>
      <c r="X40" s="1490"/>
      <c r="Y40" s="346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467"/>
      <c r="Q41" s="716" t="str">
        <f t="shared" si="11"/>
        <v>进深比</v>
      </c>
      <c r="R41" s="717" t="s">
        <v>17</v>
      </c>
      <c r="S41" s="718">
        <f t="shared" si="12"/>
        <v>100</v>
      </c>
      <c r="T41" s="717" t="s">
        <v>17</v>
      </c>
      <c r="U41" s="718">
        <f t="shared" si="13"/>
        <v>100</v>
      </c>
      <c r="V41" s="717" t="s">
        <v>17</v>
      </c>
      <c r="W41" s="718">
        <f t="shared" si="14"/>
        <v>100</v>
      </c>
      <c r="X41" s="719"/>
      <c r="Y41" s="346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9"/>
      <c r="M42" s="2893"/>
      <c r="N42" s="2893"/>
      <c r="O42" s="2893"/>
      <c r="P42" s="3467"/>
      <c r="Q42" s="1487" t="str">
        <f t="shared" si="11"/>
        <v>内部装修</v>
      </c>
      <c r="R42" s="714" t="s">
        <v>17</v>
      </c>
      <c r="S42" s="715">
        <f t="shared" si="12"/>
        <v>100</v>
      </c>
      <c r="T42" s="714" t="s">
        <v>17</v>
      </c>
      <c r="U42" s="715">
        <f t="shared" si="13"/>
        <v>100</v>
      </c>
      <c r="V42" s="714" t="s">
        <v>17</v>
      </c>
      <c r="W42" s="715">
        <f t="shared" si="14"/>
        <v>100</v>
      </c>
      <c r="X42" s="1490"/>
      <c r="Y42" s="346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9"/>
      <c r="M43" s="2893"/>
      <c r="N43" s="2893"/>
      <c r="O43" s="2893"/>
      <c r="P43" s="3467"/>
      <c r="Q43" s="1487" t="str">
        <f t="shared" si="11"/>
        <v>内部装修维护情况</v>
      </c>
      <c r="R43" s="714" t="s">
        <v>17</v>
      </c>
      <c r="S43" s="715">
        <f t="shared" si="12"/>
        <v>100</v>
      </c>
      <c r="T43" s="714" t="s">
        <v>17</v>
      </c>
      <c r="U43" s="715">
        <f t="shared" si="13"/>
        <v>100</v>
      </c>
      <c r="V43" s="714" t="s">
        <v>17</v>
      </c>
      <c r="W43" s="715">
        <f t="shared" si="14"/>
        <v>100</v>
      </c>
      <c r="X43" s="1490"/>
      <c r="Y43" s="346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467"/>
      <c r="Q44" s="1478">
        <f t="shared" si="11"/>
        <v>111</v>
      </c>
      <c r="R44" s="710" t="s">
        <v>17</v>
      </c>
      <c r="S44" s="711">
        <f t="shared" si="12"/>
        <v>100</v>
      </c>
      <c r="T44" s="710" t="s">
        <v>17</v>
      </c>
      <c r="U44" s="711">
        <f t="shared" si="13"/>
        <v>100</v>
      </c>
      <c r="V44" s="710" t="s">
        <v>17</v>
      </c>
      <c r="W44" s="711">
        <f t="shared" si="14"/>
        <v>100</v>
      </c>
      <c r="X44" s="712"/>
      <c r="Y44" s="346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467"/>
      <c r="Q45" s="1487">
        <f t="shared" si="11"/>
        <v>111</v>
      </c>
      <c r="R45" s="714" t="s">
        <v>17</v>
      </c>
      <c r="S45" s="715">
        <f t="shared" si="12"/>
        <v>100</v>
      </c>
      <c r="T45" s="714" t="s">
        <v>17</v>
      </c>
      <c r="U45" s="715">
        <f t="shared" si="13"/>
        <v>100</v>
      </c>
      <c r="V45" s="714" t="s">
        <v>17</v>
      </c>
      <c r="W45" s="715">
        <f t="shared" si="14"/>
        <v>100</v>
      </c>
      <c r="X45" s="1490"/>
      <c r="Y45" s="346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468"/>
      <c r="Q46" s="1487">
        <f t="shared" si="11"/>
        <v>111</v>
      </c>
      <c r="R46" s="714" t="s">
        <v>17</v>
      </c>
      <c r="S46" s="715">
        <f t="shared" si="12"/>
        <v>100</v>
      </c>
      <c r="T46" s="714" t="s">
        <v>17</v>
      </c>
      <c r="U46" s="715">
        <f t="shared" si="13"/>
        <v>100</v>
      </c>
      <c r="V46" s="714" t="s">
        <v>17</v>
      </c>
      <c r="W46" s="715">
        <f t="shared" si="14"/>
        <v>100</v>
      </c>
      <c r="X46" s="1490"/>
      <c r="Y46" s="347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1"/>
      <c r="M47" s="2902"/>
      <c r="N47" s="2893"/>
      <c r="O47" s="2902"/>
      <c r="P47" s="3462" t="str">
        <f>A47</f>
        <v>成交单价（元/平方米）</v>
      </c>
      <c r="Q47" s="3462"/>
      <c r="R47" s="3493">
        <f>E47</f>
        <v>0</v>
      </c>
      <c r="S47" s="3493"/>
      <c r="T47" s="3493">
        <f>G47</f>
        <v>0</v>
      </c>
      <c r="U47" s="3493"/>
      <c r="V47" s="3493">
        <f>I47</f>
        <v>0</v>
      </c>
      <c r="W47" s="3493"/>
      <c r="X47" s="699"/>
      <c r="Y47" s="721"/>
      <c r="Z47" s="699"/>
      <c r="AA47" s="699"/>
      <c r="AB47" s="699"/>
      <c r="AC47" s="699"/>
    </row>
    <row r="48" spans="1:29" ht="15.75" thickBot="1">
      <c r="A48" s="445" t="s">
        <v>2249</v>
      </c>
      <c r="B48" s="446"/>
      <c r="C48" s="1275" t="e">
        <f>R49</f>
        <v>#DIV/0!</v>
      </c>
      <c r="D48" s="2489" t="s">
        <v>2638</v>
      </c>
      <c r="E48" s="1276" t="e">
        <f>R48</f>
        <v>#DIV/0!</v>
      </c>
      <c r="F48" s="2490"/>
      <c r="G48" s="1275" t="e">
        <f>T48</f>
        <v>#DIV/0!</v>
      </c>
      <c r="H48" s="2490"/>
      <c r="I48" s="1276" t="e">
        <f>V48</f>
        <v>#DIV/0!</v>
      </c>
      <c r="J48" s="2490"/>
      <c r="K48" s="2492">
        <f>F48+H48+J48</f>
        <v>0</v>
      </c>
      <c r="L48" s="2901"/>
      <c r="M48" s="2902"/>
      <c r="N48" s="2893"/>
      <c r="O48" s="2902"/>
      <c r="P48" s="3462" t="str">
        <f>A48</f>
        <v>比较价值（元/平方米）</v>
      </c>
      <c r="Q48" s="3462"/>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1"/>
      <c r="M49" s="2902"/>
      <c r="N49" s="2893"/>
      <c r="O49" s="2902"/>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2254</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7"/>
      <c r="Q58" s="2918"/>
      <c r="R58" s="2918"/>
      <c r="S58" s="2918"/>
      <c r="T58" s="2918"/>
      <c r="U58" s="2918"/>
      <c r="V58" s="2918"/>
      <c r="W58" s="2918"/>
      <c r="X58" s="2918"/>
      <c r="Y58" s="2918"/>
      <c r="Z58" s="2918"/>
      <c r="AA58" s="2918"/>
      <c r="AB58" s="2918"/>
      <c r="AC58" s="2918"/>
    </row>
    <row r="59" spans="1:29" s="113" customFormat="1" ht="15">
      <c r="A59" s="466"/>
      <c r="B59" s="467"/>
      <c r="C59" s="1298">
        <v>100</v>
      </c>
      <c r="D59" s="469"/>
      <c r="E59" s="469"/>
      <c r="F59" s="469"/>
      <c r="G59" s="469"/>
      <c r="H59" s="469"/>
      <c r="I59" s="469"/>
      <c r="J59" s="469"/>
      <c r="K59" s="469"/>
      <c r="L59" s="469"/>
      <c r="M59" s="470"/>
      <c r="N59" s="469"/>
      <c r="O59" s="470"/>
      <c r="P59" s="2919"/>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19"/>
      <c r="Q60" s="2916"/>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29"/>
      <c r="O61" s="2929"/>
      <c r="P61" s="2920"/>
      <c r="Q61" s="2916"/>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2139</v>
      </c>
      <c r="B76" s="485" t="s">
        <v>2176</v>
      </c>
      <c r="C76" s="530" t="s">
        <v>2177</v>
      </c>
      <c r="D76" s="530" t="s">
        <v>2178</v>
      </c>
      <c r="E76" s="530" t="s">
        <v>2179</v>
      </c>
      <c r="F76" s="530" t="s">
        <v>2180</v>
      </c>
      <c r="G76" s="530" t="s">
        <v>2181</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2182</v>
      </c>
      <c r="C78" s="535" t="s">
        <v>2177</v>
      </c>
      <c r="D78" s="535" t="s">
        <v>2178</v>
      </c>
      <c r="E78" s="535" t="s">
        <v>2179</v>
      </c>
      <c r="F78" s="535" t="s">
        <v>2180</v>
      </c>
      <c r="G78" s="535" t="s">
        <v>2181</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2183</v>
      </c>
      <c r="C80" s="535" t="s">
        <v>2177</v>
      </c>
      <c r="D80" s="535" t="s">
        <v>2178</v>
      </c>
      <c r="E80" s="535" t="s">
        <v>2179</v>
      </c>
      <c r="F80" s="535" t="s">
        <v>2180</v>
      </c>
      <c r="G80" s="535" t="s">
        <v>2181</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2235</v>
      </c>
      <c r="C82" s="616" t="s">
        <v>2255</v>
      </c>
      <c r="D82" s="616" t="s">
        <v>2256</v>
      </c>
      <c r="E82" s="616" t="s">
        <v>2257</v>
      </c>
      <c r="F82" s="616" t="s">
        <v>2258</v>
      </c>
      <c r="G82" s="616" t="s">
        <v>2259</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2189</v>
      </c>
      <c r="C84" s="535" t="s">
        <v>2177</v>
      </c>
      <c r="D84" s="535" t="s">
        <v>2178</v>
      </c>
      <c r="E84" s="535" t="s">
        <v>2179</v>
      </c>
      <c r="F84" s="535" t="s">
        <v>2180</v>
      </c>
      <c r="G84" s="535" t="s">
        <v>2181</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2260</v>
      </c>
      <c r="C86" s="511"/>
      <c r="D86" s="511"/>
      <c r="E86" s="511"/>
      <c r="F86" s="511"/>
      <c r="G86" s="511"/>
      <c r="H86" s="511"/>
      <c r="I86" s="511"/>
      <c r="J86" s="511"/>
      <c r="K86" s="511"/>
      <c r="L86" s="537"/>
      <c r="M86" s="538"/>
      <c r="N86" s="2929"/>
      <c r="O86" s="2929"/>
      <c r="P86" s="2921"/>
      <c r="Q86" s="2916"/>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4"/>
      <c r="G88" s="511"/>
      <c r="H88" s="511"/>
      <c r="I88" s="511"/>
      <c r="J88" s="511"/>
      <c r="K88" s="511"/>
      <c r="L88" s="511"/>
      <c r="M88" s="538"/>
      <c r="N88" s="2929"/>
      <c r="O88" s="2929"/>
      <c r="P88" s="2921"/>
      <c r="Q88" s="2916"/>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1"/>
      <c r="O89" s="2931"/>
      <c r="P89" s="2921"/>
      <c r="Q89" s="2916"/>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5"/>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2143</v>
      </c>
      <c r="B100" s="485" t="s">
        <v>2261</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2194</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2196</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2198</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2262</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2263</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2264</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2265</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2200</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5"/>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17198.239999999998</v>
      </c>
      <c r="E3" s="2091"/>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2225</v>
      </c>
      <c r="B4" s="362"/>
      <c r="C4" s="3477" t="s">
        <v>2226</v>
      </c>
      <c r="D4" s="3478"/>
      <c r="E4" s="3479" t="s">
        <v>2227</v>
      </c>
      <c r="F4" s="3480"/>
      <c r="G4" s="3477" t="s">
        <v>2228</v>
      </c>
      <c r="H4" s="3478"/>
      <c r="I4" s="3477" t="s">
        <v>2229</v>
      </c>
      <c r="J4" s="3478"/>
      <c r="K4" s="567" t="s">
        <v>2230</v>
      </c>
      <c r="L4" s="2892"/>
      <c r="M4" s="2893"/>
      <c r="N4" s="2893"/>
      <c r="O4" s="2893"/>
      <c r="P4" s="3511" t="s">
        <v>2231</v>
      </c>
      <c r="Q4" s="3512"/>
      <c r="R4" s="3515" t="s">
        <v>2227</v>
      </c>
      <c r="S4" s="3516"/>
      <c r="T4" s="3515" t="s">
        <v>2228</v>
      </c>
      <c r="U4" s="3516"/>
      <c r="V4" s="3517" t="s">
        <v>2229</v>
      </c>
      <c r="W4" s="3517"/>
      <c r="X4" s="2095"/>
      <c r="Y4" s="3515" t="s">
        <v>2231</v>
      </c>
      <c r="Z4" s="3516"/>
      <c r="AA4" s="3519" t="s">
        <v>2227</v>
      </c>
      <c r="AB4" s="3519" t="s">
        <v>2228</v>
      </c>
      <c r="AC4" s="3508" t="s">
        <v>2229</v>
      </c>
    </row>
    <row r="5" spans="1:29" ht="15">
      <c r="A5" s="364"/>
      <c r="B5" s="365"/>
      <c r="C5" s="3496" t="s">
        <v>2122</v>
      </c>
      <c r="D5" s="3497"/>
      <c r="E5" s="3503" t="s">
        <v>2123</v>
      </c>
      <c r="F5" s="3504"/>
      <c r="G5" s="3496" t="s">
        <v>2124</v>
      </c>
      <c r="H5" s="3497"/>
      <c r="I5" s="3496" t="s">
        <v>2125</v>
      </c>
      <c r="J5" s="3497"/>
      <c r="K5" s="567"/>
      <c r="L5" s="2892"/>
      <c r="M5" s="2893"/>
      <c r="N5" s="2893"/>
      <c r="O5" s="2893"/>
      <c r="P5" s="3513"/>
      <c r="Q5" s="3484"/>
      <c r="R5" s="3489"/>
      <c r="S5" s="3490"/>
      <c r="T5" s="3489"/>
      <c r="U5" s="3490"/>
      <c r="V5" s="3493"/>
      <c r="W5" s="3493"/>
      <c r="X5" s="1490"/>
      <c r="Y5" s="3489"/>
      <c r="Z5" s="3490"/>
      <c r="AA5" s="3475"/>
      <c r="AB5" s="3475"/>
      <c r="AC5" s="3509"/>
    </row>
    <row r="6" spans="1:29" ht="15.75" thickBot="1">
      <c r="A6" s="366"/>
      <c r="B6" s="367"/>
      <c r="C6" s="3494" t="s">
        <v>2126</v>
      </c>
      <c r="D6" s="3495"/>
      <c r="E6" s="3501" t="s">
        <v>2126</v>
      </c>
      <c r="F6" s="3502"/>
      <c r="G6" s="3494" t="s">
        <v>2126</v>
      </c>
      <c r="H6" s="3495"/>
      <c r="I6" s="3494" t="s">
        <v>2126</v>
      </c>
      <c r="J6" s="3495"/>
      <c r="K6" s="567" t="s">
        <v>2127</v>
      </c>
      <c r="L6" s="2892"/>
      <c r="M6" s="2893"/>
      <c r="N6" s="2893"/>
      <c r="O6" s="2893"/>
      <c r="P6" s="3514"/>
      <c r="Q6" s="3486"/>
      <c r="R6" s="3489"/>
      <c r="S6" s="3490"/>
      <c r="T6" s="3491"/>
      <c r="U6" s="3492"/>
      <c r="V6" s="3493"/>
      <c r="W6" s="3493"/>
      <c r="X6" s="1490"/>
      <c r="Y6" s="3491"/>
      <c r="Z6" s="3492"/>
      <c r="AA6" s="3476"/>
      <c r="AB6" s="3476"/>
      <c r="AC6" s="3510"/>
    </row>
    <row r="7" spans="1:29" s="113" customFormat="1" ht="15.75" thickBot="1">
      <c r="A7" s="368" t="s">
        <v>2128</v>
      </c>
      <c r="B7" s="369"/>
      <c r="C7" s="370">
        <f>'数据-取费表'!B2</f>
        <v>44804</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18" t="s">
        <v>2129</v>
      </c>
      <c r="Q7" s="3500"/>
      <c r="R7" s="710" t="s">
        <v>17</v>
      </c>
      <c r="S7" s="711">
        <f t="shared" ref="S7:S15" si="0">F7</f>
        <v>0</v>
      </c>
      <c r="T7" s="710" t="s">
        <v>17</v>
      </c>
      <c r="U7" s="711">
        <f t="shared" ref="U7:U15" si="1">H7</f>
        <v>0</v>
      </c>
      <c r="V7" s="710" t="s">
        <v>17</v>
      </c>
      <c r="W7" s="711">
        <f t="shared" ref="W7:W15" si="2">J7</f>
        <v>0</v>
      </c>
      <c r="X7" s="712"/>
      <c r="Y7" s="3498" t="s">
        <v>2129</v>
      </c>
      <c r="Z7" s="3499"/>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18" t="s">
        <v>2132</v>
      </c>
      <c r="Q8" s="3499"/>
      <c r="R8" s="710" t="s">
        <v>17</v>
      </c>
      <c r="S8" s="711">
        <f t="shared" si="0"/>
        <v>0</v>
      </c>
      <c r="T8" s="710" t="s">
        <v>17</v>
      </c>
      <c r="U8" s="711">
        <f t="shared" si="1"/>
        <v>0</v>
      </c>
      <c r="V8" s="710" t="s">
        <v>17</v>
      </c>
      <c r="W8" s="711">
        <f t="shared" si="2"/>
        <v>0</v>
      </c>
      <c r="X8" s="712"/>
      <c r="Y8" s="3498" t="s">
        <v>2132</v>
      </c>
      <c r="Z8" s="3499"/>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73"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73"/>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73"/>
      <c r="Q11" s="1478"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4"/>
      <c r="M12" s="2895"/>
      <c r="N12" s="2895"/>
      <c r="O12" s="2895"/>
      <c r="P12" s="3473"/>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9"/>
      <c r="M13" s="2893"/>
      <c r="N13" s="2893"/>
      <c r="O13" s="2893"/>
      <c r="P13" s="3473"/>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9"/>
      <c r="M14" s="2893"/>
      <c r="N14" s="2893"/>
      <c r="O14" s="2893"/>
      <c r="P14" s="3473"/>
      <c r="Q14" s="1478">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471" t="s">
        <v>2140</v>
      </c>
      <c r="Q15" s="1487" t="str">
        <f t="shared" si="6"/>
        <v>办公集聚程度</v>
      </c>
      <c r="R15" s="714" t="s">
        <v>17</v>
      </c>
      <c r="S15" s="715">
        <f t="shared" si="0"/>
        <v>100</v>
      </c>
      <c r="T15" s="714" t="s">
        <v>17</v>
      </c>
      <c r="U15" s="715">
        <f t="shared" si="1"/>
        <v>100</v>
      </c>
      <c r="V15" s="714" t="s">
        <v>17</v>
      </c>
      <c r="W15" s="715">
        <f t="shared" si="2"/>
        <v>100</v>
      </c>
      <c r="X15" s="1490"/>
      <c r="Y15" s="3464"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9"/>
      <c r="M16" s="2893"/>
      <c r="N16" s="2893"/>
      <c r="O16" s="2893"/>
      <c r="P16" s="3472"/>
      <c r="Q16" s="1487"/>
      <c r="R16" s="714"/>
      <c r="S16" s="715"/>
      <c r="T16" s="714"/>
      <c r="U16" s="715"/>
      <c r="V16" s="714"/>
      <c r="W16" s="715"/>
      <c r="X16" s="1490"/>
      <c r="Y16" s="3465"/>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472"/>
      <c r="Q17" s="1487" t="str">
        <f>B17</f>
        <v>交通便捷度</v>
      </c>
      <c r="R17" s="714" t="s">
        <v>17</v>
      </c>
      <c r="S17" s="715">
        <f>F17</f>
        <v>100</v>
      </c>
      <c r="T17" s="714" t="s">
        <v>17</v>
      </c>
      <c r="U17" s="715">
        <f>H17</f>
        <v>100</v>
      </c>
      <c r="V17" s="714" t="s">
        <v>17</v>
      </c>
      <c r="W17" s="715">
        <f>J17</f>
        <v>100</v>
      </c>
      <c r="X17" s="1490"/>
      <c r="Y17" s="3465"/>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9"/>
      <c r="M18" s="2893"/>
      <c r="N18" s="2893"/>
      <c r="O18" s="2893"/>
      <c r="P18" s="3472"/>
      <c r="Q18" s="1487"/>
      <c r="R18" s="714"/>
      <c r="S18" s="715"/>
      <c r="T18" s="714"/>
      <c r="U18" s="715"/>
      <c r="V18" s="714"/>
      <c r="W18" s="715"/>
      <c r="X18" s="1490"/>
      <c r="Y18" s="3465"/>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472"/>
      <c r="Q19" s="1487" t="str">
        <f>B19</f>
        <v>公共配套设施</v>
      </c>
      <c r="R19" s="714" t="s">
        <v>17</v>
      </c>
      <c r="S19" s="715">
        <f>F19</f>
        <v>100</v>
      </c>
      <c r="T19" s="714" t="s">
        <v>17</v>
      </c>
      <c r="U19" s="715">
        <f>H19</f>
        <v>100</v>
      </c>
      <c r="V19" s="714" t="s">
        <v>17</v>
      </c>
      <c r="W19" s="715">
        <f>J19</f>
        <v>100</v>
      </c>
      <c r="X19" s="1490"/>
      <c r="Y19" s="3465"/>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9"/>
      <c r="M20" s="2893"/>
      <c r="N20" s="2893"/>
      <c r="O20" s="2893"/>
      <c r="P20" s="3472"/>
      <c r="Q20" s="1487"/>
      <c r="R20" s="714"/>
      <c r="S20" s="715"/>
      <c r="T20" s="714"/>
      <c r="U20" s="715"/>
      <c r="V20" s="714"/>
      <c r="W20" s="715"/>
      <c r="X20" s="1490"/>
      <c r="Y20" s="3465"/>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472"/>
      <c r="Q21" s="1487" t="str">
        <f>B21</f>
        <v>基础设施水平</v>
      </c>
      <c r="R21" s="714" t="s">
        <v>17</v>
      </c>
      <c r="S21" s="715">
        <f>F21</f>
        <v>100</v>
      </c>
      <c r="T21" s="714" t="s">
        <v>17</v>
      </c>
      <c r="U21" s="715">
        <f>H21</f>
        <v>100</v>
      </c>
      <c r="V21" s="714" t="s">
        <v>17</v>
      </c>
      <c r="W21" s="715">
        <f>J21</f>
        <v>100</v>
      </c>
      <c r="X21" s="1490"/>
      <c r="Y21" s="3465"/>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9"/>
      <c r="M22" s="2893"/>
      <c r="N22" s="2893"/>
      <c r="O22" s="2893"/>
      <c r="P22" s="3472"/>
      <c r="Q22" s="1487"/>
      <c r="R22" s="714"/>
      <c r="S22" s="715"/>
      <c r="T22" s="714"/>
      <c r="U22" s="715"/>
      <c r="V22" s="714"/>
      <c r="W22" s="715"/>
      <c r="X22" s="1490"/>
      <c r="Y22" s="3465"/>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472"/>
      <c r="Q23" s="1487" t="str">
        <f>B23</f>
        <v>环境质量</v>
      </c>
      <c r="R23" s="714" t="s">
        <v>17</v>
      </c>
      <c r="S23" s="715">
        <f>F23</f>
        <v>100</v>
      </c>
      <c r="T23" s="714" t="s">
        <v>17</v>
      </c>
      <c r="U23" s="715">
        <f>H23</f>
        <v>100</v>
      </c>
      <c r="V23" s="714" t="s">
        <v>17</v>
      </c>
      <c r="W23" s="715">
        <f>J23</f>
        <v>100</v>
      </c>
      <c r="X23" s="1490"/>
      <c r="Y23" s="3465"/>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9"/>
      <c r="M24" s="2893"/>
      <c r="N24" s="2893"/>
      <c r="O24" s="2893"/>
      <c r="P24" s="3472"/>
      <c r="Q24" s="1487"/>
      <c r="R24" s="714"/>
      <c r="S24" s="715"/>
      <c r="T24" s="714"/>
      <c r="U24" s="715"/>
      <c r="V24" s="714"/>
      <c r="W24" s="715"/>
      <c r="X24" s="1490"/>
      <c r="Y24" s="3465"/>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9"/>
      <c r="M25" s="2893"/>
      <c r="N25" s="2893"/>
      <c r="O25" s="2893"/>
      <c r="P25" s="3472"/>
      <c r="Q25" s="1487" t="str">
        <f>B25</f>
        <v>毗邻道路的类型与等级</v>
      </c>
      <c r="R25" s="714" t="s">
        <v>17</v>
      </c>
      <c r="S25" s="715">
        <f>F25</f>
        <v>100</v>
      </c>
      <c r="T25" s="714" t="s">
        <v>17</v>
      </c>
      <c r="U25" s="715">
        <f>H25</f>
        <v>100</v>
      </c>
      <c r="V25" s="714" t="s">
        <v>17</v>
      </c>
      <c r="W25" s="715">
        <f>J25</f>
        <v>100</v>
      </c>
      <c r="X25" s="1490"/>
      <c r="Y25" s="346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9"/>
      <c r="M26" s="2893"/>
      <c r="N26" s="2893"/>
      <c r="O26" s="2893"/>
      <c r="P26" s="3472"/>
      <c r="Q26" s="1487"/>
      <c r="R26" s="714"/>
      <c r="S26" s="715"/>
      <c r="T26" s="714"/>
      <c r="U26" s="715"/>
      <c r="V26" s="714"/>
      <c r="W26" s="715"/>
      <c r="X26" s="1490"/>
      <c r="Y26" s="346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472"/>
      <c r="Q27" s="1487" t="str">
        <f t="shared" ref="Q27:Q47" si="11">B27</f>
        <v>楼层</v>
      </c>
      <c r="R27" s="714" t="s">
        <v>17</v>
      </c>
      <c r="S27" s="715">
        <f>F27</f>
        <v>100</v>
      </c>
      <c r="T27" s="714" t="s">
        <v>17</v>
      </c>
      <c r="U27" s="715">
        <f>H27</f>
        <v>100</v>
      </c>
      <c r="V27" s="714" t="s">
        <v>17</v>
      </c>
      <c r="W27" s="715">
        <f>J27</f>
        <v>100</v>
      </c>
      <c r="X27" s="1490"/>
      <c r="Y27" s="3465"/>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4"/>
      <c r="M28" s="2895"/>
      <c r="N28" s="2895"/>
      <c r="O28" s="2895"/>
      <c r="P28" s="3472"/>
      <c r="Q28" s="1478" t="str">
        <f t="shared" si="11"/>
        <v>朝向</v>
      </c>
      <c r="R28" s="710" t="s">
        <v>17</v>
      </c>
      <c r="S28" s="711">
        <f>F28</f>
        <v>100</v>
      </c>
      <c r="T28" s="710" t="s">
        <v>17</v>
      </c>
      <c r="U28" s="711">
        <f>H28</f>
        <v>100</v>
      </c>
      <c r="V28" s="710" t="s">
        <v>17</v>
      </c>
      <c r="W28" s="711">
        <f>J28</f>
        <v>100</v>
      </c>
      <c r="X28" s="712"/>
      <c r="Y28" s="3465"/>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9"/>
      <c r="M29" s="2893"/>
      <c r="N29" s="2893"/>
      <c r="O29" s="2893"/>
      <c r="P29" s="3472"/>
      <c r="Q29" s="1487">
        <f t="shared" si="11"/>
        <v>111</v>
      </c>
      <c r="R29" s="714" t="s">
        <v>17</v>
      </c>
      <c r="S29" s="715">
        <f t="shared" ref="S29:S47" si="12">F29</f>
        <v>100</v>
      </c>
      <c r="T29" s="714" t="s">
        <v>17</v>
      </c>
      <c r="U29" s="715">
        <f t="shared" ref="U29:U47" si="13">H29</f>
        <v>100</v>
      </c>
      <c r="V29" s="714" t="s">
        <v>17</v>
      </c>
      <c r="W29" s="715">
        <f t="shared" ref="W29:W47" si="14">J29</f>
        <v>100</v>
      </c>
      <c r="X29" s="1490"/>
      <c r="Y29" s="3465"/>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9"/>
      <c r="M30" s="2893"/>
      <c r="N30" s="2893"/>
      <c r="O30" s="2893"/>
      <c r="P30" s="3472"/>
      <c r="Q30" s="1487">
        <f t="shared" si="11"/>
        <v>111</v>
      </c>
      <c r="R30" s="714" t="s">
        <v>17</v>
      </c>
      <c r="S30" s="715">
        <f t="shared" si="12"/>
        <v>100</v>
      </c>
      <c r="T30" s="714" t="s">
        <v>17</v>
      </c>
      <c r="U30" s="715">
        <f t="shared" si="13"/>
        <v>100</v>
      </c>
      <c r="V30" s="714" t="s">
        <v>17</v>
      </c>
      <c r="W30" s="715">
        <f t="shared" si="14"/>
        <v>100</v>
      </c>
      <c r="X30" s="1490"/>
      <c r="Y30" s="3465"/>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9"/>
      <c r="M31" s="2893"/>
      <c r="N31" s="2893"/>
      <c r="O31" s="2893"/>
      <c r="P31" s="3472"/>
      <c r="Q31" s="1487">
        <f t="shared" si="11"/>
        <v>111</v>
      </c>
      <c r="R31" s="714" t="s">
        <v>17</v>
      </c>
      <c r="S31" s="715">
        <f t="shared" si="12"/>
        <v>100</v>
      </c>
      <c r="T31" s="714" t="s">
        <v>17</v>
      </c>
      <c r="U31" s="715">
        <f t="shared" si="13"/>
        <v>100</v>
      </c>
      <c r="V31" s="714" t="s">
        <v>17</v>
      </c>
      <c r="W31" s="715">
        <f t="shared" si="14"/>
        <v>100</v>
      </c>
      <c r="X31" s="1490"/>
      <c r="Y31" s="3465"/>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9"/>
      <c r="M32" s="2893"/>
      <c r="N32" s="2893"/>
      <c r="O32" s="2893"/>
      <c r="P32" s="3472"/>
      <c r="Q32" s="1487">
        <f t="shared" si="11"/>
        <v>111</v>
      </c>
      <c r="R32" s="714" t="s">
        <v>17</v>
      </c>
      <c r="S32" s="715">
        <f t="shared" si="12"/>
        <v>100</v>
      </c>
      <c r="T32" s="714" t="s">
        <v>17</v>
      </c>
      <c r="U32" s="715">
        <f t="shared" si="13"/>
        <v>100</v>
      </c>
      <c r="V32" s="714" t="s">
        <v>17</v>
      </c>
      <c r="W32" s="715">
        <f t="shared" si="14"/>
        <v>100</v>
      </c>
      <c r="X32" s="1490"/>
      <c r="Y32" s="3465"/>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9"/>
      <c r="M33" s="2893"/>
      <c r="N33" s="2893"/>
      <c r="O33" s="2893"/>
      <c r="P33" s="3466" t="s">
        <v>2145</v>
      </c>
      <c r="Q33" s="1487" t="str">
        <f t="shared" si="11"/>
        <v>建筑类型</v>
      </c>
      <c r="R33" s="714" t="s">
        <v>17</v>
      </c>
      <c r="S33" s="715">
        <f t="shared" si="12"/>
        <v>100</v>
      </c>
      <c r="T33" s="714" t="s">
        <v>17</v>
      </c>
      <c r="U33" s="715">
        <f t="shared" si="13"/>
        <v>100</v>
      </c>
      <c r="V33" s="714" t="s">
        <v>17</v>
      </c>
      <c r="W33" s="715">
        <f t="shared" si="14"/>
        <v>100</v>
      </c>
      <c r="X33" s="1490"/>
      <c r="Y33" s="3469"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467"/>
      <c r="Q34" s="716" t="str">
        <f t="shared" si="11"/>
        <v>项目建筑规模</v>
      </c>
      <c r="R34" s="717" t="s">
        <v>17</v>
      </c>
      <c r="S34" s="718" t="e">
        <f t="shared" si="12"/>
        <v>#N/A</v>
      </c>
      <c r="T34" s="717" t="s">
        <v>17</v>
      </c>
      <c r="U34" s="718" t="e">
        <f t="shared" si="13"/>
        <v>#N/A</v>
      </c>
      <c r="V34" s="717" t="s">
        <v>17</v>
      </c>
      <c r="W34" s="718" t="e">
        <f t="shared" si="14"/>
        <v>#N/A</v>
      </c>
      <c r="X34" s="719"/>
      <c r="Y34" s="3469"/>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467"/>
      <c r="Q35" s="1487" t="str">
        <f t="shared" si="11"/>
        <v>建筑结构</v>
      </c>
      <c r="R35" s="714" t="s">
        <v>17</v>
      </c>
      <c r="S35" s="715">
        <f t="shared" si="12"/>
        <v>100</v>
      </c>
      <c r="T35" s="714" t="s">
        <v>17</v>
      </c>
      <c r="U35" s="715">
        <f t="shared" si="13"/>
        <v>100</v>
      </c>
      <c r="V35" s="714" t="s">
        <v>17</v>
      </c>
      <c r="W35" s="715">
        <f t="shared" si="14"/>
        <v>100</v>
      </c>
      <c r="X35" s="1490"/>
      <c r="Y35" s="3469"/>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467"/>
      <c r="Q36" s="1487" t="str">
        <f t="shared" si="11"/>
        <v>公共部分装修</v>
      </c>
      <c r="R36" s="714" t="s">
        <v>17</v>
      </c>
      <c r="S36" s="715">
        <f t="shared" si="12"/>
        <v>100</v>
      </c>
      <c r="T36" s="714" t="s">
        <v>17</v>
      </c>
      <c r="U36" s="715">
        <f t="shared" si="13"/>
        <v>100</v>
      </c>
      <c r="V36" s="714" t="s">
        <v>17</v>
      </c>
      <c r="W36" s="715">
        <f t="shared" si="14"/>
        <v>100</v>
      </c>
      <c r="X36" s="1490"/>
      <c r="Y36" s="3469"/>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467"/>
      <c r="Q37" s="1487" t="str">
        <f t="shared" si="11"/>
        <v>成新度</v>
      </c>
      <c r="R37" s="714" t="s">
        <v>17</v>
      </c>
      <c r="S37" s="715" t="e">
        <f t="shared" si="12"/>
        <v>#N/A</v>
      </c>
      <c r="T37" s="714" t="s">
        <v>17</v>
      </c>
      <c r="U37" s="715" t="e">
        <f t="shared" si="13"/>
        <v>#N/A</v>
      </c>
      <c r="V37" s="714" t="s">
        <v>17</v>
      </c>
      <c r="W37" s="715" t="e">
        <f t="shared" si="14"/>
        <v>#N/A</v>
      </c>
      <c r="X37" s="1490"/>
      <c r="Y37" s="3469"/>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467"/>
      <c r="Q38" s="1478" t="str">
        <f t="shared" si="11"/>
        <v>写字楼等级</v>
      </c>
      <c r="R38" s="710" t="s">
        <v>17</v>
      </c>
      <c r="S38" s="711">
        <f t="shared" si="12"/>
        <v>100</v>
      </c>
      <c r="T38" s="710" t="s">
        <v>17</v>
      </c>
      <c r="U38" s="711">
        <f t="shared" si="13"/>
        <v>100</v>
      </c>
      <c r="V38" s="710" t="s">
        <v>17</v>
      </c>
      <c r="W38" s="711">
        <f t="shared" si="14"/>
        <v>100</v>
      </c>
      <c r="X38" s="712"/>
      <c r="Y38" s="3469"/>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467" t="s">
        <v>2145</v>
      </c>
      <c r="Q39" s="1487" t="str">
        <f t="shared" si="11"/>
        <v>物业管理</v>
      </c>
      <c r="R39" s="714" t="s">
        <v>17</v>
      </c>
      <c r="S39" s="715">
        <f t="shared" si="12"/>
        <v>100</v>
      </c>
      <c r="T39" s="714" t="s">
        <v>17</v>
      </c>
      <c r="U39" s="715">
        <f t="shared" si="13"/>
        <v>100</v>
      </c>
      <c r="V39" s="714" t="s">
        <v>17</v>
      </c>
      <c r="W39" s="715">
        <f t="shared" si="14"/>
        <v>100</v>
      </c>
      <c r="X39" s="1490"/>
      <c r="Y39" s="3469"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467"/>
      <c r="Q40" s="1487" t="str">
        <f t="shared" si="11"/>
        <v>市政基础设施</v>
      </c>
      <c r="R40" s="714" t="s">
        <v>17</v>
      </c>
      <c r="S40" s="715">
        <f t="shared" si="12"/>
        <v>100</v>
      </c>
      <c r="T40" s="714" t="s">
        <v>17</v>
      </c>
      <c r="U40" s="715">
        <f t="shared" si="13"/>
        <v>100</v>
      </c>
      <c r="V40" s="714" t="s">
        <v>17</v>
      </c>
      <c r="W40" s="715">
        <f t="shared" si="14"/>
        <v>100</v>
      </c>
      <c r="X40" s="1490"/>
      <c r="Y40" s="3469"/>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467"/>
      <c r="Q41" s="1487" t="str">
        <f t="shared" si="11"/>
        <v>层高</v>
      </c>
      <c r="R41" s="714" t="s">
        <v>17</v>
      </c>
      <c r="S41" s="715">
        <f t="shared" si="12"/>
        <v>100</v>
      </c>
      <c r="T41" s="714" t="s">
        <v>17</v>
      </c>
      <c r="U41" s="715">
        <f t="shared" si="13"/>
        <v>100</v>
      </c>
      <c r="V41" s="714" t="s">
        <v>17</v>
      </c>
      <c r="W41" s="715">
        <f t="shared" si="14"/>
        <v>100</v>
      </c>
      <c r="X41" s="1490"/>
      <c r="Y41" s="346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467"/>
      <c r="Q42" s="716" t="str">
        <f t="shared" si="11"/>
        <v>单套建筑面积</v>
      </c>
      <c r="R42" s="717" t="s">
        <v>17</v>
      </c>
      <c r="S42" s="718">
        <f t="shared" si="12"/>
        <v>100</v>
      </c>
      <c r="T42" s="717" t="s">
        <v>17</v>
      </c>
      <c r="U42" s="718">
        <f t="shared" si="13"/>
        <v>100</v>
      </c>
      <c r="V42" s="717" t="s">
        <v>17</v>
      </c>
      <c r="W42" s="718">
        <f t="shared" si="14"/>
        <v>100</v>
      </c>
      <c r="X42" s="719"/>
      <c r="Y42" s="346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467"/>
      <c r="Q43" s="1487" t="str">
        <f t="shared" si="11"/>
        <v>内部装修</v>
      </c>
      <c r="R43" s="714" t="s">
        <v>17</v>
      </c>
      <c r="S43" s="715">
        <f t="shared" si="12"/>
        <v>100</v>
      </c>
      <c r="T43" s="714" t="s">
        <v>17</v>
      </c>
      <c r="U43" s="715">
        <f t="shared" si="13"/>
        <v>100</v>
      </c>
      <c r="V43" s="714" t="s">
        <v>17</v>
      </c>
      <c r="W43" s="715">
        <f t="shared" si="14"/>
        <v>100</v>
      </c>
      <c r="X43" s="1490"/>
      <c r="Y43" s="3469"/>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9"/>
      <c r="M44" s="2893"/>
      <c r="N44" s="2893"/>
      <c r="O44" s="2893"/>
      <c r="P44" s="3467"/>
      <c r="Q44" s="1487" t="str">
        <f t="shared" si="11"/>
        <v>内部装修维护情况</v>
      </c>
      <c r="R44" s="714" t="s">
        <v>17</v>
      </c>
      <c r="S44" s="715">
        <f t="shared" si="12"/>
        <v>100</v>
      </c>
      <c r="T44" s="714" t="s">
        <v>17</v>
      </c>
      <c r="U44" s="715">
        <f t="shared" si="13"/>
        <v>100</v>
      </c>
      <c r="V44" s="714" t="s">
        <v>17</v>
      </c>
      <c r="W44" s="715">
        <f t="shared" si="14"/>
        <v>100</v>
      </c>
      <c r="X44" s="1490"/>
      <c r="Y44" s="3469"/>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467"/>
      <c r="Q45" s="1478">
        <f t="shared" si="11"/>
        <v>111</v>
      </c>
      <c r="R45" s="710" t="s">
        <v>17</v>
      </c>
      <c r="S45" s="711">
        <f t="shared" si="12"/>
        <v>100</v>
      </c>
      <c r="T45" s="710" t="s">
        <v>17</v>
      </c>
      <c r="U45" s="711">
        <f t="shared" si="13"/>
        <v>100</v>
      </c>
      <c r="V45" s="710" t="s">
        <v>17</v>
      </c>
      <c r="W45" s="711">
        <f t="shared" si="14"/>
        <v>100</v>
      </c>
      <c r="X45" s="712"/>
      <c r="Y45" s="3469"/>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467"/>
      <c r="Q46" s="1487">
        <f t="shared" si="11"/>
        <v>111</v>
      </c>
      <c r="R46" s="714" t="s">
        <v>17</v>
      </c>
      <c r="S46" s="715">
        <f t="shared" si="12"/>
        <v>100</v>
      </c>
      <c r="T46" s="714" t="s">
        <v>17</v>
      </c>
      <c r="U46" s="715">
        <f t="shared" si="13"/>
        <v>100</v>
      </c>
      <c r="V46" s="714" t="s">
        <v>17</v>
      </c>
      <c r="W46" s="715">
        <f t="shared" si="14"/>
        <v>100</v>
      </c>
      <c r="X46" s="1490"/>
      <c r="Y46" s="346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468"/>
      <c r="Q47" s="1487">
        <f t="shared" si="11"/>
        <v>111</v>
      </c>
      <c r="R47" s="714" t="s">
        <v>17</v>
      </c>
      <c r="S47" s="715">
        <f t="shared" si="12"/>
        <v>100</v>
      </c>
      <c r="T47" s="714" t="s">
        <v>17</v>
      </c>
      <c r="U47" s="715">
        <f t="shared" si="13"/>
        <v>100</v>
      </c>
      <c r="V47" s="714" t="s">
        <v>17</v>
      </c>
      <c r="W47" s="715">
        <f t="shared" si="14"/>
        <v>100</v>
      </c>
      <c r="X47" s="1490"/>
      <c r="Y47" s="3470"/>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1"/>
      <c r="M48" s="2893"/>
      <c r="N48" s="2893"/>
      <c r="O48" s="2893"/>
      <c r="P48" s="3473" t="str">
        <f>A48</f>
        <v>成交单价（元/平方米）</v>
      </c>
      <c r="Q48" s="3462"/>
      <c r="R48" s="3463">
        <f>E48</f>
        <v>0</v>
      </c>
      <c r="S48" s="3463"/>
      <c r="T48" s="3463">
        <f>G48</f>
        <v>0</v>
      </c>
      <c r="U48" s="3463"/>
      <c r="V48" s="3463">
        <f>I48</f>
        <v>0</v>
      </c>
      <c r="W48" s="3463"/>
      <c r="X48" s="405"/>
      <c r="Y48" s="721"/>
      <c r="Z48" s="405"/>
      <c r="AA48" s="405"/>
      <c r="AB48" s="405"/>
      <c r="AC48" s="586"/>
    </row>
    <row r="49" spans="1:29" ht="15.75" thickBot="1">
      <c r="A49" s="445" t="s">
        <v>2249</v>
      </c>
      <c r="B49" s="446"/>
      <c r="C49" s="1275" t="e">
        <f>R50</f>
        <v>#DIV/0!</v>
      </c>
      <c r="D49" s="2489" t="s">
        <v>2638</v>
      </c>
      <c r="E49" s="1276" t="e">
        <f>R49</f>
        <v>#DIV/0!</v>
      </c>
      <c r="F49" s="2490"/>
      <c r="G49" s="1275" t="e">
        <f>T49</f>
        <v>#DIV/0!</v>
      </c>
      <c r="H49" s="2490"/>
      <c r="I49" s="1276" t="e">
        <f>V49</f>
        <v>#DIV/0!</v>
      </c>
      <c r="J49" s="2490"/>
      <c r="K49" s="2492">
        <f>F49+H49+J49</f>
        <v>0</v>
      </c>
      <c r="L49" s="2901"/>
      <c r="M49" s="2893"/>
      <c r="N49" s="2893"/>
      <c r="O49" s="2893"/>
      <c r="P49" s="3473" t="str">
        <f>A49</f>
        <v>比较价值（元/平方米）</v>
      </c>
      <c r="Q49" s="3462"/>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1"/>
      <c r="M50" s="2893"/>
      <c r="N50" s="2893"/>
      <c r="O50" s="2893"/>
      <c r="P50" s="3505" t="str">
        <f>A50</f>
        <v>估价对象XX用房的比较价值（楼面单价，元/平方米）</v>
      </c>
      <c r="Q50" s="3506"/>
      <c r="R50" s="3507" t="e">
        <f>IF(F1="售价",ROUND(IF(D49="简单平均",AVERAGE(R49:V49),R49*F49+T49*H49+V49*J49),0),ROUND(IF(D49="简单平均",AVERAGE(R49:V49),R49*F49+T49*H49+V49*J49),1))</f>
        <v>#DIV/0!</v>
      </c>
      <c r="S50" s="3507"/>
      <c r="T50" s="3507"/>
      <c r="U50" s="3507"/>
      <c r="V50" s="3507"/>
      <c r="W50" s="3507"/>
      <c r="X50" s="2083"/>
      <c r="Y50" s="2083"/>
      <c r="Z50" s="2083"/>
      <c r="AA50" s="2083"/>
      <c r="AB50" s="2083"/>
      <c r="AC50" s="2084"/>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2254</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6"/>
      <c r="Q59" s="2918"/>
      <c r="R59" s="2918"/>
      <c r="S59" s="2918"/>
      <c r="T59" s="2918"/>
      <c r="U59" s="2918"/>
      <c r="V59" s="2918"/>
      <c r="W59" s="2918"/>
      <c r="X59" s="2918"/>
      <c r="Y59" s="2918"/>
      <c r="Z59" s="2918"/>
      <c r="AA59" s="2918"/>
      <c r="AB59" s="2918"/>
      <c r="AC59" s="2918"/>
    </row>
    <row r="60" spans="1:29" s="113" customFormat="1" ht="15">
      <c r="A60" s="466"/>
      <c r="B60" s="467"/>
      <c r="C60" s="1298">
        <v>100</v>
      </c>
      <c r="D60" s="469"/>
      <c r="E60" s="469"/>
      <c r="F60" s="469"/>
      <c r="G60" s="469"/>
      <c r="H60" s="469"/>
      <c r="I60" s="469"/>
      <c r="J60" s="469"/>
      <c r="K60" s="469"/>
      <c r="L60" s="469"/>
      <c r="M60" s="470"/>
      <c r="N60" s="469"/>
      <c r="O60" s="470"/>
      <c r="P60" s="2937"/>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7"/>
      <c r="Q61" s="2916"/>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29"/>
      <c r="O62" s="2929"/>
      <c r="P62" s="2938"/>
      <c r="Q62" s="2916"/>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2139</v>
      </c>
      <c r="B77" s="485" t="s">
        <v>2277</v>
      </c>
      <c r="C77" s="530" t="s">
        <v>2177</v>
      </c>
      <c r="D77" s="530" t="s">
        <v>2178</v>
      </c>
      <c r="E77" s="530" t="s">
        <v>2179</v>
      </c>
      <c r="F77" s="530" t="s">
        <v>2180</v>
      </c>
      <c r="G77" s="530" t="s">
        <v>2181</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2182</v>
      </c>
      <c r="C79" s="535" t="s">
        <v>2177</v>
      </c>
      <c r="D79" s="535" t="s">
        <v>2178</v>
      </c>
      <c r="E79" s="535" t="s">
        <v>2179</v>
      </c>
      <c r="F79" s="535" t="s">
        <v>2180</v>
      </c>
      <c r="G79" s="535" t="s">
        <v>2181</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2183</v>
      </c>
      <c r="C81" s="535" t="s">
        <v>2177</v>
      </c>
      <c r="D81" s="535" t="s">
        <v>2178</v>
      </c>
      <c r="E81" s="535" t="s">
        <v>2179</v>
      </c>
      <c r="F81" s="535" t="s">
        <v>2180</v>
      </c>
      <c r="G81" s="535" t="s">
        <v>2181</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2269</v>
      </c>
      <c r="C83" s="616" t="s">
        <v>2255</v>
      </c>
      <c r="D83" s="616" t="s">
        <v>2256</v>
      </c>
      <c r="E83" s="616" t="s">
        <v>2257</v>
      </c>
      <c r="F83" s="616" t="s">
        <v>2258</v>
      </c>
      <c r="G83" s="616" t="s">
        <v>2259</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2278</v>
      </c>
      <c r="C85" s="535" t="s">
        <v>2177</v>
      </c>
      <c r="D85" s="535" t="s">
        <v>2178</v>
      </c>
      <c r="E85" s="535" t="s">
        <v>2179</v>
      </c>
      <c r="F85" s="535" t="s">
        <v>2180</v>
      </c>
      <c r="G85" s="535" t="s">
        <v>2181</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2279</v>
      </c>
      <c r="C87" s="511"/>
      <c r="D87" s="511"/>
      <c r="E87" s="511"/>
      <c r="F87" s="511"/>
      <c r="G87" s="511"/>
      <c r="H87" s="511"/>
      <c r="I87" s="511"/>
      <c r="J87" s="511"/>
      <c r="K87" s="511"/>
      <c r="L87" s="537"/>
      <c r="M87" s="538"/>
      <c r="N87" s="2929"/>
      <c r="O87" s="2929"/>
      <c r="P87" s="2939"/>
      <c r="Q87" s="2916"/>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4"/>
      <c r="G89" s="511"/>
      <c r="H89" s="511"/>
      <c r="I89" s="511"/>
      <c r="J89" s="511"/>
      <c r="K89" s="511"/>
      <c r="L89" s="511"/>
      <c r="M89" s="538"/>
      <c r="N89" s="2929"/>
      <c r="O89" s="2929"/>
      <c r="P89" s="2939"/>
      <c r="Q89" s="2916"/>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5"/>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2143</v>
      </c>
      <c r="B101" s="485" t="s">
        <v>2192</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2194</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2196</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2280</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2197</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2198</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2281</v>
      </c>
      <c r="C119" s="540"/>
      <c r="D119" s="540"/>
      <c r="E119" s="540"/>
      <c r="F119" s="540"/>
      <c r="G119" s="540"/>
      <c r="H119" s="540"/>
      <c r="I119" s="540"/>
      <c r="J119" s="540"/>
      <c r="K119" s="540"/>
      <c r="L119" s="2105"/>
      <c r="M119" s="2106"/>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2264</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2200</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5"/>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36">
      <c r="A4" s="1616" t="str">
        <f>"受贵公司委托，我公司对"&amp;项目基本情况!S1&amp;"进行了预评估。"</f>
        <v>受贵公司委托，我公司对江苏省南京市栖霞区元化路8号2幢101室房地产抵押价值进行了预评估。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估价对象为江苏省南京市栖霞区元化路8号2幢101室房地产，为所有。根据《国有土地使用证》[]，估价对象（分摊）出让国有建设用地使用权面积为0平方米，建筑面积为17198.24平方米。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南京市栖霞区元化路8号2幢101室房地产,属开发建设的，该项目尚在开发建设中。根据《国有土地使用证》[]，估价对象（分摊）出让国有建设用地使用权面积为0平方米，规划建筑面积为17198.24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江苏省南京市栖霞区元化路8号2幢101室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2022年8月31日（评估专业人员实地查勘之日）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17198.239999999998</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7" t="s">
        <v>2226</v>
      </c>
      <c r="D4" s="3478"/>
      <c r="E4" s="3479" t="s">
        <v>2227</v>
      </c>
      <c r="F4" s="3480"/>
      <c r="G4" s="3477" t="s">
        <v>2228</v>
      </c>
      <c r="H4" s="3478"/>
      <c r="I4" s="3477" t="s">
        <v>2229</v>
      </c>
      <c r="J4" s="3478"/>
      <c r="K4" s="567" t="s">
        <v>2230</v>
      </c>
      <c r="L4" s="1025"/>
      <c r="M4" s="1026"/>
      <c r="N4" s="1026"/>
      <c r="O4" s="1026"/>
      <c r="P4" s="3481" t="s">
        <v>2231</v>
      </c>
      <c r="Q4" s="3482"/>
      <c r="R4" s="3487" t="s">
        <v>2227</v>
      </c>
      <c r="S4" s="3488"/>
      <c r="T4" s="3487" t="s">
        <v>2228</v>
      </c>
      <c r="U4" s="3488"/>
      <c r="V4" s="3493" t="s">
        <v>2229</v>
      </c>
      <c r="W4" s="3493"/>
      <c r="X4" s="1490"/>
      <c r="Y4" s="3487" t="s">
        <v>2231</v>
      </c>
      <c r="Z4" s="3488"/>
      <c r="AA4" s="3474" t="s">
        <v>2227</v>
      </c>
      <c r="AB4" s="3475" t="s">
        <v>2228</v>
      </c>
      <c r="AC4" s="3474" t="s">
        <v>2229</v>
      </c>
    </row>
    <row r="5" spans="1:29" ht="15">
      <c r="A5" s="364"/>
      <c r="B5" s="365"/>
      <c r="C5" s="3496" t="s">
        <v>2122</v>
      </c>
      <c r="D5" s="3497"/>
      <c r="E5" s="3503" t="s">
        <v>2123</v>
      </c>
      <c r="F5" s="3504"/>
      <c r="G5" s="3496" t="s">
        <v>2124</v>
      </c>
      <c r="H5" s="3497"/>
      <c r="I5" s="3496" t="s">
        <v>2125</v>
      </c>
      <c r="J5" s="3497"/>
      <c r="K5" s="567"/>
      <c r="L5" s="1025"/>
      <c r="M5" s="1026"/>
      <c r="N5" s="1026"/>
      <c r="O5" s="1026"/>
      <c r="P5" s="3483"/>
      <c r="Q5" s="3484"/>
      <c r="R5" s="3489"/>
      <c r="S5" s="3490"/>
      <c r="T5" s="3489"/>
      <c r="U5" s="3490"/>
      <c r="V5" s="3493"/>
      <c r="W5" s="3493"/>
      <c r="X5" s="1490"/>
      <c r="Y5" s="3489"/>
      <c r="Z5" s="3490"/>
      <c r="AA5" s="3475"/>
      <c r="AB5" s="3475"/>
      <c r="AC5" s="3475"/>
    </row>
    <row r="6" spans="1:29" ht="15.75" thickBot="1">
      <c r="A6" s="366"/>
      <c r="B6" s="367"/>
      <c r="C6" s="3494" t="s">
        <v>2126</v>
      </c>
      <c r="D6" s="3495"/>
      <c r="E6" s="3501" t="s">
        <v>2126</v>
      </c>
      <c r="F6" s="3502"/>
      <c r="G6" s="3494" t="s">
        <v>2126</v>
      </c>
      <c r="H6" s="3495"/>
      <c r="I6" s="3494" t="s">
        <v>2126</v>
      </c>
      <c r="J6" s="3495"/>
      <c r="K6" s="567" t="s">
        <v>2127</v>
      </c>
      <c r="L6" s="1025"/>
      <c r="M6" s="1026"/>
      <c r="N6" s="1026"/>
      <c r="O6" s="1026"/>
      <c r="P6" s="3485"/>
      <c r="Q6" s="3486"/>
      <c r="R6" s="3489"/>
      <c r="S6" s="3490"/>
      <c r="T6" s="3491"/>
      <c r="U6" s="3492"/>
      <c r="V6" s="3493"/>
      <c r="W6" s="3493"/>
      <c r="X6" s="1490"/>
      <c r="Y6" s="3491"/>
      <c r="Z6" s="3492"/>
      <c r="AA6" s="3476"/>
      <c r="AB6" s="3476"/>
      <c r="AC6" s="3476"/>
    </row>
    <row r="7" spans="1:29" s="113" customFormat="1" ht="15.75" thickBot="1">
      <c r="A7" s="368" t="s">
        <v>2128</v>
      </c>
      <c r="B7" s="369"/>
      <c r="C7" s="370">
        <f>'数据-取费表'!B2</f>
        <v>44804</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8" t="s">
        <v>2129</v>
      </c>
      <c r="Q7" s="3500"/>
      <c r="R7" s="710" t="s">
        <v>17</v>
      </c>
      <c r="S7" s="711">
        <f t="shared" ref="S7:S15" si="0">F7</f>
        <v>0</v>
      </c>
      <c r="T7" s="710" t="s">
        <v>17</v>
      </c>
      <c r="U7" s="711">
        <f t="shared" ref="U7:U15" si="1">H7</f>
        <v>0</v>
      </c>
      <c r="V7" s="710" t="s">
        <v>17</v>
      </c>
      <c r="W7" s="711">
        <f t="shared" ref="W7:W15" si="2">J7</f>
        <v>0</v>
      </c>
      <c r="X7" s="712"/>
      <c r="Y7" s="3498" t="s">
        <v>2129</v>
      </c>
      <c r="Z7" s="349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8" t="s">
        <v>2132</v>
      </c>
      <c r="Q8" s="3499"/>
      <c r="R8" s="710" t="s">
        <v>17</v>
      </c>
      <c r="S8" s="711">
        <f t="shared" si="0"/>
        <v>0</v>
      </c>
      <c r="T8" s="710" t="s">
        <v>17</v>
      </c>
      <c r="U8" s="711">
        <f t="shared" si="1"/>
        <v>0</v>
      </c>
      <c r="V8" s="710" t="s">
        <v>17</v>
      </c>
      <c r="W8" s="711">
        <f t="shared" si="2"/>
        <v>0</v>
      </c>
      <c r="X8" s="712"/>
      <c r="Y8" s="3498" t="s">
        <v>2132</v>
      </c>
      <c r="Z8" s="349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2"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2"/>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2"/>
      <c r="Q11" s="1478"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62"/>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62"/>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62"/>
      <c r="Q14" s="1478">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4" t="s">
        <v>2140</v>
      </c>
      <c r="Q15" s="1487" t="str">
        <f t="shared" si="6"/>
        <v>产业集聚程度</v>
      </c>
      <c r="R15" s="714" t="s">
        <v>17</v>
      </c>
      <c r="S15" s="715">
        <f t="shared" si="0"/>
        <v>100</v>
      </c>
      <c r="T15" s="714" t="s">
        <v>17</v>
      </c>
      <c r="U15" s="715">
        <f t="shared" si="1"/>
        <v>100</v>
      </c>
      <c r="V15" s="714" t="s">
        <v>17</v>
      </c>
      <c r="W15" s="715">
        <f t="shared" si="2"/>
        <v>100</v>
      </c>
      <c r="X15" s="1490"/>
      <c r="Y15" s="346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5"/>
      <c r="Q16" s="1487"/>
      <c r="R16" s="714"/>
      <c r="S16" s="715"/>
      <c r="T16" s="714"/>
      <c r="U16" s="715"/>
      <c r="V16" s="714"/>
      <c r="W16" s="715"/>
      <c r="X16" s="1490"/>
      <c r="Y16" s="3465"/>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5"/>
      <c r="Q17" s="1487" t="str">
        <f>B17</f>
        <v>交通便捷度</v>
      </c>
      <c r="R17" s="714" t="s">
        <v>17</v>
      </c>
      <c r="S17" s="715">
        <f>F17</f>
        <v>100</v>
      </c>
      <c r="T17" s="714" t="s">
        <v>17</v>
      </c>
      <c r="U17" s="715">
        <f>H17</f>
        <v>100</v>
      </c>
      <c r="V17" s="714" t="s">
        <v>17</v>
      </c>
      <c r="W17" s="715">
        <f>J17</f>
        <v>100</v>
      </c>
      <c r="X17" s="1490"/>
      <c r="Y17" s="346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5"/>
      <c r="Q18" s="1487"/>
      <c r="R18" s="714"/>
      <c r="S18" s="715"/>
      <c r="T18" s="714"/>
      <c r="U18" s="715"/>
      <c r="V18" s="714"/>
      <c r="W18" s="715"/>
      <c r="X18" s="1490"/>
      <c r="Y18" s="3465"/>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5"/>
      <c r="Q19" s="1487" t="str">
        <f>B19</f>
        <v>公共配套设施</v>
      </c>
      <c r="R19" s="714" t="s">
        <v>17</v>
      </c>
      <c r="S19" s="715">
        <f>F19</f>
        <v>100</v>
      </c>
      <c r="T19" s="714" t="s">
        <v>17</v>
      </c>
      <c r="U19" s="715">
        <f>H19</f>
        <v>100</v>
      </c>
      <c r="V19" s="714" t="s">
        <v>17</v>
      </c>
      <c r="W19" s="715">
        <f>J19</f>
        <v>100</v>
      </c>
      <c r="X19" s="1490"/>
      <c r="Y19" s="346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5"/>
      <c r="Q20" s="1487"/>
      <c r="R20" s="714"/>
      <c r="S20" s="715"/>
      <c r="T20" s="714"/>
      <c r="U20" s="715"/>
      <c r="V20" s="714"/>
      <c r="W20" s="715"/>
      <c r="X20" s="1490"/>
      <c r="Y20" s="3465"/>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5"/>
      <c r="Q21" s="1487" t="str">
        <f>B21</f>
        <v>基础设施水平</v>
      </c>
      <c r="R21" s="714" t="s">
        <v>17</v>
      </c>
      <c r="S21" s="715">
        <f>F21</f>
        <v>100</v>
      </c>
      <c r="T21" s="714" t="s">
        <v>17</v>
      </c>
      <c r="U21" s="715">
        <f>H21</f>
        <v>100</v>
      </c>
      <c r="V21" s="714" t="s">
        <v>17</v>
      </c>
      <c r="W21" s="715">
        <f>J21</f>
        <v>100</v>
      </c>
      <c r="X21" s="1490"/>
      <c r="Y21" s="346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5"/>
      <c r="Q22" s="1487"/>
      <c r="R22" s="714"/>
      <c r="S22" s="715"/>
      <c r="T22" s="714"/>
      <c r="U22" s="715"/>
      <c r="V22" s="714"/>
      <c r="W22" s="715"/>
      <c r="X22" s="1490"/>
      <c r="Y22" s="3465"/>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5"/>
      <c r="Q23" s="1487" t="str">
        <f>B23</f>
        <v>环境质量</v>
      </c>
      <c r="R23" s="714" t="s">
        <v>17</v>
      </c>
      <c r="S23" s="715">
        <f>F23</f>
        <v>100</v>
      </c>
      <c r="T23" s="714" t="s">
        <v>17</v>
      </c>
      <c r="U23" s="715">
        <f>H23</f>
        <v>100</v>
      </c>
      <c r="V23" s="714" t="s">
        <v>17</v>
      </c>
      <c r="W23" s="715">
        <f>J23</f>
        <v>100</v>
      </c>
      <c r="X23" s="1490"/>
      <c r="Y23" s="346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5"/>
      <c r="Q24" s="1487"/>
      <c r="R24" s="714"/>
      <c r="S24" s="715"/>
      <c r="T24" s="714"/>
      <c r="U24" s="715"/>
      <c r="V24" s="714"/>
      <c r="W24" s="715"/>
      <c r="X24" s="1490"/>
      <c r="Y24" s="346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5"/>
      <c r="Q25" s="1487">
        <f>B25</f>
        <v>111</v>
      </c>
      <c r="R25" s="714" t="s">
        <v>17</v>
      </c>
      <c r="S25" s="715">
        <f>F25</f>
        <v>100</v>
      </c>
      <c r="T25" s="714" t="s">
        <v>17</v>
      </c>
      <c r="U25" s="715">
        <f>H25</f>
        <v>100</v>
      </c>
      <c r="V25" s="714" t="s">
        <v>17</v>
      </c>
      <c r="W25" s="715">
        <f>J25</f>
        <v>100</v>
      </c>
      <c r="X25" s="1490"/>
      <c r="Y25" s="346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5"/>
      <c r="Q26" s="1487">
        <f t="shared" ref="Q26:Q40" si="11">B26</f>
        <v>111</v>
      </c>
      <c r="R26" s="714" t="s">
        <v>17</v>
      </c>
      <c r="S26" s="715">
        <f>F26</f>
        <v>100</v>
      </c>
      <c r="T26" s="714" t="s">
        <v>17</v>
      </c>
      <c r="U26" s="715">
        <f>H26</f>
        <v>100</v>
      </c>
      <c r="V26" s="714" t="s">
        <v>17</v>
      </c>
      <c r="W26" s="715">
        <f>J26</f>
        <v>100</v>
      </c>
      <c r="X26" s="1490"/>
      <c r="Y26" s="346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5"/>
      <c r="Q27" s="1478">
        <f t="shared" si="11"/>
        <v>111</v>
      </c>
      <c r="R27" s="710" t="s">
        <v>17</v>
      </c>
      <c r="S27" s="711">
        <f>F27</f>
        <v>100</v>
      </c>
      <c r="T27" s="710" t="s">
        <v>17</v>
      </c>
      <c r="U27" s="711">
        <f>H27</f>
        <v>100</v>
      </c>
      <c r="V27" s="710" t="s">
        <v>17</v>
      </c>
      <c r="W27" s="711">
        <f>J27</f>
        <v>100</v>
      </c>
      <c r="X27" s="712"/>
      <c r="Y27" s="346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5"/>
      <c r="Q28" s="1487">
        <f t="shared" si="11"/>
        <v>111</v>
      </c>
      <c r="R28" s="714" t="s">
        <v>17</v>
      </c>
      <c r="S28" s="715">
        <f t="shared" ref="S28:S40" si="12">F28</f>
        <v>100</v>
      </c>
      <c r="T28" s="714" t="s">
        <v>17</v>
      </c>
      <c r="U28" s="715">
        <f t="shared" ref="U28:U40" si="13">H28</f>
        <v>100</v>
      </c>
      <c r="V28" s="714" t="s">
        <v>17</v>
      </c>
      <c r="W28" s="715">
        <f t="shared" ref="W28:W40" si="14">J28</f>
        <v>100</v>
      </c>
      <c r="X28" s="1490"/>
      <c r="Y28" s="3465"/>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20" t="s">
        <v>2145</v>
      </c>
      <c r="Q29" s="1487" t="str">
        <f t="shared" si="11"/>
        <v>建筑类型</v>
      </c>
      <c r="R29" s="714" t="s">
        <v>17</v>
      </c>
      <c r="S29" s="715">
        <f t="shared" si="12"/>
        <v>100</v>
      </c>
      <c r="T29" s="714" t="s">
        <v>17</v>
      </c>
      <c r="U29" s="715">
        <f t="shared" si="13"/>
        <v>100</v>
      </c>
      <c r="V29" s="714" t="s">
        <v>17</v>
      </c>
      <c r="W29" s="715">
        <f t="shared" si="14"/>
        <v>100</v>
      </c>
      <c r="X29" s="1490"/>
      <c r="Y29" s="346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9"/>
      <c r="Q30" s="716" t="str">
        <f t="shared" si="11"/>
        <v>项目建筑规模</v>
      </c>
      <c r="R30" s="717" t="s">
        <v>17</v>
      </c>
      <c r="S30" s="718" t="e">
        <f t="shared" si="12"/>
        <v>#N/A</v>
      </c>
      <c r="T30" s="717" t="s">
        <v>17</v>
      </c>
      <c r="U30" s="718" t="e">
        <f t="shared" si="13"/>
        <v>#N/A</v>
      </c>
      <c r="V30" s="717" t="s">
        <v>17</v>
      </c>
      <c r="W30" s="718" t="e">
        <f t="shared" si="14"/>
        <v>#N/A</v>
      </c>
      <c r="X30" s="719"/>
      <c r="Y30" s="346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9"/>
      <c r="Q31" s="1487" t="str">
        <f t="shared" si="11"/>
        <v>建筑结构</v>
      </c>
      <c r="R31" s="714" t="s">
        <v>17</v>
      </c>
      <c r="S31" s="715">
        <f t="shared" si="12"/>
        <v>100</v>
      </c>
      <c r="T31" s="714" t="s">
        <v>17</v>
      </c>
      <c r="U31" s="715">
        <f t="shared" si="13"/>
        <v>100</v>
      </c>
      <c r="V31" s="714" t="s">
        <v>17</v>
      </c>
      <c r="W31" s="715">
        <f t="shared" si="14"/>
        <v>100</v>
      </c>
      <c r="X31" s="1490"/>
      <c r="Y31" s="346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9"/>
      <c r="Q32" s="1487" t="str">
        <f t="shared" si="11"/>
        <v>公共部分装修</v>
      </c>
      <c r="R32" s="714" t="s">
        <v>17</v>
      </c>
      <c r="S32" s="715">
        <f t="shared" si="12"/>
        <v>100</v>
      </c>
      <c r="T32" s="714" t="s">
        <v>17</v>
      </c>
      <c r="U32" s="715">
        <f t="shared" si="13"/>
        <v>100</v>
      </c>
      <c r="V32" s="714" t="s">
        <v>17</v>
      </c>
      <c r="W32" s="715">
        <f t="shared" si="14"/>
        <v>100</v>
      </c>
      <c r="X32" s="1490"/>
      <c r="Y32" s="346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9"/>
      <c r="Q33" s="1487" t="str">
        <f t="shared" si="11"/>
        <v>成新度</v>
      </c>
      <c r="R33" s="714" t="s">
        <v>17</v>
      </c>
      <c r="S33" s="715" t="e">
        <f t="shared" si="12"/>
        <v>#N/A</v>
      </c>
      <c r="T33" s="714" t="s">
        <v>17</v>
      </c>
      <c r="U33" s="715" t="e">
        <f t="shared" si="13"/>
        <v>#N/A</v>
      </c>
      <c r="V33" s="714" t="s">
        <v>17</v>
      </c>
      <c r="W33" s="715" t="e">
        <f t="shared" si="14"/>
        <v>#N/A</v>
      </c>
      <c r="X33" s="1490"/>
      <c r="Y33" s="346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9"/>
      <c r="Q34" s="1478" t="str">
        <f t="shared" si="11"/>
        <v>物业管理</v>
      </c>
      <c r="R34" s="710" t="s">
        <v>17</v>
      </c>
      <c r="S34" s="711">
        <f t="shared" si="12"/>
        <v>100</v>
      </c>
      <c r="T34" s="710" t="s">
        <v>17</v>
      </c>
      <c r="U34" s="711">
        <f t="shared" si="13"/>
        <v>100</v>
      </c>
      <c r="V34" s="710" t="s">
        <v>17</v>
      </c>
      <c r="W34" s="711">
        <f t="shared" si="14"/>
        <v>100</v>
      </c>
      <c r="X34" s="712"/>
      <c r="Y34" s="346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9" t="s">
        <v>2145</v>
      </c>
      <c r="Q35" s="1487" t="str">
        <f t="shared" si="11"/>
        <v>市政基础设施</v>
      </c>
      <c r="R35" s="714" t="s">
        <v>17</v>
      </c>
      <c r="S35" s="715">
        <f t="shared" si="12"/>
        <v>100</v>
      </c>
      <c r="T35" s="714" t="s">
        <v>17</v>
      </c>
      <c r="U35" s="715">
        <f t="shared" si="13"/>
        <v>100</v>
      </c>
      <c r="V35" s="714" t="s">
        <v>17</v>
      </c>
      <c r="W35" s="715">
        <f t="shared" si="14"/>
        <v>100</v>
      </c>
      <c r="X35" s="1490"/>
      <c r="Y35" s="346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9"/>
      <c r="Q36" s="1487" t="str">
        <f t="shared" si="11"/>
        <v>内部装修</v>
      </c>
      <c r="R36" s="714" t="s">
        <v>17</v>
      </c>
      <c r="S36" s="715">
        <f t="shared" si="12"/>
        <v>100</v>
      </c>
      <c r="T36" s="714" t="s">
        <v>17</v>
      </c>
      <c r="U36" s="715">
        <f t="shared" si="13"/>
        <v>100</v>
      </c>
      <c r="V36" s="714" t="s">
        <v>17</v>
      </c>
      <c r="W36" s="715">
        <f t="shared" si="14"/>
        <v>100</v>
      </c>
      <c r="X36" s="1490"/>
      <c r="Y36" s="346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9"/>
      <c r="Q37" s="1487" t="str">
        <f t="shared" si="11"/>
        <v>内部装修状况</v>
      </c>
      <c r="R37" s="714" t="s">
        <v>17</v>
      </c>
      <c r="S37" s="715">
        <f t="shared" si="12"/>
        <v>100</v>
      </c>
      <c r="T37" s="714" t="s">
        <v>17</v>
      </c>
      <c r="U37" s="715">
        <f t="shared" si="13"/>
        <v>100</v>
      </c>
      <c r="V37" s="714" t="s">
        <v>17</v>
      </c>
      <c r="W37" s="715">
        <f t="shared" si="14"/>
        <v>100</v>
      </c>
      <c r="X37" s="1490"/>
      <c r="Y37" s="346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9"/>
      <c r="Q38" s="716">
        <f t="shared" si="11"/>
        <v>111</v>
      </c>
      <c r="R38" s="717" t="s">
        <v>17</v>
      </c>
      <c r="S38" s="718">
        <f t="shared" si="12"/>
        <v>100</v>
      </c>
      <c r="T38" s="717" t="s">
        <v>17</v>
      </c>
      <c r="U38" s="718">
        <f t="shared" si="13"/>
        <v>100</v>
      </c>
      <c r="V38" s="717" t="s">
        <v>17</v>
      </c>
      <c r="W38" s="718">
        <f t="shared" si="14"/>
        <v>100</v>
      </c>
      <c r="X38" s="719"/>
      <c r="Y38" s="346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9"/>
      <c r="Q39" s="1487">
        <f t="shared" si="11"/>
        <v>111</v>
      </c>
      <c r="R39" s="714" t="s">
        <v>17</v>
      </c>
      <c r="S39" s="715">
        <f t="shared" si="12"/>
        <v>100</v>
      </c>
      <c r="T39" s="714" t="s">
        <v>17</v>
      </c>
      <c r="U39" s="715">
        <f t="shared" si="13"/>
        <v>100</v>
      </c>
      <c r="V39" s="714" t="s">
        <v>17</v>
      </c>
      <c r="W39" s="715">
        <f t="shared" si="14"/>
        <v>100</v>
      </c>
      <c r="X39" s="1490"/>
      <c r="Y39" s="346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70"/>
      <c r="Q40" s="1487">
        <f t="shared" si="11"/>
        <v>111</v>
      </c>
      <c r="R40" s="714" t="s">
        <v>17</v>
      </c>
      <c r="S40" s="715">
        <f t="shared" si="12"/>
        <v>100</v>
      </c>
      <c r="T40" s="714" t="s">
        <v>17</v>
      </c>
      <c r="U40" s="715">
        <f t="shared" si="13"/>
        <v>100</v>
      </c>
      <c r="V40" s="714" t="s">
        <v>17</v>
      </c>
      <c r="W40" s="715">
        <f t="shared" si="14"/>
        <v>100</v>
      </c>
      <c r="X40" s="1490"/>
      <c r="Y40" s="347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62" t="str">
        <f>A41</f>
        <v>成交单价（元/平方米）</v>
      </c>
      <c r="Q41" s="3462"/>
      <c r="R41" s="3463">
        <f>E41</f>
        <v>0</v>
      </c>
      <c r="S41" s="3463"/>
      <c r="T41" s="3463">
        <f>G41</f>
        <v>0</v>
      </c>
      <c r="U41" s="3463"/>
      <c r="V41" s="3463">
        <f>I41</f>
        <v>0</v>
      </c>
      <c r="W41" s="3463"/>
      <c r="X41" s="699"/>
      <c r="Y41" s="721"/>
      <c r="Z41" s="699"/>
      <c r="AA41" s="699"/>
      <c r="AB41" s="699"/>
      <c r="AC41" s="699"/>
    </row>
    <row r="42" spans="1:29" ht="15.75" thickBot="1">
      <c r="A42" s="445" t="s">
        <v>2249</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62" t="str">
        <f>A42</f>
        <v>比较价值（元/平方米）</v>
      </c>
      <c r="Q42" s="3462"/>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59" t="str">
        <f>A43</f>
        <v>估价对象XX用房的比较价值（楼面单价，元/平方米）</v>
      </c>
      <c r="Q43" s="3460"/>
      <c r="R43" s="3461" t="e">
        <f>IF(F1="售价",ROUND(IF(D42="简单平均",AVERAGE(R42:V42),R42*F42+T42*H42+V42*J42),0),ROUND(IF(D42="简单平均",AVERAGE(R42:V42),R42*F42+T42*H42+V42*J42),1))</f>
        <v>#DIV/0!</v>
      </c>
      <c r="S43" s="3461"/>
      <c r="T43" s="3461"/>
      <c r="U43" s="3461"/>
      <c r="V43" s="3461"/>
      <c r="W43" s="3461"/>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7"/>
      <c r="O54" s="2948"/>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2225</v>
      </c>
      <c r="B4" s="362"/>
      <c r="C4" s="3477" t="s">
        <v>2226</v>
      </c>
      <c r="D4" s="3478"/>
      <c r="E4" s="3479" t="s">
        <v>2227</v>
      </c>
      <c r="F4" s="3480"/>
      <c r="G4" s="3477" t="s">
        <v>2228</v>
      </c>
      <c r="H4" s="3478"/>
      <c r="I4" s="3477" t="s">
        <v>2229</v>
      </c>
      <c r="J4" s="3478"/>
      <c r="K4" s="567" t="s">
        <v>2230</v>
      </c>
      <c r="L4" s="2892"/>
      <c r="M4" s="2893"/>
      <c r="N4" s="2893"/>
      <c r="O4" s="2893"/>
      <c r="P4" s="3481" t="s">
        <v>2231</v>
      </c>
      <c r="Q4" s="3482"/>
      <c r="R4" s="3487" t="s">
        <v>2227</v>
      </c>
      <c r="S4" s="3488"/>
      <c r="T4" s="3487" t="s">
        <v>2228</v>
      </c>
      <c r="U4" s="3488"/>
      <c r="V4" s="3493" t="s">
        <v>2229</v>
      </c>
      <c r="W4" s="3493"/>
      <c r="X4" s="1490"/>
      <c r="Y4" s="3487" t="s">
        <v>2231</v>
      </c>
      <c r="Z4" s="3488"/>
      <c r="AA4" s="3474" t="s">
        <v>2227</v>
      </c>
      <c r="AB4" s="3475" t="s">
        <v>2228</v>
      </c>
      <c r="AC4" s="3474" t="s">
        <v>2229</v>
      </c>
    </row>
    <row r="5" spans="1:29" ht="15">
      <c r="A5" s="364"/>
      <c r="B5" s="365"/>
      <c r="C5" s="3496" t="s">
        <v>2122</v>
      </c>
      <c r="D5" s="3497"/>
      <c r="E5" s="3503" t="s">
        <v>2123</v>
      </c>
      <c r="F5" s="3504"/>
      <c r="G5" s="3496" t="s">
        <v>2124</v>
      </c>
      <c r="H5" s="3497"/>
      <c r="I5" s="3496" t="s">
        <v>2125</v>
      </c>
      <c r="J5" s="3497"/>
      <c r="K5" s="567"/>
      <c r="L5" s="2892"/>
      <c r="M5" s="2893"/>
      <c r="N5" s="2893"/>
      <c r="O5" s="2893"/>
      <c r="P5" s="3483"/>
      <c r="Q5" s="3484"/>
      <c r="R5" s="3489"/>
      <c r="S5" s="3490"/>
      <c r="T5" s="3489"/>
      <c r="U5" s="3490"/>
      <c r="V5" s="3493"/>
      <c r="W5" s="3493"/>
      <c r="X5" s="1490"/>
      <c r="Y5" s="3489"/>
      <c r="Z5" s="3490"/>
      <c r="AA5" s="3475"/>
      <c r="AB5" s="3475"/>
      <c r="AC5" s="3475"/>
    </row>
    <row r="6" spans="1:29" ht="15.75" thickBot="1">
      <c r="A6" s="366"/>
      <c r="B6" s="367"/>
      <c r="C6" s="3494" t="s">
        <v>2126</v>
      </c>
      <c r="D6" s="3495"/>
      <c r="E6" s="3501" t="s">
        <v>2126</v>
      </c>
      <c r="F6" s="3502"/>
      <c r="G6" s="3494" t="s">
        <v>2126</v>
      </c>
      <c r="H6" s="3495"/>
      <c r="I6" s="3494" t="s">
        <v>2126</v>
      </c>
      <c r="J6" s="3495"/>
      <c r="K6" s="567" t="s">
        <v>2127</v>
      </c>
      <c r="L6" s="2892"/>
      <c r="M6" s="2893"/>
      <c r="N6" s="2893"/>
      <c r="O6" s="2893"/>
      <c r="P6" s="3485"/>
      <c r="Q6" s="3486"/>
      <c r="R6" s="3489"/>
      <c r="S6" s="3490"/>
      <c r="T6" s="3491"/>
      <c r="U6" s="3492"/>
      <c r="V6" s="3493"/>
      <c r="W6" s="3493"/>
      <c r="X6" s="1490"/>
      <c r="Y6" s="3491"/>
      <c r="Z6" s="3492"/>
      <c r="AA6" s="3476"/>
      <c r="AB6" s="3476"/>
      <c r="AC6" s="3476"/>
    </row>
    <row r="7" spans="1:29" s="113" customFormat="1" ht="15.75" thickBot="1">
      <c r="A7" s="368" t="s">
        <v>2128</v>
      </c>
      <c r="B7" s="369"/>
      <c r="C7" s="370">
        <f>'数据-取费表'!B2</f>
        <v>44804</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98" t="s">
        <v>2129</v>
      </c>
      <c r="Q7" s="3500"/>
      <c r="R7" s="710" t="s">
        <v>17</v>
      </c>
      <c r="S7" s="711">
        <f t="shared" ref="S7:S14" si="0">F7</f>
        <v>0</v>
      </c>
      <c r="T7" s="710" t="s">
        <v>17</v>
      </c>
      <c r="U7" s="711">
        <f t="shared" ref="U7:U14" si="1">H7</f>
        <v>0</v>
      </c>
      <c r="V7" s="710" t="s">
        <v>17</v>
      </c>
      <c r="W7" s="711">
        <f t="shared" ref="W7:W14" si="2">J7</f>
        <v>0</v>
      </c>
      <c r="X7" s="712"/>
      <c r="Y7" s="3498" t="s">
        <v>2129</v>
      </c>
      <c r="Z7" s="349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98" t="s">
        <v>2132</v>
      </c>
      <c r="Q8" s="3499"/>
      <c r="R8" s="710" t="s">
        <v>17</v>
      </c>
      <c r="S8" s="711">
        <f t="shared" si="0"/>
        <v>0</v>
      </c>
      <c r="T8" s="710" t="s">
        <v>17</v>
      </c>
      <c r="U8" s="711">
        <f t="shared" si="1"/>
        <v>0</v>
      </c>
      <c r="V8" s="710" t="s">
        <v>17</v>
      </c>
      <c r="W8" s="711">
        <f t="shared" si="2"/>
        <v>0</v>
      </c>
      <c r="X8" s="712"/>
      <c r="Y8" s="3498" t="s">
        <v>2132</v>
      </c>
      <c r="Z8" s="349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62" t="s">
        <v>2135</v>
      </c>
      <c r="Q9" s="1478" t="str">
        <f t="shared" ref="Q9:Q14" si="6">B9</f>
        <v>用途</v>
      </c>
      <c r="R9" s="710" t="s">
        <v>17</v>
      </c>
      <c r="S9" s="711">
        <f t="shared" si="0"/>
        <v>100</v>
      </c>
      <c r="T9" s="710" t="s">
        <v>17</v>
      </c>
      <c r="U9" s="711">
        <f t="shared" si="1"/>
        <v>100</v>
      </c>
      <c r="V9" s="710" t="s">
        <v>17</v>
      </c>
      <c r="W9" s="711">
        <f t="shared" si="2"/>
        <v>100</v>
      </c>
      <c r="X9" s="712"/>
      <c r="Y9" s="333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62"/>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62"/>
      <c r="Q11" s="1478">
        <f t="shared" si="6"/>
        <v>111</v>
      </c>
      <c r="R11" s="710" t="s">
        <v>17</v>
      </c>
      <c r="S11" s="711">
        <f t="shared" si="0"/>
        <v>100</v>
      </c>
      <c r="T11" s="710" t="s">
        <v>17</v>
      </c>
      <c r="U11" s="711">
        <f t="shared" si="1"/>
        <v>100</v>
      </c>
      <c r="V11" s="710" t="s">
        <v>17</v>
      </c>
      <c r="W11" s="711">
        <f t="shared" si="2"/>
        <v>100</v>
      </c>
      <c r="X11" s="712"/>
      <c r="Y11" s="333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62"/>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62"/>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64" t="s">
        <v>2140</v>
      </c>
      <c r="Q14" s="1487" t="str">
        <f t="shared" si="6"/>
        <v>交通便捷度</v>
      </c>
      <c r="R14" s="714" t="s">
        <v>17</v>
      </c>
      <c r="S14" s="715">
        <f t="shared" si="0"/>
        <v>100</v>
      </c>
      <c r="T14" s="714" t="s">
        <v>17</v>
      </c>
      <c r="U14" s="715">
        <f t="shared" si="1"/>
        <v>100</v>
      </c>
      <c r="V14" s="714" t="s">
        <v>17</v>
      </c>
      <c r="W14" s="715">
        <f t="shared" si="2"/>
        <v>100</v>
      </c>
      <c r="X14" s="1490"/>
      <c r="Y14" s="346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9"/>
      <c r="M15" s="2893"/>
      <c r="N15" s="2893"/>
      <c r="O15" s="2893"/>
      <c r="P15" s="3465"/>
      <c r="Q15" s="1487"/>
      <c r="R15" s="714"/>
      <c r="S15" s="715"/>
      <c r="T15" s="714"/>
      <c r="U15" s="715"/>
      <c r="V15" s="714"/>
      <c r="W15" s="715"/>
      <c r="X15" s="1490"/>
      <c r="Y15" s="3465"/>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65"/>
      <c r="Q16" s="1487" t="str">
        <f>B16</f>
        <v>公共配套设施</v>
      </c>
      <c r="R16" s="714" t="s">
        <v>17</v>
      </c>
      <c r="S16" s="715">
        <f>F16</f>
        <v>100</v>
      </c>
      <c r="T16" s="714" t="s">
        <v>17</v>
      </c>
      <c r="U16" s="715">
        <f>H16</f>
        <v>100</v>
      </c>
      <c r="V16" s="714" t="s">
        <v>17</v>
      </c>
      <c r="W16" s="715">
        <f>J16</f>
        <v>100</v>
      </c>
      <c r="X16" s="1490"/>
      <c r="Y16" s="346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9"/>
      <c r="M17" s="2893"/>
      <c r="N17" s="2893"/>
      <c r="O17" s="2893"/>
      <c r="P17" s="3465"/>
      <c r="Q17" s="1487"/>
      <c r="R17" s="714"/>
      <c r="S17" s="715"/>
      <c r="T17" s="714"/>
      <c r="U17" s="715"/>
      <c r="V17" s="714"/>
      <c r="W17" s="715"/>
      <c r="X17" s="1490"/>
      <c r="Y17" s="3465"/>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65"/>
      <c r="Q18" s="1487" t="str">
        <f>B18</f>
        <v>基础设施水平</v>
      </c>
      <c r="R18" s="714" t="s">
        <v>17</v>
      </c>
      <c r="S18" s="715">
        <f>F18</f>
        <v>100</v>
      </c>
      <c r="T18" s="714" t="s">
        <v>17</v>
      </c>
      <c r="U18" s="715">
        <f>H18</f>
        <v>100</v>
      </c>
      <c r="V18" s="714" t="s">
        <v>17</v>
      </c>
      <c r="W18" s="715">
        <f>J18</f>
        <v>100</v>
      </c>
      <c r="X18" s="1490"/>
      <c r="Y18" s="346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9"/>
      <c r="M19" s="2893"/>
      <c r="N19" s="2893"/>
      <c r="O19" s="2893"/>
      <c r="P19" s="3465"/>
      <c r="Q19" s="1487"/>
      <c r="R19" s="714"/>
      <c r="S19" s="715"/>
      <c r="T19" s="714"/>
      <c r="U19" s="715"/>
      <c r="V19" s="714"/>
      <c r="W19" s="715"/>
      <c r="X19" s="1490"/>
      <c r="Y19" s="3465"/>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65"/>
      <c r="Q20" s="1487" t="str">
        <f>B20</f>
        <v>自然及人文环境</v>
      </c>
      <c r="R20" s="714" t="s">
        <v>17</v>
      </c>
      <c r="S20" s="715">
        <f>F20</f>
        <v>100</v>
      </c>
      <c r="T20" s="714" t="s">
        <v>17</v>
      </c>
      <c r="U20" s="715">
        <f>H20</f>
        <v>100</v>
      </c>
      <c r="V20" s="714" t="s">
        <v>17</v>
      </c>
      <c r="W20" s="715">
        <f>J20</f>
        <v>100</v>
      </c>
      <c r="X20" s="1490"/>
      <c r="Y20" s="346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9"/>
      <c r="M21" s="2893"/>
      <c r="N21" s="2893"/>
      <c r="O21" s="2893"/>
      <c r="P21" s="3465"/>
      <c r="Q21" s="1487"/>
      <c r="R21" s="714"/>
      <c r="S21" s="715"/>
      <c r="T21" s="714"/>
      <c r="U21" s="715"/>
      <c r="V21" s="714"/>
      <c r="W21" s="715"/>
      <c r="X21" s="1490"/>
      <c r="Y21" s="346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65"/>
      <c r="Q22" s="1487" t="str">
        <f>B22</f>
        <v>楼层</v>
      </c>
      <c r="R22" s="714" t="s">
        <v>17</v>
      </c>
      <c r="S22" s="715">
        <f>F22</f>
        <v>100</v>
      </c>
      <c r="T22" s="714" t="s">
        <v>17</v>
      </c>
      <c r="U22" s="715">
        <f>H22</f>
        <v>100</v>
      </c>
      <c r="V22" s="714" t="s">
        <v>17</v>
      </c>
      <c r="W22" s="715">
        <f>J22</f>
        <v>100</v>
      </c>
      <c r="X22" s="1490"/>
      <c r="Y22" s="346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65"/>
      <c r="Q23" s="1487">
        <f>B23</f>
        <v>111</v>
      </c>
      <c r="R23" s="714" t="s">
        <v>17</v>
      </c>
      <c r="S23" s="715">
        <f>F23</f>
        <v>100</v>
      </c>
      <c r="T23" s="714" t="s">
        <v>17</v>
      </c>
      <c r="U23" s="715">
        <f>H23</f>
        <v>100</v>
      </c>
      <c r="V23" s="714" t="s">
        <v>17</v>
      </c>
      <c r="W23" s="715">
        <f>J23</f>
        <v>100</v>
      </c>
      <c r="X23" s="1490"/>
      <c r="Y23" s="346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65"/>
      <c r="Q24" s="1487">
        <f t="shared" ref="Q24:Q36" si="11">B24</f>
        <v>111</v>
      </c>
      <c r="R24" s="714" t="s">
        <v>17</v>
      </c>
      <c r="S24" s="715">
        <f>F24</f>
        <v>100</v>
      </c>
      <c r="T24" s="714" t="s">
        <v>17</v>
      </c>
      <c r="U24" s="715">
        <f>H24</f>
        <v>100</v>
      </c>
      <c r="V24" s="714" t="s">
        <v>17</v>
      </c>
      <c r="W24" s="715">
        <f>J24</f>
        <v>100</v>
      </c>
      <c r="X24" s="1490"/>
      <c r="Y24" s="346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65"/>
      <c r="Q25" s="1478">
        <f t="shared" si="11"/>
        <v>111</v>
      </c>
      <c r="R25" s="710" t="s">
        <v>17</v>
      </c>
      <c r="S25" s="711">
        <f>F25</f>
        <v>100</v>
      </c>
      <c r="T25" s="710" t="s">
        <v>17</v>
      </c>
      <c r="U25" s="711">
        <f>H25</f>
        <v>100</v>
      </c>
      <c r="V25" s="710" t="s">
        <v>17</v>
      </c>
      <c r="W25" s="711">
        <f>J25</f>
        <v>100</v>
      </c>
      <c r="X25" s="712"/>
      <c r="Y25" s="3465"/>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2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69"/>
      <c r="Q27" s="716" t="str">
        <f t="shared" si="11"/>
        <v>项目停车位配比</v>
      </c>
      <c r="R27" s="717" t="s">
        <v>17</v>
      </c>
      <c r="S27" s="718">
        <f t="shared" si="12"/>
        <v>100</v>
      </c>
      <c r="T27" s="717" t="s">
        <v>17</v>
      </c>
      <c r="U27" s="718">
        <f t="shared" si="13"/>
        <v>100</v>
      </c>
      <c r="V27" s="717" t="s">
        <v>17</v>
      </c>
      <c r="W27" s="718">
        <f t="shared" si="14"/>
        <v>100</v>
      </c>
      <c r="X27" s="719"/>
      <c r="Y27" s="346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69"/>
      <c r="Q28" s="1487" t="str">
        <f t="shared" si="11"/>
        <v>公共部分装修</v>
      </c>
      <c r="R28" s="714" t="s">
        <v>17</v>
      </c>
      <c r="S28" s="715">
        <f t="shared" si="12"/>
        <v>100</v>
      </c>
      <c r="T28" s="714" t="s">
        <v>17</v>
      </c>
      <c r="U28" s="715">
        <f t="shared" si="13"/>
        <v>100</v>
      </c>
      <c r="V28" s="714" t="s">
        <v>17</v>
      </c>
      <c r="W28" s="715">
        <f t="shared" si="14"/>
        <v>100</v>
      </c>
      <c r="X28" s="1490"/>
      <c r="Y28" s="346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69"/>
      <c r="Q29" s="1487" t="str">
        <f t="shared" si="11"/>
        <v>成新率</v>
      </c>
      <c r="R29" s="714" t="s">
        <v>17</v>
      </c>
      <c r="S29" s="715" t="e">
        <f t="shared" si="12"/>
        <v>#N/A</v>
      </c>
      <c r="T29" s="714" t="s">
        <v>17</v>
      </c>
      <c r="U29" s="715" t="e">
        <f t="shared" si="13"/>
        <v>#N/A</v>
      </c>
      <c r="V29" s="714" t="s">
        <v>17</v>
      </c>
      <c r="W29" s="715" t="e">
        <f t="shared" si="14"/>
        <v>#N/A</v>
      </c>
      <c r="X29" s="1490"/>
      <c r="Y29" s="346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69"/>
      <c r="Q30" s="1487" t="str">
        <f t="shared" si="11"/>
        <v>物业等级</v>
      </c>
      <c r="R30" s="714" t="s">
        <v>17</v>
      </c>
      <c r="S30" s="715">
        <f t="shared" si="12"/>
        <v>100</v>
      </c>
      <c r="T30" s="714" t="s">
        <v>17</v>
      </c>
      <c r="U30" s="715">
        <f t="shared" si="13"/>
        <v>100</v>
      </c>
      <c r="V30" s="714" t="s">
        <v>17</v>
      </c>
      <c r="W30" s="715">
        <f t="shared" si="14"/>
        <v>100</v>
      </c>
      <c r="X30" s="1490"/>
      <c r="Y30" s="346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69"/>
      <c r="Q31" s="1478" t="str">
        <f t="shared" si="11"/>
        <v>停车位面积</v>
      </c>
      <c r="R31" s="710" t="s">
        <v>17</v>
      </c>
      <c r="S31" s="711" t="e">
        <f t="shared" si="12"/>
        <v>#N/A</v>
      </c>
      <c r="T31" s="710" t="s">
        <v>17</v>
      </c>
      <c r="U31" s="711" t="e">
        <f t="shared" si="13"/>
        <v>#N/A</v>
      </c>
      <c r="V31" s="710" t="s">
        <v>17</v>
      </c>
      <c r="W31" s="711" t="e">
        <f t="shared" si="14"/>
        <v>#N/A</v>
      </c>
      <c r="X31" s="712"/>
      <c r="Y31" s="346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69" t="s">
        <v>2145</v>
      </c>
      <c r="Q32" s="1487" t="str">
        <f t="shared" si="11"/>
        <v>车位类型</v>
      </c>
      <c r="R32" s="714" t="s">
        <v>17</v>
      </c>
      <c r="S32" s="715">
        <f t="shared" si="12"/>
        <v>100</v>
      </c>
      <c r="T32" s="714" t="s">
        <v>17</v>
      </c>
      <c r="U32" s="715">
        <f t="shared" si="13"/>
        <v>100</v>
      </c>
      <c r="V32" s="714" t="s">
        <v>17</v>
      </c>
      <c r="W32" s="715">
        <f t="shared" si="14"/>
        <v>100</v>
      </c>
      <c r="X32" s="1490"/>
      <c r="Y32" s="346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69"/>
      <c r="Q33" s="1487" t="str">
        <f t="shared" si="11"/>
        <v>是否直接入户</v>
      </c>
      <c r="R33" s="714" t="s">
        <v>17</v>
      </c>
      <c r="S33" s="715">
        <f t="shared" si="12"/>
        <v>100</v>
      </c>
      <c r="T33" s="714" t="s">
        <v>17</v>
      </c>
      <c r="U33" s="715">
        <f t="shared" si="13"/>
        <v>100</v>
      </c>
      <c r="V33" s="714" t="s">
        <v>17</v>
      </c>
      <c r="W33" s="715">
        <f t="shared" si="14"/>
        <v>100</v>
      </c>
      <c r="X33" s="1490"/>
      <c r="Y33" s="346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69"/>
      <c r="Q34" s="1487">
        <f t="shared" si="11"/>
        <v>111</v>
      </c>
      <c r="R34" s="714" t="s">
        <v>17</v>
      </c>
      <c r="S34" s="715">
        <f t="shared" si="12"/>
        <v>100</v>
      </c>
      <c r="T34" s="714" t="s">
        <v>17</v>
      </c>
      <c r="U34" s="715">
        <f t="shared" si="13"/>
        <v>100</v>
      </c>
      <c r="V34" s="714" t="s">
        <v>17</v>
      </c>
      <c r="W34" s="715">
        <f t="shared" si="14"/>
        <v>100</v>
      </c>
      <c r="X34" s="1490"/>
      <c r="Y34" s="346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69"/>
      <c r="Q35" s="716">
        <f t="shared" si="11"/>
        <v>111</v>
      </c>
      <c r="R35" s="717" t="s">
        <v>17</v>
      </c>
      <c r="S35" s="718">
        <f t="shared" si="12"/>
        <v>100</v>
      </c>
      <c r="T35" s="717" t="s">
        <v>17</v>
      </c>
      <c r="U35" s="718">
        <f t="shared" si="13"/>
        <v>100</v>
      </c>
      <c r="V35" s="717" t="s">
        <v>17</v>
      </c>
      <c r="W35" s="718">
        <f t="shared" si="14"/>
        <v>100</v>
      </c>
      <c r="X35" s="719"/>
      <c r="Y35" s="346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69"/>
      <c r="Q36" s="1487">
        <f t="shared" si="11"/>
        <v>111</v>
      </c>
      <c r="R36" s="714" t="s">
        <v>17</v>
      </c>
      <c r="S36" s="715">
        <f t="shared" si="12"/>
        <v>100</v>
      </c>
      <c r="T36" s="714" t="s">
        <v>17</v>
      </c>
      <c r="U36" s="715">
        <f t="shared" si="13"/>
        <v>100</v>
      </c>
      <c r="V36" s="714" t="s">
        <v>17</v>
      </c>
      <c r="W36" s="715">
        <f t="shared" si="14"/>
        <v>100</v>
      </c>
      <c r="X36" s="1490"/>
      <c r="Y36" s="3469"/>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1"/>
      <c r="M37" s="2902"/>
      <c r="N37" s="2893"/>
      <c r="O37" s="2902"/>
      <c r="P37" s="3462" t="str">
        <f>A37</f>
        <v>成交单价</v>
      </c>
      <c r="Q37" s="3462"/>
      <c r="R37" s="3463">
        <f>E37</f>
        <v>0</v>
      </c>
      <c r="S37" s="3463"/>
      <c r="T37" s="3463">
        <f>G37</f>
        <v>0</v>
      </c>
      <c r="U37" s="3463"/>
      <c r="V37" s="3463">
        <f>I37</f>
        <v>0</v>
      </c>
      <c r="W37" s="3463"/>
      <c r="X37" s="699"/>
      <c r="Y37" s="721"/>
      <c r="Z37" s="699"/>
      <c r="AA37" s="699"/>
      <c r="AB37" s="699"/>
      <c r="AC37" s="699"/>
    </row>
    <row r="38" spans="1:29" ht="15.75" thickBot="1">
      <c r="A38" s="445" t="s">
        <v>2302</v>
      </c>
      <c r="B38" s="446" t="str">
        <f>B37</f>
        <v>元/车位</v>
      </c>
      <c r="C38" s="1275" t="e">
        <f>R39</f>
        <v>#DIV/0!</v>
      </c>
      <c r="D38" s="2489" t="s">
        <v>2638</v>
      </c>
      <c r="E38" s="1276" t="e">
        <f>R38</f>
        <v>#DIV/0!</v>
      </c>
      <c r="F38" s="2490"/>
      <c r="G38" s="1275" t="e">
        <f>T38</f>
        <v>#DIV/0!</v>
      </c>
      <c r="H38" s="2490"/>
      <c r="I38" s="1276" t="e">
        <f>V38</f>
        <v>#DIV/0!</v>
      </c>
      <c r="J38" s="2490"/>
      <c r="K38" s="2492">
        <f>F38+H38+J38</f>
        <v>0</v>
      </c>
      <c r="L38" s="2901"/>
      <c r="M38" s="2902"/>
      <c r="N38" s="2902"/>
      <c r="O38" s="2902"/>
      <c r="P38" s="3462" t="str">
        <f>A38</f>
        <v>比较价值（元/平方米）</v>
      </c>
      <c r="Q38" s="3462"/>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1"/>
      <c r="M39" s="2902"/>
      <c r="N39" s="2902"/>
      <c r="O39" s="2902"/>
      <c r="P39" s="3459" t="str">
        <f>A39</f>
        <v>估价对象XX用房的比较价值（楼面单价，元/平方米）</v>
      </c>
      <c r="Q39" s="3460"/>
      <c r="R39" s="3521" t="e">
        <f>IF(F1="售价",ROUND(IF(D38="简单平均",AVERAGE(R38:W38),R38*F38+T38*H38+V38*J38),0),ROUND(IF(D38="简单平均",AVERAGE(R38:V38),R38*F38+T38*H38+V38*J38),1))</f>
        <v>#DIV/0!</v>
      </c>
      <c r="S39" s="3521"/>
      <c r="T39" s="3521"/>
      <c r="U39" s="3521"/>
      <c r="V39" s="3521"/>
      <c r="W39" s="3521"/>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2307</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7"/>
      <c r="Q50" s="2916"/>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29"/>
      <c r="O51" s="2929"/>
      <c r="P51" s="2938"/>
      <c r="Q51" s="2916"/>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2183</v>
      </c>
      <c r="C65" s="535" t="s">
        <v>2177</v>
      </c>
      <c r="D65" s="535" t="s">
        <v>2178</v>
      </c>
      <c r="E65" s="535" t="s">
        <v>2179</v>
      </c>
      <c r="F65" s="535" t="s">
        <v>2180</v>
      </c>
      <c r="G65" s="535" t="s">
        <v>2181</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2269</v>
      </c>
      <c r="C67" s="616" t="s">
        <v>2255</v>
      </c>
      <c r="D67" s="616" t="s">
        <v>2256</v>
      </c>
      <c r="E67" s="616" t="s">
        <v>2257</v>
      </c>
      <c r="F67" s="616" t="s">
        <v>2258</v>
      </c>
      <c r="G67" s="616" t="s">
        <v>2259</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2189</v>
      </c>
      <c r="C69" s="535" t="s">
        <v>2177</v>
      </c>
      <c r="D69" s="535" t="s">
        <v>2178</v>
      </c>
      <c r="E69" s="535" t="s">
        <v>2179</v>
      </c>
      <c r="F69" s="535" t="s">
        <v>2180</v>
      </c>
      <c r="G69" s="535" t="s">
        <v>2181</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2309</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1"/>
      <c r="O74" s="2931"/>
      <c r="P74" s="2939"/>
      <c r="Q74" s="2916"/>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1"/>
      <c r="O76" s="2931"/>
      <c r="P76" s="2939"/>
      <c r="Q76" s="2916"/>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2143</v>
      </c>
      <c r="B79" s="485" t="s">
        <v>2310</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2311</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2196</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2313</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2315</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2316</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77" t="s">
        <v>2226</v>
      </c>
      <c r="D4" s="3478"/>
      <c r="E4" s="3479" t="s">
        <v>2227</v>
      </c>
      <c r="F4" s="3480"/>
      <c r="G4" s="3477" t="s">
        <v>2228</v>
      </c>
      <c r="H4" s="3478"/>
      <c r="I4" s="3477" t="s">
        <v>2229</v>
      </c>
      <c r="J4" s="3478"/>
      <c r="K4" s="567" t="s">
        <v>2230</v>
      </c>
      <c r="L4" s="2892"/>
      <c r="M4" s="2893"/>
      <c r="N4" s="2893"/>
      <c r="O4" s="2893"/>
      <c r="P4" s="3481" t="s">
        <v>2231</v>
      </c>
      <c r="Q4" s="3482"/>
      <c r="R4" s="3487" t="s">
        <v>2227</v>
      </c>
      <c r="S4" s="3488"/>
      <c r="T4" s="3487" t="s">
        <v>2228</v>
      </c>
      <c r="U4" s="3488"/>
      <c r="V4" s="3493" t="s">
        <v>2229</v>
      </c>
      <c r="W4" s="3493"/>
      <c r="X4" s="1490"/>
      <c r="Y4" s="3487" t="s">
        <v>2231</v>
      </c>
      <c r="Z4" s="3488"/>
      <c r="AA4" s="3474" t="s">
        <v>2227</v>
      </c>
      <c r="AB4" s="3475" t="s">
        <v>2228</v>
      </c>
      <c r="AC4" s="3474" t="s">
        <v>2229</v>
      </c>
    </row>
    <row r="5" spans="1:29" ht="15">
      <c r="A5" s="364"/>
      <c r="B5" s="365"/>
      <c r="C5" s="3496" t="s">
        <v>2122</v>
      </c>
      <c r="D5" s="3497"/>
      <c r="E5" s="3503" t="s">
        <v>2123</v>
      </c>
      <c r="F5" s="3504"/>
      <c r="G5" s="3496" t="s">
        <v>2124</v>
      </c>
      <c r="H5" s="3497"/>
      <c r="I5" s="3496" t="s">
        <v>2125</v>
      </c>
      <c r="J5" s="3497"/>
      <c r="K5" s="567"/>
      <c r="L5" s="2892"/>
      <c r="M5" s="2893"/>
      <c r="N5" s="2893"/>
      <c r="O5" s="2893"/>
      <c r="P5" s="3483"/>
      <c r="Q5" s="3484"/>
      <c r="R5" s="3489"/>
      <c r="S5" s="3490"/>
      <c r="T5" s="3489"/>
      <c r="U5" s="3490"/>
      <c r="V5" s="3493"/>
      <c r="W5" s="3493"/>
      <c r="X5" s="1490"/>
      <c r="Y5" s="3489"/>
      <c r="Z5" s="3490"/>
      <c r="AA5" s="3475"/>
      <c r="AB5" s="3475"/>
      <c r="AC5" s="3475"/>
    </row>
    <row r="6" spans="1:29" ht="15.75" thickBot="1">
      <c r="A6" s="366"/>
      <c r="B6" s="367"/>
      <c r="C6" s="3494" t="s">
        <v>2126</v>
      </c>
      <c r="D6" s="3495"/>
      <c r="E6" s="3501" t="s">
        <v>2126</v>
      </c>
      <c r="F6" s="3502"/>
      <c r="G6" s="3494" t="s">
        <v>2126</v>
      </c>
      <c r="H6" s="3495"/>
      <c r="I6" s="3494" t="s">
        <v>2126</v>
      </c>
      <c r="J6" s="3495"/>
      <c r="K6" s="567" t="s">
        <v>2127</v>
      </c>
      <c r="L6" s="2892"/>
      <c r="M6" s="2893"/>
      <c r="N6" s="2893"/>
      <c r="O6" s="2893"/>
      <c r="P6" s="3485"/>
      <c r="Q6" s="3486"/>
      <c r="R6" s="3489"/>
      <c r="S6" s="3490"/>
      <c r="T6" s="3491"/>
      <c r="U6" s="3492"/>
      <c r="V6" s="3493"/>
      <c r="W6" s="3493"/>
      <c r="X6" s="1490"/>
      <c r="Y6" s="3491"/>
      <c r="Z6" s="3492"/>
      <c r="AA6" s="3476"/>
      <c r="AB6" s="3476"/>
      <c r="AC6" s="3476"/>
    </row>
    <row r="7" spans="1:29" s="113" customFormat="1" ht="15.75" thickBot="1">
      <c r="A7" s="368" t="s">
        <v>2128</v>
      </c>
      <c r="B7" s="369"/>
      <c r="C7" s="370">
        <f>'数据-取费表'!B2</f>
        <v>44804</v>
      </c>
      <c r="D7" s="371">
        <v>100</v>
      </c>
      <c r="E7" s="372"/>
      <c r="F7" s="373">
        <f>SUMIF(46:46,YEAR(E7)&amp;"-"&amp;MONTH(E7),47:47)</f>
        <v>0</v>
      </c>
      <c r="G7" s="2111"/>
      <c r="H7" s="371">
        <f>SUMIF(46:46,YEAR(G7)&amp;"-"&amp;MONTH(G7),47:47)</f>
        <v>0</v>
      </c>
      <c r="I7" s="372"/>
      <c r="J7" s="371">
        <f>SUMIF(46:46,YEAR(I7)&amp;"-"&amp;MONTH(I7),47:47)</f>
        <v>0</v>
      </c>
      <c r="K7" s="568"/>
      <c r="L7" s="2894"/>
      <c r="M7" s="2895"/>
      <c r="N7" s="2895"/>
      <c r="O7" s="2895"/>
      <c r="P7" s="3498" t="s">
        <v>2129</v>
      </c>
      <c r="Q7" s="3500"/>
      <c r="R7" s="710" t="s">
        <v>17</v>
      </c>
      <c r="S7" s="711">
        <f t="shared" ref="S7:S14" si="0">F7</f>
        <v>0</v>
      </c>
      <c r="T7" s="710" t="s">
        <v>17</v>
      </c>
      <c r="U7" s="711">
        <f t="shared" ref="U7:U14" si="1">H7</f>
        <v>0</v>
      </c>
      <c r="V7" s="710" t="s">
        <v>17</v>
      </c>
      <c r="W7" s="711">
        <f t="shared" ref="W7:W14" si="2">J7</f>
        <v>0</v>
      </c>
      <c r="X7" s="712"/>
      <c r="Y7" s="3498" t="s">
        <v>2129</v>
      </c>
      <c r="Z7" s="349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98" t="s">
        <v>2132</v>
      </c>
      <c r="Q8" s="3499"/>
      <c r="R8" s="710" t="s">
        <v>17</v>
      </c>
      <c r="S8" s="711">
        <f t="shared" si="0"/>
        <v>0</v>
      </c>
      <c r="T8" s="710" t="s">
        <v>17</v>
      </c>
      <c r="U8" s="711">
        <f t="shared" si="1"/>
        <v>0</v>
      </c>
      <c r="V8" s="710" t="s">
        <v>17</v>
      </c>
      <c r="W8" s="711">
        <f t="shared" si="2"/>
        <v>0</v>
      </c>
      <c r="X8" s="712"/>
      <c r="Y8" s="3498" t="s">
        <v>2132</v>
      </c>
      <c r="Z8" s="349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62" t="s">
        <v>2135</v>
      </c>
      <c r="Q9" s="1478" t="str">
        <f t="shared" ref="Q9:Q14" si="6">B9</f>
        <v>用途</v>
      </c>
      <c r="R9" s="710" t="s">
        <v>17</v>
      </c>
      <c r="S9" s="711">
        <f t="shared" si="0"/>
        <v>100</v>
      </c>
      <c r="T9" s="710" t="s">
        <v>17</v>
      </c>
      <c r="U9" s="711">
        <f t="shared" si="1"/>
        <v>100</v>
      </c>
      <c r="V9" s="710" t="s">
        <v>17</v>
      </c>
      <c r="W9" s="711">
        <f t="shared" si="2"/>
        <v>100</v>
      </c>
      <c r="X9" s="712"/>
      <c r="Y9" s="333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62"/>
      <c r="Q10" s="1478" t="str">
        <f t="shared" si="6"/>
        <v>土地使用年限（年）</v>
      </c>
      <c r="R10" s="710" t="s">
        <v>17</v>
      </c>
      <c r="S10" s="711">
        <f t="shared" si="0"/>
        <v>100</v>
      </c>
      <c r="T10" s="710" t="s">
        <v>17</v>
      </c>
      <c r="U10" s="711">
        <f t="shared" si="1"/>
        <v>100</v>
      </c>
      <c r="V10" s="710" t="s">
        <v>17</v>
      </c>
      <c r="W10" s="711">
        <f t="shared" si="2"/>
        <v>100</v>
      </c>
      <c r="X10" s="712"/>
      <c r="Y10" s="333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62"/>
      <c r="Q11" s="1478">
        <f t="shared" si="6"/>
        <v>111</v>
      </c>
      <c r="R11" s="710" t="s">
        <v>17</v>
      </c>
      <c r="S11" s="711">
        <f t="shared" si="0"/>
        <v>100</v>
      </c>
      <c r="T11" s="710" t="s">
        <v>17</v>
      </c>
      <c r="U11" s="711">
        <f t="shared" si="1"/>
        <v>100</v>
      </c>
      <c r="V11" s="710" t="s">
        <v>17</v>
      </c>
      <c r="W11" s="711">
        <f t="shared" si="2"/>
        <v>100</v>
      </c>
      <c r="X11" s="712"/>
      <c r="Y11" s="333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62"/>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9"/>
      <c r="M13" s="2893"/>
      <c r="N13" s="2893"/>
      <c r="O13" s="2951"/>
      <c r="P13" s="3462"/>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64" t="s">
        <v>2140</v>
      </c>
      <c r="Q14" s="1487" t="str">
        <f t="shared" si="6"/>
        <v>交通便捷度</v>
      </c>
      <c r="R14" s="714" t="s">
        <v>17</v>
      </c>
      <c r="S14" s="715">
        <f t="shared" si="0"/>
        <v>100</v>
      </c>
      <c r="T14" s="714" t="s">
        <v>17</v>
      </c>
      <c r="U14" s="715">
        <f t="shared" si="1"/>
        <v>100</v>
      </c>
      <c r="V14" s="714" t="s">
        <v>17</v>
      </c>
      <c r="W14" s="715">
        <f t="shared" si="2"/>
        <v>100</v>
      </c>
      <c r="X14" s="1490"/>
      <c r="Y14" s="346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9"/>
      <c r="M15" s="2893"/>
      <c r="N15" s="2893"/>
      <c r="O15" s="2951"/>
      <c r="P15" s="3465"/>
      <c r="Q15" s="1487"/>
      <c r="R15" s="714"/>
      <c r="S15" s="715"/>
      <c r="T15" s="714"/>
      <c r="U15" s="715"/>
      <c r="V15" s="714"/>
      <c r="W15" s="715"/>
      <c r="X15" s="1490"/>
      <c r="Y15" s="3465"/>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65"/>
      <c r="Q16" s="1487" t="str">
        <f>B16</f>
        <v>公共配套设施</v>
      </c>
      <c r="R16" s="714" t="s">
        <v>17</v>
      </c>
      <c r="S16" s="715">
        <f>F16</f>
        <v>100</v>
      </c>
      <c r="T16" s="714" t="s">
        <v>17</v>
      </c>
      <c r="U16" s="715">
        <f>H16</f>
        <v>100</v>
      </c>
      <c r="V16" s="714" t="s">
        <v>17</v>
      </c>
      <c r="W16" s="715">
        <f>J16</f>
        <v>100</v>
      </c>
      <c r="X16" s="1490"/>
      <c r="Y16" s="346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9"/>
      <c r="M17" s="2893"/>
      <c r="N17" s="2893"/>
      <c r="O17" s="2951"/>
      <c r="P17" s="3465"/>
      <c r="Q17" s="1487"/>
      <c r="R17" s="714"/>
      <c r="S17" s="715"/>
      <c r="T17" s="714"/>
      <c r="U17" s="715"/>
      <c r="V17" s="714"/>
      <c r="W17" s="715"/>
      <c r="X17" s="1490"/>
      <c r="Y17" s="3465"/>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65"/>
      <c r="Q18" s="1487" t="str">
        <f>B18</f>
        <v>基础设施水平</v>
      </c>
      <c r="R18" s="714" t="s">
        <v>17</v>
      </c>
      <c r="S18" s="715">
        <f>F18</f>
        <v>100</v>
      </c>
      <c r="T18" s="714" t="s">
        <v>17</v>
      </c>
      <c r="U18" s="715">
        <f>H18</f>
        <v>100</v>
      </c>
      <c r="V18" s="714" t="s">
        <v>17</v>
      </c>
      <c r="W18" s="715">
        <f>J18</f>
        <v>100</v>
      </c>
      <c r="X18" s="1490"/>
      <c r="Y18" s="346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9"/>
      <c r="M19" s="2893"/>
      <c r="N19" s="2893"/>
      <c r="O19" s="2951"/>
      <c r="P19" s="3465"/>
      <c r="Q19" s="1487"/>
      <c r="R19" s="714"/>
      <c r="S19" s="715"/>
      <c r="T19" s="714"/>
      <c r="U19" s="715"/>
      <c r="V19" s="714"/>
      <c r="W19" s="715"/>
      <c r="X19" s="1490"/>
      <c r="Y19" s="3465"/>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65"/>
      <c r="Q20" s="1487" t="str">
        <f>B20</f>
        <v>自然及人文环境</v>
      </c>
      <c r="R20" s="714" t="s">
        <v>17</v>
      </c>
      <c r="S20" s="715">
        <f>F20</f>
        <v>100</v>
      </c>
      <c r="T20" s="714" t="s">
        <v>17</v>
      </c>
      <c r="U20" s="715">
        <f>H20</f>
        <v>100</v>
      </c>
      <c r="V20" s="714" t="s">
        <v>17</v>
      </c>
      <c r="W20" s="715">
        <f>J20</f>
        <v>100</v>
      </c>
      <c r="X20" s="1490"/>
      <c r="Y20" s="346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9"/>
      <c r="M21" s="2893"/>
      <c r="N21" s="2893"/>
      <c r="O21" s="2951"/>
      <c r="P21" s="3465"/>
      <c r="Q21" s="1487"/>
      <c r="R21" s="714"/>
      <c r="S21" s="715"/>
      <c r="T21" s="714"/>
      <c r="U21" s="715"/>
      <c r="V21" s="714"/>
      <c r="W21" s="715"/>
      <c r="X21" s="1490"/>
      <c r="Y21" s="346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65"/>
      <c r="Q22" s="1487" t="str">
        <f>B22</f>
        <v>楼层</v>
      </c>
      <c r="R22" s="714" t="s">
        <v>17</v>
      </c>
      <c r="S22" s="715">
        <f>F22</f>
        <v>100</v>
      </c>
      <c r="T22" s="714" t="s">
        <v>17</v>
      </c>
      <c r="U22" s="715">
        <f>H22</f>
        <v>100</v>
      </c>
      <c r="V22" s="714" t="s">
        <v>17</v>
      </c>
      <c r="W22" s="715">
        <f>J22</f>
        <v>100</v>
      </c>
      <c r="X22" s="1490"/>
      <c r="Y22" s="346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65"/>
      <c r="Q23" s="1487">
        <f>B23</f>
        <v>111</v>
      </c>
      <c r="R23" s="714" t="s">
        <v>17</v>
      </c>
      <c r="S23" s="715">
        <f>F23</f>
        <v>100</v>
      </c>
      <c r="T23" s="714" t="s">
        <v>17</v>
      </c>
      <c r="U23" s="715">
        <f>H23</f>
        <v>100</v>
      </c>
      <c r="V23" s="714" t="s">
        <v>17</v>
      </c>
      <c r="W23" s="715">
        <f>J23</f>
        <v>100</v>
      </c>
      <c r="X23" s="1490"/>
      <c r="Y23" s="346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65"/>
      <c r="Q24" s="1487">
        <f t="shared" ref="Q24:Q34" si="11">B24</f>
        <v>111</v>
      </c>
      <c r="R24" s="714" t="s">
        <v>17</v>
      </c>
      <c r="S24" s="715">
        <f>F24</f>
        <v>100</v>
      </c>
      <c r="T24" s="714" t="s">
        <v>17</v>
      </c>
      <c r="U24" s="715">
        <f>H24</f>
        <v>100</v>
      </c>
      <c r="V24" s="714" t="s">
        <v>17</v>
      </c>
      <c r="W24" s="715">
        <f>J24</f>
        <v>100</v>
      </c>
      <c r="X24" s="1490"/>
      <c r="Y24" s="3465"/>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4"/>
      <c r="M25" s="2895"/>
      <c r="N25" s="2895"/>
      <c r="O25" s="2949"/>
      <c r="P25" s="3465"/>
      <c r="Q25" s="1478">
        <f t="shared" si="11"/>
        <v>111</v>
      </c>
      <c r="R25" s="710" t="s">
        <v>17</v>
      </c>
      <c r="S25" s="711">
        <f>F25</f>
        <v>100</v>
      </c>
      <c r="T25" s="710" t="s">
        <v>17</v>
      </c>
      <c r="U25" s="711">
        <f>H25</f>
        <v>100</v>
      </c>
      <c r="V25" s="710" t="s">
        <v>17</v>
      </c>
      <c r="W25" s="711">
        <f>J25</f>
        <v>100</v>
      </c>
      <c r="X25" s="712"/>
      <c r="Y25" s="3465"/>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9"/>
      <c r="M26" s="2893"/>
      <c r="N26" s="2893"/>
      <c r="O26" s="2951"/>
      <c r="P26" s="352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69"/>
      <c r="Q27" s="716" t="str">
        <f t="shared" si="11"/>
        <v>成新率</v>
      </c>
      <c r="R27" s="717" t="s">
        <v>17</v>
      </c>
      <c r="S27" s="718" t="e">
        <f t="shared" si="12"/>
        <v>#N/A</v>
      </c>
      <c r="T27" s="717" t="s">
        <v>17</v>
      </c>
      <c r="U27" s="718" t="e">
        <f t="shared" si="13"/>
        <v>#N/A</v>
      </c>
      <c r="V27" s="717" t="s">
        <v>17</v>
      </c>
      <c r="W27" s="718" t="e">
        <f t="shared" si="14"/>
        <v>#N/A</v>
      </c>
      <c r="X27" s="719"/>
      <c r="Y27" s="346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69"/>
      <c r="Q28" s="1487" t="str">
        <f t="shared" si="11"/>
        <v>物业等级</v>
      </c>
      <c r="R28" s="714" t="s">
        <v>17</v>
      </c>
      <c r="S28" s="715">
        <f t="shared" si="12"/>
        <v>100</v>
      </c>
      <c r="T28" s="714" t="s">
        <v>17</v>
      </c>
      <c r="U28" s="715">
        <f t="shared" si="13"/>
        <v>100</v>
      </c>
      <c r="V28" s="714" t="s">
        <v>17</v>
      </c>
      <c r="W28" s="715">
        <f t="shared" si="14"/>
        <v>100</v>
      </c>
      <c r="X28" s="1490"/>
      <c r="Y28" s="346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69"/>
      <c r="Q29" s="1487" t="str">
        <f t="shared" si="11"/>
        <v>有无电梯</v>
      </c>
      <c r="R29" s="714" t="s">
        <v>17</v>
      </c>
      <c r="S29" s="715">
        <f t="shared" si="12"/>
        <v>100</v>
      </c>
      <c r="T29" s="714" t="s">
        <v>17</v>
      </c>
      <c r="U29" s="715">
        <f t="shared" si="13"/>
        <v>100</v>
      </c>
      <c r="V29" s="714" t="s">
        <v>17</v>
      </c>
      <c r="W29" s="715">
        <f t="shared" si="14"/>
        <v>100</v>
      </c>
      <c r="X29" s="1490"/>
      <c r="Y29" s="346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69"/>
      <c r="Q30" s="1487" t="str">
        <f t="shared" si="11"/>
        <v>建筑面积</v>
      </c>
      <c r="R30" s="714" t="s">
        <v>17</v>
      </c>
      <c r="S30" s="715" t="e">
        <f t="shared" si="12"/>
        <v>#N/A</v>
      </c>
      <c r="T30" s="714" t="s">
        <v>17</v>
      </c>
      <c r="U30" s="715" t="e">
        <f t="shared" si="13"/>
        <v>#N/A</v>
      </c>
      <c r="V30" s="714" t="s">
        <v>17</v>
      </c>
      <c r="W30" s="715" t="e">
        <f t="shared" si="14"/>
        <v>#N/A</v>
      </c>
      <c r="X30" s="1490"/>
      <c r="Y30" s="346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69"/>
      <c r="Q31" s="1478" t="str">
        <f t="shared" si="11"/>
        <v>是否封闭</v>
      </c>
      <c r="R31" s="710" t="s">
        <v>17</v>
      </c>
      <c r="S31" s="711">
        <f t="shared" si="12"/>
        <v>100</v>
      </c>
      <c r="T31" s="710" t="s">
        <v>17</v>
      </c>
      <c r="U31" s="711">
        <f t="shared" si="13"/>
        <v>100</v>
      </c>
      <c r="V31" s="710" t="s">
        <v>17</v>
      </c>
      <c r="W31" s="711">
        <f t="shared" si="14"/>
        <v>100</v>
      </c>
      <c r="X31" s="712"/>
      <c r="Y31" s="346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69" t="s">
        <v>2145</v>
      </c>
      <c r="Q32" s="1487">
        <f t="shared" si="11"/>
        <v>111</v>
      </c>
      <c r="R32" s="714" t="s">
        <v>17</v>
      </c>
      <c r="S32" s="715">
        <f t="shared" si="12"/>
        <v>100</v>
      </c>
      <c r="T32" s="714" t="s">
        <v>17</v>
      </c>
      <c r="U32" s="715">
        <f t="shared" si="13"/>
        <v>100</v>
      </c>
      <c r="V32" s="714" t="s">
        <v>17</v>
      </c>
      <c r="W32" s="715">
        <f t="shared" si="14"/>
        <v>100</v>
      </c>
      <c r="X32" s="1490"/>
      <c r="Y32" s="346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69"/>
      <c r="Q33" s="1487">
        <f t="shared" si="11"/>
        <v>111</v>
      </c>
      <c r="R33" s="714" t="s">
        <v>17</v>
      </c>
      <c r="S33" s="715">
        <f t="shared" si="12"/>
        <v>100</v>
      </c>
      <c r="T33" s="714" t="s">
        <v>17</v>
      </c>
      <c r="U33" s="715">
        <f t="shared" si="13"/>
        <v>100</v>
      </c>
      <c r="V33" s="714" t="s">
        <v>17</v>
      </c>
      <c r="W33" s="715">
        <f t="shared" si="14"/>
        <v>100</v>
      </c>
      <c r="X33" s="1490"/>
      <c r="Y33" s="346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9"/>
      <c r="M34" s="2893"/>
      <c r="N34" s="2893"/>
      <c r="O34" s="2951"/>
      <c r="P34" s="3469"/>
      <c r="Q34" s="1487">
        <f t="shared" si="11"/>
        <v>111</v>
      </c>
      <c r="R34" s="714" t="s">
        <v>17</v>
      </c>
      <c r="S34" s="715">
        <f t="shared" si="12"/>
        <v>100</v>
      </c>
      <c r="T34" s="714" t="s">
        <v>17</v>
      </c>
      <c r="U34" s="715">
        <f t="shared" si="13"/>
        <v>100</v>
      </c>
      <c r="V34" s="714" t="s">
        <v>17</v>
      </c>
      <c r="W34" s="715">
        <f t="shared" si="14"/>
        <v>100</v>
      </c>
      <c r="X34" s="1490"/>
      <c r="Y34" s="346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1"/>
      <c r="M35" s="2902"/>
      <c r="N35" s="2893"/>
      <c r="O35" s="2902"/>
      <c r="P35" s="3462" t="str">
        <f>A35</f>
        <v>成交单价（元/平方米）</v>
      </c>
      <c r="Q35" s="3462"/>
      <c r="R35" s="3463">
        <f>E35</f>
        <v>0</v>
      </c>
      <c r="S35" s="3463"/>
      <c r="T35" s="3463">
        <f>G35</f>
        <v>0</v>
      </c>
      <c r="U35" s="3463"/>
      <c r="V35" s="3463">
        <f>I35</f>
        <v>0</v>
      </c>
      <c r="W35" s="3463"/>
      <c r="X35" s="699"/>
      <c r="Y35" s="721"/>
      <c r="Z35" s="699"/>
      <c r="AA35" s="699"/>
      <c r="AB35" s="699"/>
      <c r="AC35" s="699"/>
    </row>
    <row r="36" spans="1:30" ht="15.75" thickBot="1">
      <c r="A36" s="445" t="s">
        <v>2249</v>
      </c>
      <c r="B36" s="446"/>
      <c r="C36" s="1275" t="e">
        <f>R37</f>
        <v>#DIV/0!</v>
      </c>
      <c r="D36" s="2489" t="s">
        <v>2638</v>
      </c>
      <c r="E36" s="1276" t="e">
        <f>R36</f>
        <v>#DIV/0!</v>
      </c>
      <c r="F36" s="2490"/>
      <c r="G36" s="1275" t="e">
        <f>T36</f>
        <v>#DIV/0!</v>
      </c>
      <c r="H36" s="2490"/>
      <c r="I36" s="1276" t="e">
        <f>V36</f>
        <v>#DIV/0!</v>
      </c>
      <c r="J36" s="2490"/>
      <c r="K36" s="2492">
        <f>F36+H36+J36</f>
        <v>0</v>
      </c>
      <c r="L36" s="2901"/>
      <c r="M36" s="2902"/>
      <c r="N36" s="2893"/>
      <c r="O36" s="2902"/>
      <c r="P36" s="3462" t="str">
        <f>A36</f>
        <v>比较价值（元/平方米）</v>
      </c>
      <c r="Q36" s="3462"/>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1"/>
      <c r="M37" s="2902"/>
      <c r="N37" s="2902"/>
      <c r="O37" s="2902"/>
      <c r="P37" s="3459" t="str">
        <f>A37</f>
        <v>估价对象XX用房的比较价值（楼面单价，元/平方米）</v>
      </c>
      <c r="Q37" s="3460"/>
      <c r="R37" s="3521" t="e">
        <f>IF(F1="售价",ROUND(IF(D36="简单平均",AVERAGE(R36:W36),R36*F36+T36*H36+V36*J36),0),ROUND(IF(D36="简单平均",AVERAGE(R36:V36),R36*F36+T36*H36+V36*J36),1))</f>
        <v>#DIV/0!</v>
      </c>
      <c r="S37" s="3521"/>
      <c r="T37" s="3521"/>
      <c r="U37" s="3521"/>
      <c r="V37" s="3521"/>
      <c r="W37" s="3521"/>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2254</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8">
        <v>100</v>
      </c>
      <c r="D47" s="469"/>
      <c r="E47" s="469"/>
      <c r="F47" s="469"/>
      <c r="G47" s="469"/>
      <c r="H47" s="469"/>
      <c r="I47" s="469"/>
      <c r="J47" s="469"/>
      <c r="K47" s="469"/>
      <c r="L47" s="469"/>
      <c r="M47" s="470"/>
      <c r="N47" s="469"/>
      <c r="O47" s="471"/>
      <c r="P47" s="2916"/>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6"/>
      <c r="Q48" s="2916"/>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29"/>
      <c r="O49" s="2929"/>
      <c r="P49" s="2954"/>
      <c r="Q49" s="2916"/>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2320</v>
      </c>
      <c r="C63" s="535" t="s">
        <v>2177</v>
      </c>
      <c r="D63" s="535" t="s">
        <v>2178</v>
      </c>
      <c r="E63" s="535" t="s">
        <v>2179</v>
      </c>
      <c r="F63" s="535" t="s">
        <v>2180</v>
      </c>
      <c r="G63" s="535" t="s">
        <v>2181</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2269</v>
      </c>
      <c r="C65" s="616" t="s">
        <v>2255</v>
      </c>
      <c r="D65" s="616" t="s">
        <v>2256</v>
      </c>
      <c r="E65" s="616" t="s">
        <v>2257</v>
      </c>
      <c r="F65" s="616" t="s">
        <v>2258</v>
      </c>
      <c r="G65" s="616" t="s">
        <v>2259</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2189</v>
      </c>
      <c r="C67" s="535" t="s">
        <v>2177</v>
      </c>
      <c r="D67" s="535" t="s">
        <v>2178</v>
      </c>
      <c r="E67" s="535" t="s">
        <v>2179</v>
      </c>
      <c r="F67" s="535" t="s">
        <v>2180</v>
      </c>
      <c r="G67" s="535" t="s">
        <v>2181</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2309</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1"/>
      <c r="O72" s="2931"/>
      <c r="P72" s="2955"/>
      <c r="Q72" s="2916"/>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1"/>
      <c r="O74" s="2931"/>
      <c r="P74" s="2955"/>
      <c r="Q74" s="2916"/>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2143</v>
      </c>
      <c r="B77" s="485" t="s">
        <v>2196</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2313</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2321</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2323</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52" zoomScaleNormal="60" zoomScaleSheetLayoutView="100" workbookViewId="0">
      <selection activeCell="B3" sqref="B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6.7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f>F65</f>
        <v>2764</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f>ROUND(IF(D3="",B2*10000/'数据-汇总表'!E3,B2*10000/D3),0)</f>
        <v>1607</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2225</v>
      </c>
      <c r="B4" s="362"/>
      <c r="C4" s="3477" t="s">
        <v>2226</v>
      </c>
      <c r="D4" s="3478"/>
      <c r="E4" s="3479" t="s">
        <v>2227</v>
      </c>
      <c r="F4" s="3480"/>
      <c r="G4" s="3477" t="s">
        <v>2228</v>
      </c>
      <c r="H4" s="3478"/>
      <c r="I4" s="3477" t="s">
        <v>2229</v>
      </c>
      <c r="J4" s="3478"/>
      <c r="K4" s="567" t="s">
        <v>2230</v>
      </c>
      <c r="L4" s="2892"/>
      <c r="M4" s="2893"/>
      <c r="N4" s="2893"/>
      <c r="O4" s="2893"/>
      <c r="P4" s="3481" t="s">
        <v>2231</v>
      </c>
      <c r="Q4" s="3482"/>
      <c r="R4" s="3487" t="s">
        <v>2227</v>
      </c>
      <c r="S4" s="3488"/>
      <c r="T4" s="3487" t="s">
        <v>2228</v>
      </c>
      <c r="U4" s="3488"/>
      <c r="V4" s="3493" t="s">
        <v>2229</v>
      </c>
      <c r="W4" s="3493"/>
      <c r="X4" s="1490"/>
      <c r="Y4" s="3487" t="s">
        <v>2231</v>
      </c>
      <c r="Z4" s="3488"/>
      <c r="AA4" s="3474" t="s">
        <v>2227</v>
      </c>
      <c r="AB4" s="3475" t="s">
        <v>2228</v>
      </c>
      <c r="AC4" s="3474" t="s">
        <v>2229</v>
      </c>
    </row>
    <row r="5" spans="1:30" ht="15">
      <c r="A5" s="364"/>
      <c r="B5" s="365"/>
      <c r="C5" s="3525" t="str">
        <f>项目基本情况!F10</f>
        <v>栖霞区元化路8号2幢101室</v>
      </c>
      <c r="D5" s="3497"/>
      <c r="E5" s="3503" t="str">
        <f>土地案例!A4</f>
        <v>纬地路北侧地块(EAc030-02-09)</v>
      </c>
      <c r="F5" s="3504"/>
      <c r="G5" s="3496" t="str">
        <f>土地案例!A5</f>
        <v>栖霞区南京经济技术开发区恒广路以南、经十八路以东地块(NJDBa010-14)</v>
      </c>
      <c r="H5" s="3497"/>
      <c r="I5" s="3496" t="str">
        <f>土地案例!A7</f>
        <v>栖霞区太平山公园西侧地块</v>
      </c>
      <c r="J5" s="3497"/>
      <c r="K5" s="567"/>
      <c r="L5" s="2892"/>
      <c r="M5" s="2893"/>
      <c r="N5" s="2893"/>
      <c r="O5" s="2893"/>
      <c r="P5" s="3483"/>
      <c r="Q5" s="3484"/>
      <c r="R5" s="3489"/>
      <c r="S5" s="3490"/>
      <c r="T5" s="3489"/>
      <c r="U5" s="3490"/>
      <c r="V5" s="3493"/>
      <c r="W5" s="3493"/>
      <c r="X5" s="1490"/>
      <c r="Y5" s="3489"/>
      <c r="Z5" s="3490"/>
      <c r="AA5" s="3475"/>
      <c r="AB5" s="3475"/>
      <c r="AC5" s="3475"/>
    </row>
    <row r="6" spans="1:30" ht="15.75" thickBot="1">
      <c r="A6" s="366"/>
      <c r="B6" s="367"/>
      <c r="C6" s="3494" t="s">
        <v>2126</v>
      </c>
      <c r="D6" s="3495"/>
      <c r="E6" s="3501" t="s">
        <v>2126</v>
      </c>
      <c r="F6" s="3502"/>
      <c r="G6" s="3494" t="s">
        <v>2126</v>
      </c>
      <c r="H6" s="3495"/>
      <c r="I6" s="3494" t="s">
        <v>2126</v>
      </c>
      <c r="J6" s="3495"/>
      <c r="K6" s="567" t="s">
        <v>2127</v>
      </c>
      <c r="L6" s="2892"/>
      <c r="M6" s="2893"/>
      <c r="N6" s="2893"/>
      <c r="O6" s="2893"/>
      <c r="P6" s="3485"/>
      <c r="Q6" s="3486"/>
      <c r="R6" s="3489"/>
      <c r="S6" s="3490"/>
      <c r="T6" s="3491"/>
      <c r="U6" s="3492"/>
      <c r="V6" s="3493"/>
      <c r="W6" s="3493"/>
      <c r="X6" s="1490"/>
      <c r="Y6" s="3491"/>
      <c r="Z6" s="3492"/>
      <c r="AA6" s="3476"/>
      <c r="AB6" s="3476"/>
      <c r="AC6" s="3476"/>
    </row>
    <row r="7" spans="1:30" s="113" customFormat="1" ht="15.75" thickBot="1">
      <c r="A7" s="368" t="s">
        <v>2128</v>
      </c>
      <c r="B7" s="369"/>
      <c r="C7" s="370">
        <f>'数据-取费表'!B2</f>
        <v>44804</v>
      </c>
      <c r="D7" s="371">
        <v>100</v>
      </c>
      <c r="E7" s="372">
        <f>土地案例!AB4</f>
        <v>44705.000497685185</v>
      </c>
      <c r="F7" s="373">
        <f>SUMIF(69:69,YEAR(E7)&amp;"-"&amp;INT((MONTH(E7)+2)/3),70:70)</f>
        <v>99.8</v>
      </c>
      <c r="G7" s="2111">
        <f>土地案例!AB5</f>
        <v>44705.000497685185</v>
      </c>
      <c r="H7" s="371">
        <f>SUMIF(69:69,YEAR(G7)&amp;"-"&amp;INT((MONTH(G7)+2)/3),70:70)</f>
        <v>99.8</v>
      </c>
      <c r="I7" s="2111">
        <f>土地案例!AB7</f>
        <v>44114.000497685185</v>
      </c>
      <c r="J7" s="371">
        <f>SUMIF(69:69,YEAR(I7)&amp;"-"&amp;INT((MONTH(I7)+2)/3),70:70)</f>
        <v>98.59999999999998</v>
      </c>
      <c r="K7" s="568"/>
      <c r="L7" s="2894"/>
      <c r="M7" s="2895"/>
      <c r="N7" s="2895"/>
      <c r="O7" s="2895"/>
      <c r="P7" s="3498" t="s">
        <v>2129</v>
      </c>
      <c r="Q7" s="3500"/>
      <c r="R7" s="710" t="s">
        <v>17</v>
      </c>
      <c r="S7" s="711">
        <f t="shared" ref="S7:S15" si="0">F7</f>
        <v>99.8</v>
      </c>
      <c r="T7" s="710" t="s">
        <v>17</v>
      </c>
      <c r="U7" s="711">
        <f t="shared" ref="U7:U15" si="1">H7</f>
        <v>99.8</v>
      </c>
      <c r="V7" s="710" t="s">
        <v>17</v>
      </c>
      <c r="W7" s="711">
        <f t="shared" ref="W7:W15" si="2">J7</f>
        <v>98.59999999999998</v>
      </c>
      <c r="X7" s="712"/>
      <c r="Y7" s="3498" t="s">
        <v>2129</v>
      </c>
      <c r="Z7" s="3499"/>
      <c r="AA7" s="713">
        <f>D7/F7</f>
        <v>1.0020040080160322</v>
      </c>
      <c r="AB7" s="713">
        <f>D7/H7</f>
        <v>1.0020040080160322</v>
      </c>
      <c r="AC7" s="713">
        <f>D7/J7</f>
        <v>1.0141987829614607</v>
      </c>
    </row>
    <row r="8" spans="1:30" s="113" customFormat="1" ht="15.75" thickBot="1">
      <c r="A8" s="368" t="s">
        <v>2130</v>
      </c>
      <c r="B8" s="369"/>
      <c r="C8" s="374" t="s">
        <v>2131</v>
      </c>
      <c r="D8" s="371">
        <v>100</v>
      </c>
      <c r="E8" s="374" t="s">
        <v>2131</v>
      </c>
      <c r="F8" s="373">
        <f>SUMIF(72:72,E8,73:73)-SUMIF(72:72,C8,73:73)+100</f>
        <v>100</v>
      </c>
      <c r="G8" s="374" t="s">
        <v>2131</v>
      </c>
      <c r="H8" s="371">
        <f>SUMIF(72:72,G8,73:73)-SUMIF(72:72,C8,73:73)+100</f>
        <v>100</v>
      </c>
      <c r="I8" s="374" t="s">
        <v>2131</v>
      </c>
      <c r="J8" s="371">
        <f>SUMIF(72:72,I8,73:73)-SUMIF(72:72,C8,73:73)+100</f>
        <v>100</v>
      </c>
      <c r="K8" s="568"/>
      <c r="L8" s="2894"/>
      <c r="M8" s="2895"/>
      <c r="N8" s="2895"/>
      <c r="O8" s="2895"/>
      <c r="P8" s="3498" t="s">
        <v>2132</v>
      </c>
      <c r="Q8" s="3499"/>
      <c r="R8" s="710" t="s">
        <v>17</v>
      </c>
      <c r="S8" s="711">
        <f t="shared" si="0"/>
        <v>100</v>
      </c>
      <c r="T8" s="710" t="s">
        <v>17</v>
      </c>
      <c r="U8" s="711">
        <f t="shared" si="1"/>
        <v>100</v>
      </c>
      <c r="V8" s="710" t="s">
        <v>17</v>
      </c>
      <c r="W8" s="711">
        <f t="shared" si="2"/>
        <v>100</v>
      </c>
      <c r="X8" s="712"/>
      <c r="Y8" s="3498" t="s">
        <v>2132</v>
      </c>
      <c r="Z8" s="3499"/>
      <c r="AA8" s="713">
        <f t="shared" ref="AA8:AA45" si="3">D8/F8</f>
        <v>1</v>
      </c>
      <c r="AB8" s="713">
        <f t="shared" ref="AB8:AB45" si="4">D8/H8</f>
        <v>1</v>
      </c>
      <c r="AC8" s="713">
        <f t="shared" ref="AC8:AC45" si="5">D8/J8</f>
        <v>1</v>
      </c>
    </row>
    <row r="9" spans="1:30" s="113" customFormat="1">
      <c r="A9" s="375" t="s">
        <v>2133</v>
      </c>
      <c r="B9" s="67" t="s">
        <v>2134</v>
      </c>
      <c r="C9" s="2114" t="s">
        <v>3538</v>
      </c>
      <c r="D9" s="131">
        <v>100</v>
      </c>
      <c r="E9" s="2114" t="s">
        <v>3536</v>
      </c>
      <c r="F9" s="131">
        <f>SUMIF(74:74,E9,75:75)-SUMIF(74:74,C9,75:75)+100</f>
        <v>100</v>
      </c>
      <c r="G9" s="2114" t="s">
        <v>3536</v>
      </c>
      <c r="H9" s="131">
        <f>SUMIF(74:74,G9,75:75)-SUMIF(74:74,C9,75:75)+100</f>
        <v>100</v>
      </c>
      <c r="I9" s="2114" t="s">
        <v>3538</v>
      </c>
      <c r="J9" s="131">
        <f>SUMIF(74:74,I9,75:75)-SUMIF(74:74,C9,75:75)+100</f>
        <v>100</v>
      </c>
      <c r="K9" s="568"/>
      <c r="L9" s="2894"/>
      <c r="M9" s="2895"/>
      <c r="N9" s="2895"/>
      <c r="O9" s="2949"/>
      <c r="P9" s="3462"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101</v>
      </c>
      <c r="G10" s="422"/>
      <c r="H10" s="132">
        <f>ROUND(100/'数据-取费表'!G16,0)</f>
        <v>101</v>
      </c>
      <c r="I10" s="422"/>
      <c r="J10" s="132">
        <f>ROUND(100/'数据-取费表'!G16,0)</f>
        <v>101</v>
      </c>
      <c r="K10" s="628"/>
      <c r="L10" s="2896"/>
      <c r="M10" s="2897"/>
      <c r="N10" s="2897"/>
      <c r="O10" s="2950"/>
      <c r="P10" s="3462"/>
      <c r="Q10" s="1478" t="str">
        <f t="shared" si="6"/>
        <v>土地使用年限（年）</v>
      </c>
      <c r="R10" s="710" t="s">
        <v>17</v>
      </c>
      <c r="S10" s="711">
        <f t="shared" si="0"/>
        <v>101</v>
      </c>
      <c r="T10" s="710" t="s">
        <v>17</v>
      </c>
      <c r="U10" s="711">
        <f t="shared" si="1"/>
        <v>101</v>
      </c>
      <c r="V10" s="710" t="s">
        <v>17</v>
      </c>
      <c r="W10" s="711">
        <f t="shared" si="2"/>
        <v>101</v>
      </c>
      <c r="X10" s="712"/>
      <c r="Y10" s="3334"/>
      <c r="Z10" s="55" t="str">
        <f t="shared" si="7"/>
        <v>土地使用年限（年）</v>
      </c>
      <c r="AA10" s="713">
        <f t="shared" si="3"/>
        <v>0.99009900990099009</v>
      </c>
      <c r="AB10" s="713">
        <f t="shared" si="4"/>
        <v>0.99009900990099009</v>
      </c>
      <c r="AC10" s="713">
        <f t="shared" si="5"/>
        <v>0.99009900990099009</v>
      </c>
    </row>
    <row r="11" spans="1:30" ht="15">
      <c r="A11" s="387"/>
      <c r="B11" s="381" t="s">
        <v>2138</v>
      </c>
      <c r="C11" s="388">
        <f>'数据-汇总表'!I7</f>
        <v>1.5</v>
      </c>
      <c r="D11" s="132">
        <v>100</v>
      </c>
      <c r="E11" s="388">
        <v>1.8</v>
      </c>
      <c r="F11" s="132">
        <f>LOOKUP(E11,79:79,80:80)-LOOKUP(C11,79:79,80:80)+100</f>
        <v>100</v>
      </c>
      <c r="G11" s="389">
        <v>3</v>
      </c>
      <c r="H11" s="132">
        <f>LOOKUP(G11,79:79,80:80)-LOOKUP(C11,79:79,80:80)+100</f>
        <v>96</v>
      </c>
      <c r="I11" s="388">
        <v>1.8</v>
      </c>
      <c r="J11" s="132">
        <f>LOOKUP(I11,79:79,80:80)-LOOKUP(C11,79:79,80:80)+100</f>
        <v>100</v>
      </c>
      <c r="K11" s="629">
        <v>2</v>
      </c>
      <c r="L11" s="2898"/>
      <c r="M11" s="2893"/>
      <c r="N11" s="2893"/>
      <c r="O11" s="2951"/>
      <c r="P11" s="3462"/>
      <c r="Q11" s="1478" t="str">
        <f t="shared" si="6"/>
        <v>容积率</v>
      </c>
      <c r="R11" s="710" t="s">
        <v>17</v>
      </c>
      <c r="S11" s="711">
        <f t="shared" si="0"/>
        <v>100</v>
      </c>
      <c r="T11" s="710" t="s">
        <v>17</v>
      </c>
      <c r="U11" s="711">
        <f t="shared" si="1"/>
        <v>96</v>
      </c>
      <c r="V11" s="710" t="s">
        <v>17</v>
      </c>
      <c r="W11" s="711">
        <f t="shared" si="2"/>
        <v>100</v>
      </c>
      <c r="X11" s="712"/>
      <c r="Y11" s="3334"/>
      <c r="Z11" s="55" t="str">
        <f t="shared" si="7"/>
        <v>容积率</v>
      </c>
      <c r="AA11" s="713">
        <f t="shared" si="3"/>
        <v>1</v>
      </c>
      <c r="AB11" s="713">
        <f t="shared" si="4"/>
        <v>1.0416666666666667</v>
      </c>
      <c r="AC11" s="713">
        <f t="shared" si="5"/>
        <v>1</v>
      </c>
    </row>
    <row r="12" spans="1:30" s="113" customFormat="1" ht="15" hidden="1">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62"/>
      <c r="Q12" s="1478" t="str">
        <f t="shared" si="6"/>
        <v>配建</v>
      </c>
      <c r="R12" s="710" t="s">
        <v>17</v>
      </c>
      <c r="S12" s="711">
        <f t="shared" si="0"/>
        <v>100</v>
      </c>
      <c r="T12" s="710" t="s">
        <v>17</v>
      </c>
      <c r="U12" s="711">
        <f t="shared" si="1"/>
        <v>100</v>
      </c>
      <c r="V12" s="710" t="s">
        <v>17</v>
      </c>
      <c r="W12" s="711">
        <f t="shared" si="2"/>
        <v>100</v>
      </c>
      <c r="X12" s="712"/>
      <c r="Y12" s="3334"/>
      <c r="Z12" s="55" t="str">
        <f t="shared" si="7"/>
        <v>配建</v>
      </c>
      <c r="AA12" s="713">
        <f>D12/F12</f>
        <v>1</v>
      </c>
      <c r="AB12" s="713">
        <f>D12/H12</f>
        <v>1</v>
      </c>
      <c r="AC12" s="713">
        <f>D12/J12</f>
        <v>1</v>
      </c>
    </row>
    <row r="13" spans="1:30" ht="15" hidden="1">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62"/>
      <c r="Q13" s="1478">
        <f t="shared" si="6"/>
        <v>111</v>
      </c>
      <c r="R13" s="710" t="s">
        <v>17</v>
      </c>
      <c r="S13" s="711">
        <f t="shared" si="0"/>
        <v>100</v>
      </c>
      <c r="T13" s="710" t="s">
        <v>17</v>
      </c>
      <c r="U13" s="711">
        <f t="shared" si="1"/>
        <v>100</v>
      </c>
      <c r="V13" s="710" t="s">
        <v>17</v>
      </c>
      <c r="W13" s="711">
        <f t="shared" si="2"/>
        <v>100</v>
      </c>
      <c r="X13" s="712"/>
      <c r="Y13" s="3334"/>
      <c r="Z13" s="55">
        <f t="shared" si="7"/>
        <v>111</v>
      </c>
      <c r="AA13" s="713">
        <f>D13/F13</f>
        <v>1</v>
      </c>
      <c r="AB13" s="713">
        <f>D13/H13</f>
        <v>1</v>
      </c>
      <c r="AC13" s="713">
        <f>D13/J13</f>
        <v>1</v>
      </c>
    </row>
    <row r="14" spans="1:30" ht="15.75" hidden="1"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62"/>
      <c r="Q14" s="1478">
        <f t="shared" si="6"/>
        <v>111</v>
      </c>
      <c r="R14" s="710" t="s">
        <v>17</v>
      </c>
      <c r="S14" s="711">
        <f t="shared" si="0"/>
        <v>100</v>
      </c>
      <c r="T14" s="710" t="s">
        <v>17</v>
      </c>
      <c r="U14" s="711">
        <f t="shared" si="1"/>
        <v>100</v>
      </c>
      <c r="V14" s="710" t="s">
        <v>17</v>
      </c>
      <c r="W14" s="711">
        <f t="shared" si="2"/>
        <v>100</v>
      </c>
      <c r="X14" s="712"/>
      <c r="Y14" s="3334"/>
      <c r="Z14" s="55">
        <f t="shared" si="7"/>
        <v>111</v>
      </c>
      <c r="AA14" s="713">
        <f>D14/F14</f>
        <v>1</v>
      </c>
      <c r="AB14" s="713">
        <f>D14/H14</f>
        <v>1</v>
      </c>
      <c r="AC14" s="713">
        <f>D14/J14</f>
        <v>1</v>
      </c>
    </row>
    <row r="15" spans="1:30" ht="99.75" hidden="1">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64" t="s">
        <v>2140</v>
      </c>
      <c r="Q15" s="1487" t="str">
        <f t="shared" si="6"/>
        <v>居住社区成熟度</v>
      </c>
      <c r="R15" s="714" t="s">
        <v>17</v>
      </c>
      <c r="S15" s="715">
        <f t="shared" si="0"/>
        <v>100</v>
      </c>
      <c r="T15" s="714" t="s">
        <v>17</v>
      </c>
      <c r="U15" s="715">
        <f t="shared" si="1"/>
        <v>100</v>
      </c>
      <c r="V15" s="714" t="s">
        <v>17</v>
      </c>
      <c r="W15" s="715">
        <f t="shared" si="2"/>
        <v>100</v>
      </c>
      <c r="X15" s="1490"/>
      <c r="Y15" s="3464" t="s">
        <v>2140</v>
      </c>
      <c r="Z15" s="1491" t="str">
        <f t="shared" si="7"/>
        <v>居住社区成熟度</v>
      </c>
      <c r="AA15" s="1488">
        <f t="shared" si="3"/>
        <v>1</v>
      </c>
      <c r="AB15" s="1488">
        <f t="shared" si="4"/>
        <v>1</v>
      </c>
      <c r="AC15" s="1488">
        <f t="shared" si="5"/>
        <v>1</v>
      </c>
    </row>
    <row r="16" spans="1:30" ht="15" hidden="1">
      <c r="A16" s="387"/>
      <c r="B16" s="405"/>
      <c r="C16" s="406"/>
      <c r="D16" s="407"/>
      <c r="E16" s="2035"/>
      <c r="F16" s="407"/>
      <c r="G16" s="2035"/>
      <c r="H16" s="409"/>
      <c r="I16" s="2034"/>
      <c r="J16" s="407"/>
      <c r="K16" s="628"/>
      <c r="L16" s="2899"/>
      <c r="M16" s="2893"/>
      <c r="N16" s="2893"/>
      <c r="O16" s="2951"/>
      <c r="P16" s="3465"/>
      <c r="Q16" s="1487"/>
      <c r="R16" s="714"/>
      <c r="S16" s="715"/>
      <c r="T16" s="714"/>
      <c r="U16" s="715"/>
      <c r="V16" s="714"/>
      <c r="W16" s="715"/>
      <c r="X16" s="1490"/>
      <c r="Y16" s="3465"/>
      <c r="Z16" s="1491"/>
      <c r="AA16" s="1488">
        <v>1</v>
      </c>
      <c r="AB16" s="1488">
        <v>1</v>
      </c>
      <c r="AC16" s="1488">
        <v>1</v>
      </c>
    </row>
    <row r="17" spans="1:29" ht="71.25" hidden="1">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465"/>
      <c r="Q17" s="1487" t="str">
        <f>B17</f>
        <v>商业繁华度</v>
      </c>
      <c r="R17" s="714" t="s">
        <v>17</v>
      </c>
      <c r="S17" s="715">
        <f>F17</f>
        <v>100</v>
      </c>
      <c r="T17" s="714" t="s">
        <v>17</v>
      </c>
      <c r="U17" s="715">
        <f>H17</f>
        <v>100</v>
      </c>
      <c r="V17" s="714" t="s">
        <v>17</v>
      </c>
      <c r="W17" s="715">
        <f>J17</f>
        <v>100</v>
      </c>
      <c r="X17" s="1490"/>
      <c r="Y17" s="3465"/>
      <c r="Z17" s="1491" t="str">
        <f>Q17</f>
        <v>商业繁华度</v>
      </c>
      <c r="AA17" s="1488">
        <f t="shared" si="3"/>
        <v>1</v>
      </c>
      <c r="AB17" s="1488">
        <f t="shared" si="4"/>
        <v>1</v>
      </c>
      <c r="AC17" s="1488">
        <f t="shared" si="5"/>
        <v>1</v>
      </c>
    </row>
    <row r="18" spans="1:29" ht="15" hidden="1">
      <c r="A18" s="387"/>
      <c r="B18" s="415"/>
      <c r="C18" s="2038"/>
      <c r="D18" s="409"/>
      <c r="E18" s="2040"/>
      <c r="F18" s="409"/>
      <c r="G18" s="2040"/>
      <c r="H18" s="407"/>
      <c r="I18" s="2039"/>
      <c r="J18" s="407"/>
      <c r="K18" s="628"/>
      <c r="L18" s="2899"/>
      <c r="M18" s="2893"/>
      <c r="N18" s="2893"/>
      <c r="O18" s="2951"/>
      <c r="P18" s="3465"/>
      <c r="Q18" s="1487"/>
      <c r="R18" s="714"/>
      <c r="S18" s="715"/>
      <c r="T18" s="714"/>
      <c r="U18" s="715"/>
      <c r="V18" s="714"/>
      <c r="W18" s="715"/>
      <c r="X18" s="1490"/>
      <c r="Y18" s="3465"/>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95</v>
      </c>
      <c r="I19" s="418"/>
      <c r="J19" s="409">
        <f>SUMIF(91:91,I20,92:92)-SUMIF(91:91,C20,92:92)+100</f>
        <v>95</v>
      </c>
      <c r="K19" s="629">
        <v>5</v>
      </c>
      <c r="L19" s="2899"/>
      <c r="M19" s="2893"/>
      <c r="N19" s="2893"/>
      <c r="O19" s="2951"/>
      <c r="P19" s="3465"/>
      <c r="Q19" s="1487" t="str">
        <f>B19</f>
        <v>办公集聚程度</v>
      </c>
      <c r="R19" s="714" t="s">
        <v>17</v>
      </c>
      <c r="S19" s="715">
        <f>F19</f>
        <v>100</v>
      </c>
      <c r="T19" s="714" t="s">
        <v>17</v>
      </c>
      <c r="U19" s="715">
        <f>H19</f>
        <v>95</v>
      </c>
      <c r="V19" s="714" t="s">
        <v>17</v>
      </c>
      <c r="W19" s="715">
        <f>J19</f>
        <v>95</v>
      </c>
      <c r="X19" s="1490"/>
      <c r="Y19" s="3465"/>
      <c r="Z19" s="1491" t="str">
        <f>Q19</f>
        <v>办公集聚程度</v>
      </c>
      <c r="AA19" s="1488">
        <f t="shared" si="3"/>
        <v>1</v>
      </c>
      <c r="AB19" s="1488">
        <f t="shared" si="4"/>
        <v>1.0526315789473684</v>
      </c>
      <c r="AC19" s="1488">
        <f t="shared" si="5"/>
        <v>1.0526315789473684</v>
      </c>
    </row>
    <row r="20" spans="1:29" ht="15">
      <c r="A20" s="387"/>
      <c r="B20" s="415"/>
      <c r="C20" s="406" t="s">
        <v>3541</v>
      </c>
      <c r="D20" s="407"/>
      <c r="E20" s="2035" t="s">
        <v>3541</v>
      </c>
      <c r="F20" s="407"/>
      <c r="G20" s="2035" t="s">
        <v>3542</v>
      </c>
      <c r="H20" s="407"/>
      <c r="I20" s="2034" t="s">
        <v>3542</v>
      </c>
      <c r="J20" s="407"/>
      <c r="K20" s="628"/>
      <c r="L20" s="2899"/>
      <c r="M20" s="2893"/>
      <c r="N20" s="2893"/>
      <c r="O20" s="2951"/>
      <c r="P20" s="3465"/>
      <c r="Q20" s="1487"/>
      <c r="R20" s="714"/>
      <c r="S20" s="715"/>
      <c r="T20" s="714"/>
      <c r="U20" s="715"/>
      <c r="V20" s="714"/>
      <c r="W20" s="715"/>
      <c r="X20" s="1490"/>
      <c r="Y20" s="3465"/>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95</v>
      </c>
      <c r="I21" s="413"/>
      <c r="J21" s="409">
        <f>SUMIF(93:93,I22,94:94)-SUMIF(93:93,C22,94:94)+100</f>
        <v>95</v>
      </c>
      <c r="K21" s="629">
        <v>5</v>
      </c>
      <c r="L21" s="2899"/>
      <c r="M21" s="2893"/>
      <c r="N21" s="2893"/>
      <c r="O21" s="2951"/>
      <c r="P21" s="3465"/>
      <c r="Q21" s="1487" t="str">
        <f>B21</f>
        <v>交通便捷度</v>
      </c>
      <c r="R21" s="714" t="s">
        <v>17</v>
      </c>
      <c r="S21" s="715">
        <f>F21</f>
        <v>100</v>
      </c>
      <c r="T21" s="714" t="s">
        <v>17</v>
      </c>
      <c r="U21" s="715">
        <f>H21</f>
        <v>95</v>
      </c>
      <c r="V21" s="714" t="s">
        <v>17</v>
      </c>
      <c r="W21" s="715">
        <f>J21</f>
        <v>95</v>
      </c>
      <c r="X21" s="1490"/>
      <c r="Y21" s="3465"/>
      <c r="Z21" s="1491" t="str">
        <f>Q21</f>
        <v>交通便捷度</v>
      </c>
      <c r="AA21" s="1488">
        <f t="shared" si="3"/>
        <v>1</v>
      </c>
      <c r="AB21" s="1488">
        <f t="shared" si="4"/>
        <v>1.0526315789473684</v>
      </c>
      <c r="AC21" s="1488">
        <f t="shared" si="5"/>
        <v>1.0526315789473684</v>
      </c>
    </row>
    <row r="22" spans="1:29" ht="27.75" customHeight="1">
      <c r="A22" s="387"/>
      <c r="B22" s="1246"/>
      <c r="C22" s="406" t="s">
        <v>3541</v>
      </c>
      <c r="D22" s="409"/>
      <c r="E22" s="2035" t="s">
        <v>3541</v>
      </c>
      <c r="F22" s="407"/>
      <c r="G22" s="2035" t="s">
        <v>3542</v>
      </c>
      <c r="H22" s="407"/>
      <c r="I22" s="2035" t="s">
        <v>3542</v>
      </c>
      <c r="J22" s="407"/>
      <c r="K22" s="628"/>
      <c r="L22" s="2899"/>
      <c r="M22" s="2893"/>
      <c r="N22" s="2893"/>
      <c r="O22" s="2951"/>
      <c r="P22" s="3465"/>
      <c r="Q22" s="1487"/>
      <c r="R22" s="714"/>
      <c r="S22" s="715"/>
      <c r="T22" s="714"/>
      <c r="U22" s="715"/>
      <c r="V22" s="714"/>
      <c r="W22" s="715"/>
      <c r="X22" s="1490"/>
      <c r="Y22" s="3465"/>
      <c r="Z22" s="1491"/>
      <c r="AA22" s="1488">
        <v>1</v>
      </c>
      <c r="AB22" s="1488">
        <v>1</v>
      </c>
      <c r="AC22" s="1488">
        <v>1</v>
      </c>
    </row>
    <row r="23" spans="1:29" ht="32.25" customHeight="1">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v>2</v>
      </c>
      <c r="L23" s="2899"/>
      <c r="M23" s="2893"/>
      <c r="N23" s="2893"/>
      <c r="O23" s="2951"/>
      <c r="P23" s="3465"/>
      <c r="Q23" s="1487" t="str">
        <f t="shared" ref="Q23:Q37" si="8">B23</f>
        <v>区域土地利用方向</v>
      </c>
      <c r="R23" s="714" t="s">
        <v>17</v>
      </c>
      <c r="S23" s="715">
        <f>F23</f>
        <v>100</v>
      </c>
      <c r="T23" s="714" t="s">
        <v>17</v>
      </c>
      <c r="U23" s="715">
        <f>H23</f>
        <v>100</v>
      </c>
      <c r="V23" s="714" t="s">
        <v>17</v>
      </c>
      <c r="W23" s="715">
        <f>J23</f>
        <v>100</v>
      </c>
      <c r="X23" s="1490"/>
      <c r="Y23" s="3465"/>
      <c r="Z23" s="1491" t="str">
        <f>Q23</f>
        <v>区域土地利用方向</v>
      </c>
      <c r="AA23" s="1488">
        <f t="shared" si="3"/>
        <v>1</v>
      </c>
      <c r="AB23" s="1488">
        <f t="shared" si="4"/>
        <v>1</v>
      </c>
      <c r="AC23" s="1488">
        <f t="shared" si="5"/>
        <v>1</v>
      </c>
    </row>
    <row r="24" spans="1:29" ht="15">
      <c r="A24" s="364"/>
      <c r="B24" s="415"/>
      <c r="C24" s="573" t="s">
        <v>3541</v>
      </c>
      <c r="D24" s="407"/>
      <c r="E24" s="573" t="s">
        <v>3541</v>
      </c>
      <c r="F24" s="407"/>
      <c r="G24" s="573" t="s">
        <v>3541</v>
      </c>
      <c r="H24" s="407"/>
      <c r="I24" s="573" t="s">
        <v>3541</v>
      </c>
      <c r="J24" s="407"/>
      <c r="K24" s="751"/>
      <c r="L24" s="2899"/>
      <c r="M24" s="2893"/>
      <c r="N24" s="2893"/>
      <c r="O24" s="2951"/>
      <c r="P24" s="3465"/>
      <c r="Q24" s="1487"/>
      <c r="R24" s="714"/>
      <c r="S24" s="715"/>
      <c r="T24" s="714"/>
      <c r="U24" s="715"/>
      <c r="V24" s="714"/>
      <c r="W24" s="715"/>
      <c r="X24" s="1490"/>
      <c r="Y24" s="3465"/>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90</v>
      </c>
      <c r="I25" s="413"/>
      <c r="J25" s="409">
        <f>SUMIF(97:97,I26,98:98)-SUMIF(97:97,C26,98:98)+100</f>
        <v>90</v>
      </c>
      <c r="K25" s="629">
        <v>5</v>
      </c>
      <c r="L25" s="2899"/>
      <c r="M25" s="2893"/>
      <c r="N25" s="2893"/>
      <c r="O25" s="2951"/>
      <c r="P25" s="3465"/>
      <c r="Q25" s="1487" t="str">
        <f t="shared" si="8"/>
        <v>自然及人文环境状况</v>
      </c>
      <c r="R25" s="714" t="s">
        <v>17</v>
      </c>
      <c r="S25" s="715">
        <f>F25</f>
        <v>100</v>
      </c>
      <c r="T25" s="714" t="s">
        <v>17</v>
      </c>
      <c r="U25" s="715">
        <f>H25</f>
        <v>90</v>
      </c>
      <c r="V25" s="714" t="s">
        <v>17</v>
      </c>
      <c r="W25" s="715">
        <f>J25</f>
        <v>90</v>
      </c>
      <c r="X25" s="1490"/>
      <c r="Y25" s="3465"/>
      <c r="Z25" s="1491" t="str">
        <f>Q25</f>
        <v>自然及人文环境状况</v>
      </c>
      <c r="AA25" s="1488">
        <f t="shared" si="3"/>
        <v>1</v>
      </c>
      <c r="AB25" s="1488">
        <f t="shared" si="4"/>
        <v>1.1111111111111112</v>
      </c>
      <c r="AC25" s="1488">
        <f t="shared" si="5"/>
        <v>1.1111111111111112</v>
      </c>
    </row>
    <row r="26" spans="1:29" ht="15">
      <c r="A26" s="364"/>
      <c r="B26" s="415"/>
      <c r="C26" s="406" t="s">
        <v>3543</v>
      </c>
      <c r="D26" s="407"/>
      <c r="E26" s="406" t="s">
        <v>3543</v>
      </c>
      <c r="F26" s="407"/>
      <c r="G26" s="2041" t="s">
        <v>3542</v>
      </c>
      <c r="H26" s="407"/>
      <c r="I26" s="2041" t="s">
        <v>3542</v>
      </c>
      <c r="J26" s="407"/>
      <c r="K26" s="628"/>
      <c r="L26" s="2899"/>
      <c r="M26" s="2893"/>
      <c r="N26" s="2893"/>
      <c r="O26" s="2951"/>
      <c r="P26" s="3465"/>
      <c r="Q26" s="1487"/>
      <c r="R26" s="714"/>
      <c r="S26" s="715"/>
      <c r="T26" s="714"/>
      <c r="U26" s="715"/>
      <c r="V26" s="714"/>
      <c r="W26" s="715"/>
      <c r="X26" s="1490"/>
      <c r="Y26" s="3465"/>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95</v>
      </c>
      <c r="I27" s="413"/>
      <c r="J27" s="409">
        <f>SUMIF(99:99,I28,100:100)-SUMIF(99:99,C28,100:100)+100</f>
        <v>95</v>
      </c>
      <c r="K27" s="629">
        <v>5</v>
      </c>
      <c r="L27" s="2894"/>
      <c r="M27" s="2895"/>
      <c r="N27" s="2895"/>
      <c r="O27" s="2949"/>
      <c r="P27" s="3465"/>
      <c r="Q27" s="1478" t="str">
        <f t="shared" si="8"/>
        <v>公共配套设施</v>
      </c>
      <c r="R27" s="710" t="s">
        <v>17</v>
      </c>
      <c r="S27" s="711">
        <f>F27</f>
        <v>100</v>
      </c>
      <c r="T27" s="710" t="s">
        <v>17</v>
      </c>
      <c r="U27" s="711">
        <f>H27</f>
        <v>95</v>
      </c>
      <c r="V27" s="710" t="s">
        <v>17</v>
      </c>
      <c r="W27" s="711">
        <f>J27</f>
        <v>95</v>
      </c>
      <c r="X27" s="712"/>
      <c r="Y27" s="3465"/>
      <c r="Z27" s="55" t="str">
        <f>Q27</f>
        <v>公共配套设施</v>
      </c>
      <c r="AA27" s="1488">
        <f>D27/F27</f>
        <v>1</v>
      </c>
      <c r="AB27" s="1488">
        <f>D27/H27</f>
        <v>1.0526315789473684</v>
      </c>
      <c r="AC27" s="1488">
        <f>D27/J27</f>
        <v>1.0526315789473684</v>
      </c>
    </row>
    <row r="28" spans="1:29" s="113" customFormat="1" ht="15">
      <c r="A28" s="605"/>
      <c r="B28" s="415"/>
      <c r="C28" s="2115" t="s">
        <v>3541</v>
      </c>
      <c r="D28" s="407"/>
      <c r="E28" s="2115" t="s">
        <v>3541</v>
      </c>
      <c r="F28" s="407"/>
      <c r="G28" s="2041" t="s">
        <v>3542</v>
      </c>
      <c r="H28" s="407"/>
      <c r="I28" s="2041" t="s">
        <v>3542</v>
      </c>
      <c r="J28" s="407"/>
      <c r="K28" s="628"/>
      <c r="L28" s="2894"/>
      <c r="M28" s="2895"/>
      <c r="N28" s="2895"/>
      <c r="O28" s="2949"/>
      <c r="P28" s="3465"/>
      <c r="Q28" s="1478"/>
      <c r="R28" s="710"/>
      <c r="S28" s="711"/>
      <c r="T28" s="710"/>
      <c r="U28" s="711"/>
      <c r="V28" s="710"/>
      <c r="W28" s="711"/>
      <c r="X28" s="712"/>
      <c r="Y28" s="3465"/>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v>1</v>
      </c>
      <c r="L29" s="2894"/>
      <c r="M29" s="2895"/>
      <c r="N29" s="2895"/>
      <c r="O29" s="2949"/>
      <c r="P29" s="3465"/>
      <c r="Q29" s="1478" t="str">
        <f t="shared" ref="Q29" si="9">B29</f>
        <v>基础设施水平</v>
      </c>
      <c r="R29" s="710" t="s">
        <v>17</v>
      </c>
      <c r="S29" s="711">
        <f>F29</f>
        <v>100</v>
      </c>
      <c r="T29" s="710" t="s">
        <v>17</v>
      </c>
      <c r="U29" s="711">
        <f>H29</f>
        <v>100</v>
      </c>
      <c r="V29" s="710" t="s">
        <v>17</v>
      </c>
      <c r="W29" s="711">
        <f>J29</f>
        <v>100</v>
      </c>
      <c r="X29" s="712"/>
      <c r="Y29" s="3465"/>
      <c r="Z29" s="55" t="str">
        <f>Q29</f>
        <v>基础设施水平</v>
      </c>
      <c r="AA29" s="1488">
        <f>D29/F29</f>
        <v>1</v>
      </c>
      <c r="AB29" s="1488">
        <f>D29/H29</f>
        <v>1</v>
      </c>
      <c r="AC29" s="1488">
        <f>D29/J29</f>
        <v>1</v>
      </c>
    </row>
    <row r="30" spans="1:29" s="113" customFormat="1" ht="15.75" thickBot="1">
      <c r="A30" s="605"/>
      <c r="B30" s="415"/>
      <c r="C30" s="2115" t="s">
        <v>3544</v>
      </c>
      <c r="D30" s="407"/>
      <c r="E30" s="2115" t="s">
        <v>3544</v>
      </c>
      <c r="F30" s="407"/>
      <c r="G30" s="2115" t="s">
        <v>3544</v>
      </c>
      <c r="H30" s="407"/>
      <c r="I30" s="2115" t="s">
        <v>3544</v>
      </c>
      <c r="J30" s="407"/>
      <c r="K30" s="628"/>
      <c r="L30" s="2894"/>
      <c r="M30" s="2895"/>
      <c r="N30" s="2895"/>
      <c r="O30" s="2949"/>
      <c r="P30" s="3465"/>
      <c r="Q30" s="1478"/>
      <c r="R30" s="710"/>
      <c r="S30" s="711"/>
      <c r="T30" s="710"/>
      <c r="U30" s="711"/>
      <c r="V30" s="710"/>
      <c r="W30" s="711"/>
      <c r="X30" s="712"/>
      <c r="Y30" s="3465"/>
      <c r="Z30" s="55"/>
      <c r="AA30" s="1488">
        <v>1</v>
      </c>
      <c r="AB30" s="1488">
        <v>1</v>
      </c>
      <c r="AC30" s="1488">
        <v>1</v>
      </c>
    </row>
    <row r="31" spans="1:29" ht="15" hidden="1">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6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5"/>
      <c r="Z31" s="1491" t="str">
        <f t="shared" ref="Z31:Z45" si="13">Q31</f>
        <v>临街状况</v>
      </c>
      <c r="AA31" s="1488">
        <f t="shared" si="3"/>
        <v>1</v>
      </c>
      <c r="AB31" s="1488">
        <f t="shared" si="4"/>
        <v>1</v>
      </c>
      <c r="AC31" s="1488">
        <f t="shared" si="5"/>
        <v>1</v>
      </c>
    </row>
    <row r="32" spans="1:29" ht="27" hidden="1">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65"/>
      <c r="Q32" s="1487" t="str">
        <f t="shared" si="8"/>
        <v>毗邻道路的类型与等级</v>
      </c>
      <c r="R32" s="714" t="s">
        <v>17</v>
      </c>
      <c r="S32" s="715">
        <f t="shared" si="10"/>
        <v>100</v>
      </c>
      <c r="T32" s="714" t="s">
        <v>17</v>
      </c>
      <c r="U32" s="715">
        <f t="shared" si="11"/>
        <v>100</v>
      </c>
      <c r="V32" s="714" t="s">
        <v>17</v>
      </c>
      <c r="W32" s="715">
        <f t="shared" si="12"/>
        <v>100</v>
      </c>
      <c r="X32" s="1490"/>
      <c r="Y32" s="3465"/>
      <c r="Z32" s="1491" t="str">
        <f t="shared" si="13"/>
        <v>毗邻道路的类型与等级</v>
      </c>
      <c r="AA32" s="1488">
        <f t="shared" si="3"/>
        <v>1</v>
      </c>
      <c r="AB32" s="1488">
        <f t="shared" si="4"/>
        <v>1</v>
      </c>
      <c r="AC32" s="1488">
        <f t="shared" si="5"/>
        <v>1</v>
      </c>
    </row>
    <row r="33" spans="1:29" ht="15" hidden="1">
      <c r="A33" s="387"/>
      <c r="B33" s="415"/>
      <c r="C33" s="406"/>
      <c r="D33" s="407"/>
      <c r="E33" s="2041"/>
      <c r="F33" s="407"/>
      <c r="G33" s="2041"/>
      <c r="H33" s="407"/>
      <c r="I33" s="406"/>
      <c r="J33" s="407"/>
      <c r="K33" s="570"/>
      <c r="L33" s="2899"/>
      <c r="M33" s="2893"/>
      <c r="N33" s="2893"/>
      <c r="O33" s="2951"/>
      <c r="P33" s="3465"/>
      <c r="Q33" s="1487"/>
      <c r="R33" s="714"/>
      <c r="S33" s="715"/>
      <c r="T33" s="714"/>
      <c r="U33" s="715"/>
      <c r="V33" s="714"/>
      <c r="W33" s="715"/>
      <c r="X33" s="1490"/>
      <c r="Y33" s="3465"/>
      <c r="Z33" s="1491"/>
      <c r="AA33" s="1488">
        <v>1</v>
      </c>
      <c r="AB33" s="1488">
        <v>1</v>
      </c>
      <c r="AC33" s="1488">
        <v>1</v>
      </c>
    </row>
    <row r="34" spans="1:29" ht="15" hidden="1">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65"/>
      <c r="Q34" s="1487" t="str">
        <f t="shared" si="8"/>
        <v>土地级别</v>
      </c>
      <c r="R34" s="714" t="s">
        <v>17</v>
      </c>
      <c r="S34" s="715">
        <f t="shared" si="10"/>
        <v>100</v>
      </c>
      <c r="T34" s="714" t="s">
        <v>17</v>
      </c>
      <c r="U34" s="715">
        <f t="shared" si="11"/>
        <v>100</v>
      </c>
      <c r="V34" s="714" t="s">
        <v>17</v>
      </c>
      <c r="W34" s="715">
        <f t="shared" si="12"/>
        <v>100</v>
      </c>
      <c r="X34" s="1490"/>
      <c r="Y34" s="3465"/>
      <c r="Z34" s="1491" t="str">
        <f t="shared" si="13"/>
        <v>土地级别</v>
      </c>
      <c r="AA34" s="1488">
        <f t="shared" si="3"/>
        <v>1</v>
      </c>
      <c r="AB34" s="1488">
        <f t="shared" si="4"/>
        <v>1</v>
      </c>
      <c r="AC34" s="1488">
        <f t="shared" si="5"/>
        <v>1</v>
      </c>
    </row>
    <row r="35" spans="1:29" ht="15" hidden="1">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65"/>
      <c r="Q35" s="1487">
        <f t="shared" si="8"/>
        <v>111</v>
      </c>
      <c r="R35" s="714" t="s">
        <v>17</v>
      </c>
      <c r="S35" s="715">
        <f t="shared" si="10"/>
        <v>100</v>
      </c>
      <c r="T35" s="714" t="s">
        <v>17</v>
      </c>
      <c r="U35" s="715">
        <f t="shared" si="11"/>
        <v>100</v>
      </c>
      <c r="V35" s="714" t="s">
        <v>17</v>
      </c>
      <c r="W35" s="715">
        <f t="shared" si="12"/>
        <v>100</v>
      </c>
      <c r="X35" s="1490"/>
      <c r="Y35" s="3465"/>
      <c r="Z35" s="1491">
        <f t="shared" si="13"/>
        <v>111</v>
      </c>
      <c r="AA35" s="1488">
        <f t="shared" si="3"/>
        <v>1</v>
      </c>
      <c r="AB35" s="1488">
        <f t="shared" si="4"/>
        <v>1</v>
      </c>
      <c r="AC35" s="1488">
        <f t="shared" si="5"/>
        <v>1</v>
      </c>
    </row>
    <row r="36" spans="1:29" ht="15" hidden="1">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20" t="s">
        <v>2145</v>
      </c>
      <c r="Q36" s="1487">
        <f t="shared" si="8"/>
        <v>111</v>
      </c>
      <c r="R36" s="714" t="s">
        <v>17</v>
      </c>
      <c r="S36" s="715">
        <f t="shared" si="10"/>
        <v>100</v>
      </c>
      <c r="T36" s="714" t="s">
        <v>17</v>
      </c>
      <c r="U36" s="715">
        <f t="shared" si="11"/>
        <v>100</v>
      </c>
      <c r="V36" s="714" t="s">
        <v>17</v>
      </c>
      <c r="W36" s="715">
        <f t="shared" si="12"/>
        <v>100</v>
      </c>
      <c r="X36" s="1490"/>
      <c r="Y36" s="3469" t="s">
        <v>2145</v>
      </c>
      <c r="Z36" s="1491">
        <f t="shared" si="13"/>
        <v>111</v>
      </c>
      <c r="AA36" s="1488">
        <f t="shared" si="3"/>
        <v>1</v>
      </c>
      <c r="AB36" s="1488">
        <f t="shared" si="4"/>
        <v>1</v>
      </c>
      <c r="AC36" s="1488">
        <f t="shared" si="5"/>
        <v>1</v>
      </c>
    </row>
    <row r="37" spans="1:29" s="430" customFormat="1" ht="15.75" hidden="1"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69"/>
      <c r="Q37" s="1487">
        <f t="shared" si="8"/>
        <v>111</v>
      </c>
      <c r="R37" s="717" t="s">
        <v>17</v>
      </c>
      <c r="S37" s="718">
        <f t="shared" si="10"/>
        <v>100</v>
      </c>
      <c r="T37" s="717" t="s">
        <v>17</v>
      </c>
      <c r="U37" s="718">
        <f t="shared" si="11"/>
        <v>100</v>
      </c>
      <c r="V37" s="717" t="s">
        <v>17</v>
      </c>
      <c r="W37" s="718">
        <f t="shared" si="12"/>
        <v>100</v>
      </c>
      <c r="X37" s="719"/>
      <c r="Y37" s="3469"/>
      <c r="Z37" s="720">
        <f t="shared" si="13"/>
        <v>111</v>
      </c>
      <c r="AA37" s="1488">
        <f t="shared" si="3"/>
        <v>1</v>
      </c>
      <c r="AB37" s="1488">
        <f t="shared" si="4"/>
        <v>1</v>
      </c>
      <c r="AC37" s="1488">
        <f t="shared" si="5"/>
        <v>1</v>
      </c>
    </row>
    <row r="38" spans="1:29" ht="15">
      <c r="A38" s="431" t="s">
        <v>2143</v>
      </c>
      <c r="B38" s="415" t="s">
        <v>2331</v>
      </c>
      <c r="C38" s="635">
        <f>ROUND('数据-汇总表'!F19/'数据-汇总表'!I7,2)</f>
        <v>11465.49</v>
      </c>
      <c r="D38" s="426">
        <v>100</v>
      </c>
      <c r="E38" s="635">
        <f>土地案例!I4</f>
        <v>14164.84</v>
      </c>
      <c r="F38" s="426">
        <f>LOOKUP(E38,116:116,117:117)-LOOKUP(C38,116:116,117:117)+100</f>
        <v>100</v>
      </c>
      <c r="G38" s="635">
        <f>土地案例!I5</f>
        <v>26226.52</v>
      </c>
      <c r="H38" s="426">
        <f>LOOKUP(G38,116:116,117:117)-LOOKUP(C38,116:116,117:117)+100</f>
        <v>101</v>
      </c>
      <c r="I38" s="487">
        <f>土地案例!I7</f>
        <v>9817.9</v>
      </c>
      <c r="J38" s="426">
        <f>LOOKUP(I38,116:116,117:117)-LOOKUP(C38,116:116,117:117)+100</f>
        <v>100</v>
      </c>
      <c r="K38" s="570"/>
      <c r="L38" s="2899"/>
      <c r="M38" s="2893"/>
      <c r="N38" s="2893"/>
      <c r="O38" s="2951"/>
      <c r="P38" s="3469"/>
      <c r="Q38" s="1487" t="str">
        <f>B38</f>
        <v>宗地面积</v>
      </c>
      <c r="R38" s="714" t="s">
        <v>17</v>
      </c>
      <c r="S38" s="715">
        <f t="shared" si="10"/>
        <v>100</v>
      </c>
      <c r="T38" s="714" t="s">
        <v>17</v>
      </c>
      <c r="U38" s="715">
        <f t="shared" si="11"/>
        <v>101</v>
      </c>
      <c r="V38" s="714" t="s">
        <v>17</v>
      </c>
      <c r="W38" s="715">
        <f t="shared" si="12"/>
        <v>100</v>
      </c>
      <c r="X38" s="1490"/>
      <c r="Y38" s="3469"/>
      <c r="Z38" s="1491" t="str">
        <f t="shared" si="13"/>
        <v>宗地面积</v>
      </c>
      <c r="AA38" s="1488">
        <f t="shared" si="3"/>
        <v>1</v>
      </c>
      <c r="AB38" s="1488">
        <f t="shared" si="4"/>
        <v>0.99009900990099009</v>
      </c>
      <c r="AC38" s="1488">
        <f t="shared" si="5"/>
        <v>1</v>
      </c>
    </row>
    <row r="39" spans="1:29" ht="15">
      <c r="A39" s="431"/>
      <c r="B39" s="381" t="s">
        <v>2332</v>
      </c>
      <c r="C39" s="2043" t="s">
        <v>3554</v>
      </c>
      <c r="D39" s="394">
        <v>100</v>
      </c>
      <c r="E39" s="2043" t="s">
        <v>3554</v>
      </c>
      <c r="F39" s="394">
        <f>SUMIF(118:118,E39,119:119)-SUMIF(118:118,C39,119:119)+100</f>
        <v>100</v>
      </c>
      <c r="G39" s="2043" t="s">
        <v>3554</v>
      </c>
      <c r="H39" s="394">
        <f>SUMIF(118:118,G39,119:119)-SUMIF(118:118,C39,119:119)+100</f>
        <v>100</v>
      </c>
      <c r="I39" s="2043" t="s">
        <v>3554</v>
      </c>
      <c r="J39" s="394">
        <f>SUMIF(118:118,I39,119:119)-SUMIF(118:118,C39,119:119)+100</f>
        <v>100</v>
      </c>
      <c r="K39" s="569">
        <v>1</v>
      </c>
      <c r="L39" s="2899"/>
      <c r="M39" s="2893"/>
      <c r="N39" s="2893"/>
      <c r="O39" s="2951"/>
      <c r="P39" s="3469"/>
      <c r="Q39" s="1487" t="str">
        <f t="shared" ref="Q39:Q45" si="14">B39</f>
        <v>宗地形状</v>
      </c>
      <c r="R39" s="714" t="s">
        <v>17</v>
      </c>
      <c r="S39" s="715">
        <f t="shared" si="10"/>
        <v>100</v>
      </c>
      <c r="T39" s="714" t="s">
        <v>17</v>
      </c>
      <c r="U39" s="715">
        <f t="shared" si="11"/>
        <v>100</v>
      </c>
      <c r="V39" s="714" t="s">
        <v>17</v>
      </c>
      <c r="W39" s="715">
        <f t="shared" si="12"/>
        <v>100</v>
      </c>
      <c r="X39" s="1490"/>
      <c r="Y39" s="3469"/>
      <c r="Z39" s="1491" t="str">
        <f t="shared" si="13"/>
        <v>宗地形状</v>
      </c>
      <c r="AA39" s="1488">
        <f t="shared" si="3"/>
        <v>1</v>
      </c>
      <c r="AB39" s="1488">
        <f t="shared" si="4"/>
        <v>1</v>
      </c>
      <c r="AC39" s="1488">
        <f t="shared" si="5"/>
        <v>1</v>
      </c>
    </row>
    <row r="40" spans="1:29" ht="15">
      <c r="A40" s="431"/>
      <c r="B40" s="381" t="s">
        <v>2333</v>
      </c>
      <c r="C40" s="2043" t="s">
        <v>3556</v>
      </c>
      <c r="D40" s="394">
        <v>100</v>
      </c>
      <c r="E40" s="2043" t="s">
        <v>3556</v>
      </c>
      <c r="F40" s="394">
        <f>SUMIF(120:120,E40,121:121)-SUMIF(120:120,C40,121:121)+100</f>
        <v>100</v>
      </c>
      <c r="G40" s="2043" t="s">
        <v>3556</v>
      </c>
      <c r="H40" s="394">
        <f>SUMIF(120:120,G40,121:121)-SUMIF(120:120,C40,121:121)+100</f>
        <v>100</v>
      </c>
      <c r="I40" s="2043" t="s">
        <v>3556</v>
      </c>
      <c r="J40" s="394">
        <f>SUMIF(120:120,I40,121:121)-SUMIF(120:120,C40,121:121)+100</f>
        <v>100</v>
      </c>
      <c r="K40" s="569">
        <v>1</v>
      </c>
      <c r="L40" s="2899"/>
      <c r="M40" s="2893"/>
      <c r="N40" s="2893"/>
      <c r="O40" s="2951"/>
      <c r="P40" s="3469"/>
      <c r="Q40" s="1487" t="str">
        <f t="shared" si="14"/>
        <v>临街宽度及深度</v>
      </c>
      <c r="R40" s="714" t="s">
        <v>17</v>
      </c>
      <c r="S40" s="715">
        <f t="shared" si="10"/>
        <v>100</v>
      </c>
      <c r="T40" s="714" t="s">
        <v>17</v>
      </c>
      <c r="U40" s="715">
        <f t="shared" si="11"/>
        <v>100</v>
      </c>
      <c r="V40" s="714" t="s">
        <v>17</v>
      </c>
      <c r="W40" s="715">
        <f t="shared" si="12"/>
        <v>100</v>
      </c>
      <c r="X40" s="1490"/>
      <c r="Y40" s="3469"/>
      <c r="Z40" s="1491" t="str">
        <f t="shared" si="13"/>
        <v>临街宽度及深度</v>
      </c>
      <c r="AA40" s="1488">
        <f t="shared" si="3"/>
        <v>1</v>
      </c>
      <c r="AB40" s="1488">
        <f t="shared" si="4"/>
        <v>1</v>
      </c>
      <c r="AC40" s="1488">
        <f t="shared" si="5"/>
        <v>1</v>
      </c>
    </row>
    <row r="41" spans="1:29" s="113" customFormat="1" ht="15">
      <c r="A41" s="432"/>
      <c r="B41" s="381" t="s">
        <v>2334</v>
      </c>
      <c r="C41" s="2117" t="s">
        <v>3544</v>
      </c>
      <c r="D41" s="132">
        <v>100</v>
      </c>
      <c r="E41" s="2117" t="s">
        <v>3544</v>
      </c>
      <c r="F41" s="394">
        <f>SUMIF(122:122,E41,123:123)-SUMIF(122:122,C41,123:123)+100</f>
        <v>100</v>
      </c>
      <c r="G41" s="2117" t="s">
        <v>3544</v>
      </c>
      <c r="H41" s="394">
        <f>SUMIF(122:122,G41,123:123)-SUMIF(122:122,C41,123:123)+100</f>
        <v>100</v>
      </c>
      <c r="I41" s="2117" t="s">
        <v>3544</v>
      </c>
      <c r="J41" s="394">
        <f>SUMIF(122:122,I41,123:123)-SUMIF(122:122,C41,123:123)+100</f>
        <v>100</v>
      </c>
      <c r="K41" s="569">
        <v>1</v>
      </c>
      <c r="L41" s="2894"/>
      <c r="M41" s="2895"/>
      <c r="N41" s="2895"/>
      <c r="O41" s="2949"/>
      <c r="P41" s="3469"/>
      <c r="Q41" s="1487" t="str">
        <f t="shared" si="14"/>
        <v>宗地开发程度</v>
      </c>
      <c r="R41" s="710" t="s">
        <v>17</v>
      </c>
      <c r="S41" s="711">
        <f t="shared" si="10"/>
        <v>100</v>
      </c>
      <c r="T41" s="710" t="s">
        <v>17</v>
      </c>
      <c r="U41" s="711">
        <f t="shared" si="11"/>
        <v>100</v>
      </c>
      <c r="V41" s="710" t="s">
        <v>17</v>
      </c>
      <c r="W41" s="711">
        <f t="shared" si="12"/>
        <v>100</v>
      </c>
      <c r="X41" s="712"/>
      <c r="Y41" s="3469"/>
      <c r="Z41" s="55" t="str">
        <f t="shared" si="13"/>
        <v>宗地开发程度</v>
      </c>
      <c r="AA41" s="713">
        <f t="shared" si="3"/>
        <v>1</v>
      </c>
      <c r="AB41" s="713">
        <f t="shared" si="4"/>
        <v>1</v>
      </c>
      <c r="AC41" s="713">
        <f t="shared" si="5"/>
        <v>1</v>
      </c>
    </row>
    <row r="42" spans="1:29" ht="15.75" thickBot="1">
      <c r="A42" s="431"/>
      <c r="B42" s="381" t="s">
        <v>2335</v>
      </c>
      <c r="C42" s="2043" t="s">
        <v>3541</v>
      </c>
      <c r="D42" s="394">
        <v>100</v>
      </c>
      <c r="E42" s="2043" t="s">
        <v>3541</v>
      </c>
      <c r="F42" s="394">
        <f>SUMIF(124:124,E42,125:125)-SUMIF(124:124,C42,125:125)+100</f>
        <v>100</v>
      </c>
      <c r="G42" s="2043" t="s">
        <v>3541</v>
      </c>
      <c r="H42" s="394">
        <f>SUMIF(124:124,G42,125:125)-SUMIF(124:124,C42,125:125)+100</f>
        <v>100</v>
      </c>
      <c r="I42" s="2043" t="s">
        <v>3541</v>
      </c>
      <c r="J42" s="394">
        <f>SUMIF(124:124,I42,125:125)-SUMIF(124:124,C42,125:125)+100</f>
        <v>100</v>
      </c>
      <c r="K42" s="569">
        <v>1</v>
      </c>
      <c r="L42" s="2899"/>
      <c r="M42" s="2893"/>
      <c r="N42" s="2893"/>
      <c r="O42" s="2951"/>
      <c r="P42" s="3469" t="s">
        <v>2145</v>
      </c>
      <c r="Q42" s="1487" t="str">
        <f t="shared" si="14"/>
        <v>工程地质条件</v>
      </c>
      <c r="R42" s="714" t="s">
        <v>17</v>
      </c>
      <c r="S42" s="715">
        <f t="shared" si="10"/>
        <v>100</v>
      </c>
      <c r="T42" s="714" t="s">
        <v>17</v>
      </c>
      <c r="U42" s="715">
        <f t="shared" si="11"/>
        <v>100</v>
      </c>
      <c r="V42" s="714" t="s">
        <v>17</v>
      </c>
      <c r="W42" s="715">
        <f t="shared" si="12"/>
        <v>100</v>
      </c>
      <c r="X42" s="1490"/>
      <c r="Y42" s="3469" t="s">
        <v>2145</v>
      </c>
      <c r="Z42" s="1491" t="str">
        <f t="shared" si="13"/>
        <v>工程地质条件</v>
      </c>
      <c r="AA42" s="1488">
        <f t="shared" si="3"/>
        <v>1</v>
      </c>
      <c r="AB42" s="1488">
        <f t="shared" si="4"/>
        <v>1</v>
      </c>
      <c r="AC42" s="1488">
        <f t="shared" si="5"/>
        <v>1</v>
      </c>
    </row>
    <row r="43" spans="1:29" ht="15" hidden="1">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69"/>
      <c r="Q43" s="1487">
        <f t="shared" si="14"/>
        <v>111</v>
      </c>
      <c r="R43" s="714" t="s">
        <v>17</v>
      </c>
      <c r="S43" s="715">
        <f t="shared" si="10"/>
        <v>100</v>
      </c>
      <c r="T43" s="714" t="s">
        <v>17</v>
      </c>
      <c r="U43" s="715">
        <f t="shared" si="11"/>
        <v>100</v>
      </c>
      <c r="V43" s="714" t="s">
        <v>17</v>
      </c>
      <c r="W43" s="715">
        <f t="shared" si="12"/>
        <v>100</v>
      </c>
      <c r="X43" s="1490"/>
      <c r="Y43" s="3469"/>
      <c r="Z43" s="1491">
        <f t="shared" si="13"/>
        <v>111</v>
      </c>
      <c r="AA43" s="1488">
        <f t="shared" si="3"/>
        <v>1</v>
      </c>
      <c r="AB43" s="1488">
        <f t="shared" si="4"/>
        <v>1</v>
      </c>
      <c r="AC43" s="1488">
        <f t="shared" si="5"/>
        <v>1</v>
      </c>
    </row>
    <row r="44" spans="1:29" ht="15" hidden="1">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69"/>
      <c r="Q44" s="1487">
        <f t="shared" si="14"/>
        <v>111</v>
      </c>
      <c r="R44" s="714" t="s">
        <v>17</v>
      </c>
      <c r="S44" s="715">
        <f t="shared" si="10"/>
        <v>100</v>
      </c>
      <c r="T44" s="714" t="s">
        <v>17</v>
      </c>
      <c r="U44" s="715">
        <f t="shared" si="11"/>
        <v>100</v>
      </c>
      <c r="V44" s="714" t="s">
        <v>17</v>
      </c>
      <c r="W44" s="715">
        <f t="shared" si="12"/>
        <v>100</v>
      </c>
      <c r="X44" s="1490"/>
      <c r="Y44" s="3469"/>
      <c r="Z44" s="1491">
        <f t="shared" si="13"/>
        <v>111</v>
      </c>
      <c r="AA44" s="1488">
        <f t="shared" si="3"/>
        <v>1</v>
      </c>
      <c r="AB44" s="1488">
        <f t="shared" si="4"/>
        <v>1</v>
      </c>
      <c r="AC44" s="1488">
        <f t="shared" si="5"/>
        <v>1</v>
      </c>
    </row>
    <row r="45" spans="1:29" s="430" customFormat="1" ht="15.75" hidden="1"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69"/>
      <c r="Q45" s="1487">
        <f t="shared" si="14"/>
        <v>111</v>
      </c>
      <c r="R45" s="717" t="s">
        <v>17</v>
      </c>
      <c r="S45" s="718">
        <f t="shared" si="10"/>
        <v>100</v>
      </c>
      <c r="T45" s="717" t="s">
        <v>17</v>
      </c>
      <c r="U45" s="718">
        <f t="shared" si="11"/>
        <v>100</v>
      </c>
      <c r="V45" s="717" t="s">
        <v>17</v>
      </c>
      <c r="W45" s="718">
        <f t="shared" si="12"/>
        <v>100</v>
      </c>
      <c r="X45" s="719"/>
      <c r="Y45" s="3469"/>
      <c r="Z45" s="720">
        <f t="shared" si="13"/>
        <v>111</v>
      </c>
      <c r="AA45" s="1488">
        <f t="shared" si="3"/>
        <v>1</v>
      </c>
      <c r="AB45" s="1488">
        <f t="shared" si="4"/>
        <v>1</v>
      </c>
      <c r="AC45" s="1488">
        <f t="shared" si="5"/>
        <v>1</v>
      </c>
    </row>
    <row r="46" spans="1:29" ht="15">
      <c r="A46" s="438" t="s">
        <v>2300</v>
      </c>
      <c r="B46" s="2119" t="s">
        <v>2336</v>
      </c>
      <c r="C46" s="638" t="s">
        <v>1</v>
      </c>
      <c r="D46" s="440"/>
      <c r="E46" s="441">
        <v>1612</v>
      </c>
      <c r="F46" s="442"/>
      <c r="G46" s="443">
        <f>土地案例!AN5</f>
        <v>1200</v>
      </c>
      <c r="H46" s="444"/>
      <c r="I46" s="441">
        <f>土地案例!AN7</f>
        <v>1253</v>
      </c>
      <c r="J46" s="444"/>
      <c r="K46" s="723"/>
      <c r="L46" s="2901"/>
      <c r="M46" s="2902"/>
      <c r="N46" s="2893"/>
      <c r="O46" s="2902"/>
      <c r="P46" s="3462" t="str">
        <f>A46</f>
        <v>成交单价</v>
      </c>
      <c r="Q46" s="3462"/>
      <c r="R46" s="3493">
        <f>E46</f>
        <v>1612</v>
      </c>
      <c r="S46" s="3493"/>
      <c r="T46" s="3493">
        <f>G46</f>
        <v>1200</v>
      </c>
      <c r="U46" s="3493"/>
      <c r="V46" s="3493">
        <f>I46</f>
        <v>1253</v>
      </c>
      <c r="W46" s="3493"/>
      <c r="X46" s="699"/>
      <c r="Y46" s="721"/>
      <c r="Z46" s="699"/>
      <c r="AA46" s="699"/>
      <c r="AB46" s="699"/>
      <c r="AC46" s="699"/>
    </row>
    <row r="47" spans="1:29" ht="15.75" thickBot="1">
      <c r="A47" s="445" t="s">
        <v>2249</v>
      </c>
      <c r="B47" s="639"/>
      <c r="C47" s="448">
        <f>R48</f>
        <v>1607</v>
      </c>
      <c r="D47" s="2489" t="s">
        <v>2638</v>
      </c>
      <c r="E47" s="448">
        <f>R47</f>
        <v>1599</v>
      </c>
      <c r="F47" s="2490"/>
      <c r="G47" s="447">
        <f>T47</f>
        <v>1591</v>
      </c>
      <c r="H47" s="2490"/>
      <c r="I47" s="448">
        <f>V47</f>
        <v>1631</v>
      </c>
      <c r="J47" s="2490"/>
      <c r="K47" s="2492">
        <f>F47+H47+J47</f>
        <v>0</v>
      </c>
      <c r="L47" s="2901"/>
      <c r="M47" s="2902"/>
      <c r="N47" s="2902"/>
      <c r="O47" s="2902"/>
      <c r="P47" s="3462" t="str">
        <f>A47</f>
        <v>比较价值（元/平方米）</v>
      </c>
      <c r="Q47" s="3462"/>
      <c r="R47" s="3522">
        <f>ROUND(PRODUCT(R46,AA7:AA45),0)</f>
        <v>1599</v>
      </c>
      <c r="S47" s="3522"/>
      <c r="T47" s="3522">
        <f>ROUND(PRODUCT(T46,AB7:AB45),0)</f>
        <v>1591</v>
      </c>
      <c r="U47" s="3522"/>
      <c r="V47" s="3522">
        <f>ROUND(PRODUCT(V46,AC7:AC45),0)</f>
        <v>1631</v>
      </c>
      <c r="W47" s="3522"/>
      <c r="X47" s="699"/>
      <c r="Y47" s="699"/>
      <c r="Z47" s="699"/>
      <c r="AA47" s="699"/>
      <c r="AB47" s="699"/>
      <c r="AC47" s="699"/>
    </row>
    <row r="48" spans="1:29" ht="15.75" thickBot="1">
      <c r="A48" s="449" t="s">
        <v>2337</v>
      </c>
      <c r="B48" s="450"/>
      <c r="C48" s="451">
        <f>R48</f>
        <v>1607</v>
      </c>
      <c r="D48" s="451"/>
      <c r="E48" s="451"/>
      <c r="F48" s="451"/>
      <c r="G48" s="451"/>
      <c r="H48" s="451"/>
      <c r="I48" s="451"/>
      <c r="J48" s="451"/>
      <c r="K48" s="724"/>
      <c r="L48" s="2901"/>
      <c r="M48" s="2902"/>
      <c r="N48" s="2902"/>
      <c r="O48" s="2902"/>
      <c r="P48" s="3459" t="str">
        <f>A48</f>
        <v>估价对象XX用房的比较价值（楼面单价，元/平方米）</v>
      </c>
      <c r="Q48" s="3460"/>
      <c r="R48" s="3523">
        <f>ROUND(IF(D47="简单平均",AVERAGE(R47:W47),R47*F47+T47*H47+V47*J47),0)</f>
        <v>1607</v>
      </c>
      <c r="S48" s="3523"/>
      <c r="T48" s="3523"/>
      <c r="U48" s="3523"/>
      <c r="V48" s="3523"/>
      <c r="W48" s="3523"/>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2251</v>
      </c>
      <c r="D51" s="455"/>
      <c r="E51" s="456">
        <f>IF(E46&lt;E47,E47/E46-1,E46/E47-1)</f>
        <v>8.1300813008129413E-3</v>
      </c>
      <c r="F51" s="457" t="str">
        <f>IF(OR(E51&gt;=0.3,E51&lt;=-0.3),"超过30%","")</f>
        <v/>
      </c>
      <c r="G51" s="456">
        <f>IF(G46&lt;G47,G47/G46-1,G46/G47-1)</f>
        <v>0.32583333333333342</v>
      </c>
      <c r="H51" s="457" t="str">
        <f>IF(OR(G51&gt;=0.3,G51&lt;=-0.3),"超过30%","")</f>
        <v>超过30%</v>
      </c>
      <c r="I51" s="456">
        <f>IF(I46&lt;I47,I47/I46-1,I46/I47-1)</f>
        <v>0.3016759776536313</v>
      </c>
      <c r="J51" s="457" t="str">
        <f>IF(OR(I51&gt;=0.3,I51&lt;=-0.3),"超过30%","")</f>
        <v>超过30%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2252</v>
      </c>
      <c r="D52" s="458"/>
      <c r="E52" s="456">
        <f>IF(E47&lt;G47,G47/E47-1,E47/G47-1)</f>
        <v>5.0282840980515608E-3</v>
      </c>
      <c r="F52" s="457" t="str">
        <f>IF(OR(E52&gt;=0.2,E52&lt;=-0.2),"超过20%","")</f>
        <v/>
      </c>
      <c r="G52" s="456">
        <f>IF(G47&lt;I47,I47/G47-1,G47/I47-1)</f>
        <v>2.5141420490257804E-2</v>
      </c>
      <c r="H52" s="457" t="str">
        <f>IF(OR(G52&gt;=0.2,G52&lt;=-0.2),"超过20%","")</f>
        <v/>
      </c>
      <c r="I52" s="456">
        <f>IF(I47&lt;E47,E47/I47-1,I47/E47-1)</f>
        <v>2.0012507817385838E-2</v>
      </c>
      <c r="J52" s="457" t="str">
        <f>IF(OR(I52&gt;=0.2,I52&lt;=-0.2),"超过20%","")</f>
        <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2253</v>
      </c>
      <c r="D53" s="458"/>
      <c r="E53" s="456">
        <f>IF(E46&lt;G46,G46/E46-1,E46/G46-1)</f>
        <v>0.34333333333333327</v>
      </c>
      <c r="F53" s="457" t="str">
        <f>IF(OR(E53&gt;=0.3,E53&lt;=-0.3),"超过30%","")</f>
        <v>超过30%</v>
      </c>
      <c r="G53" s="456">
        <f>IF(G46&lt;I46,I46/G46-1,G46/I46-1)</f>
        <v>4.4166666666666687E-2</v>
      </c>
      <c r="H53" s="457" t="str">
        <f>IF(OR(G53&gt;=0.3,G53&lt;=-0.3),"超过30%","")</f>
        <v/>
      </c>
      <c r="I53" s="456">
        <f>IF(I46&lt;E46,E46/I46-1,I46/E46-1)</f>
        <v>0.2865123703112531</v>
      </c>
      <c r="J53" s="457" t="str">
        <f>IF(OR(I53&gt;=0.3,I53&lt;=-0.3),"超过30%","")</f>
        <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2338</v>
      </c>
      <c r="B55" s="641" t="s">
        <v>2339</v>
      </c>
      <c r="C55" s="2120" t="s">
        <v>2340</v>
      </c>
      <c r="D55" s="2121" t="s">
        <v>2341</v>
      </c>
      <c r="E55" s="642" t="s">
        <v>2342</v>
      </c>
      <c r="F55" s="1002" t="s">
        <v>2343</v>
      </c>
      <c r="G55" s="3477" t="s">
        <v>2344</v>
      </c>
      <c r="H55" s="3524"/>
      <c r="I55" s="140" t="s">
        <v>2345</v>
      </c>
      <c r="J55" s="2122" t="str">
        <f>项目基本情况!F35</f>
        <v>江苏省南京市</v>
      </c>
      <c r="K55" s="2123" t="s">
        <v>2346</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2347</v>
      </c>
      <c r="B56" s="645">
        <f>C48</f>
        <v>1607</v>
      </c>
      <c r="C56" s="646">
        <v>1</v>
      </c>
      <c r="D56" s="1056">
        <v>1</v>
      </c>
      <c r="E56" s="646">
        <f>'数据-汇总表'!E8+'数据-汇总表'!E9</f>
        <v>17198.239999999998</v>
      </c>
      <c r="F56" s="998">
        <f t="shared" ref="F56:F64" si="15">ROUND(B56*E56/10000,0)</f>
        <v>2764</v>
      </c>
      <c r="G56" s="3473"/>
      <c r="H56" s="3462"/>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2348</v>
      </c>
      <c r="B57" s="224">
        <f>ROUND($C$48*C57*D57,0)</f>
        <v>0</v>
      </c>
      <c r="C57" s="176">
        <f t="shared" ref="C57:C64" si="16">IF($C$55="北京市系数",I57,J57)</f>
        <v>0</v>
      </c>
      <c r="D57" s="1057">
        <v>0.25</v>
      </c>
      <c r="E57" s="650"/>
      <c r="F57" s="998">
        <f t="shared" si="15"/>
        <v>0</v>
      </c>
      <c r="G57" s="3219" t="s">
        <v>2349</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2350</v>
      </c>
      <c r="B58" s="224">
        <f t="shared" ref="B58:B64" si="17">ROUND($C$48*C58*D58,0)</f>
        <v>0</v>
      </c>
      <c r="C58" s="176">
        <f t="shared" si="16"/>
        <v>0</v>
      </c>
      <c r="D58" s="1057">
        <v>0.25</v>
      </c>
      <c r="E58" s="650"/>
      <c r="F58" s="998">
        <f t="shared" si="15"/>
        <v>0</v>
      </c>
      <c r="G58" s="3220"/>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2351</v>
      </c>
      <c r="B59" s="224">
        <f t="shared" si="17"/>
        <v>0</v>
      </c>
      <c r="C59" s="176">
        <f t="shared" si="16"/>
        <v>0</v>
      </c>
      <c r="D59" s="1057">
        <v>0.25</v>
      </c>
      <c r="E59" s="650"/>
      <c r="F59" s="998">
        <f t="shared" si="15"/>
        <v>0</v>
      </c>
      <c r="G59" s="3220"/>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2352</v>
      </c>
      <c r="B60" s="224">
        <f t="shared" si="17"/>
        <v>0</v>
      </c>
      <c r="C60" s="176">
        <f t="shared" si="16"/>
        <v>0</v>
      </c>
      <c r="D60" s="1057">
        <v>0.25</v>
      </c>
      <c r="E60" s="223">
        <f>'数据-汇总表'!E11</f>
        <v>0</v>
      </c>
      <c r="F60" s="998">
        <f t="shared" si="15"/>
        <v>0</v>
      </c>
      <c r="G60" s="2124" t="s">
        <v>2353</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2354</v>
      </c>
      <c r="B61" s="224">
        <f t="shared" si="17"/>
        <v>0</v>
      </c>
      <c r="C61" s="176">
        <f t="shared" si="16"/>
        <v>0</v>
      </c>
      <c r="D61" s="1057">
        <v>0.25</v>
      </c>
      <c r="E61" s="223">
        <f>'数据-汇总表'!E12</f>
        <v>0</v>
      </c>
      <c r="F61" s="998">
        <f t="shared" si="15"/>
        <v>0</v>
      </c>
      <c r="G61" s="1004" t="s">
        <v>2355</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2356</v>
      </c>
      <c r="B62" s="224">
        <f t="shared" si="17"/>
        <v>0</v>
      </c>
      <c r="C62" s="176">
        <f t="shared" si="16"/>
        <v>0</v>
      </c>
      <c r="D62" s="1057">
        <v>0.25</v>
      </c>
      <c r="E62" s="223">
        <f>'数据-汇总表'!E13</f>
        <v>0</v>
      </c>
      <c r="F62" s="998">
        <f t="shared" si="15"/>
        <v>0</v>
      </c>
      <c r="G62" s="1004" t="s">
        <v>2357</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2358</v>
      </c>
      <c r="B63" s="224">
        <f t="shared" si="17"/>
        <v>0</v>
      </c>
      <c r="C63" s="176">
        <f t="shared" si="16"/>
        <v>0</v>
      </c>
      <c r="D63" s="1057">
        <v>0.25</v>
      </c>
      <c r="E63" s="223">
        <f>'数据-汇总表'!E14</f>
        <v>0</v>
      </c>
      <c r="F63" s="998">
        <f t="shared" si="15"/>
        <v>0</v>
      </c>
      <c r="G63" s="2124" t="s">
        <v>2349</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2359</v>
      </c>
      <c r="B64" s="224">
        <f t="shared" si="17"/>
        <v>0</v>
      </c>
      <c r="C64" s="176">
        <f t="shared" si="16"/>
        <v>0</v>
      </c>
      <c r="D64" s="1057">
        <v>0.25</v>
      </c>
      <c r="E64" s="223">
        <f>'数据-汇总表'!E15</f>
        <v>0</v>
      </c>
      <c r="F64" s="998">
        <f t="shared" si="15"/>
        <v>0</v>
      </c>
      <c r="G64" s="2125" t="s">
        <v>2353</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2360</v>
      </c>
      <c r="B65" s="652" t="s">
        <v>28</v>
      </c>
      <c r="C65" s="652" t="s">
        <v>29</v>
      </c>
      <c r="D65" s="652" t="s">
        <v>816</v>
      </c>
      <c r="E65" s="652">
        <f>IF(B46="楼面地价",SUM(E56:E64),'数据-汇总表'!D3)</f>
        <v>17198.239999999998</v>
      </c>
      <c r="F65" s="653">
        <f>IF(B46="楼面地价",SUM(F56:F64),ROUND(C48*E65/10000,0))</f>
        <v>2764</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2"/>
      <c r="Q67" s="2902"/>
      <c r="R67" s="2902"/>
      <c r="S67" s="2902"/>
      <c r="T67" s="2902"/>
      <c r="U67" s="2902"/>
      <c r="V67" s="2902"/>
      <c r="W67" s="2902"/>
      <c r="X67" s="2902"/>
      <c r="Y67" s="2902"/>
      <c r="Z67" s="2902"/>
      <c r="AA67" s="2902"/>
      <c r="AB67" s="2902"/>
      <c r="AC67" s="2902"/>
    </row>
    <row r="68" spans="1:29" ht="21.75" thickBot="1">
      <c r="A68" s="703" t="s">
        <v>2254</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3"/>
      <c r="Q69" s="2918"/>
      <c r="R69" s="2918"/>
      <c r="S69" s="2918"/>
      <c r="T69" s="2918"/>
      <c r="U69" s="2918"/>
      <c r="V69" s="2918"/>
      <c r="W69" s="2918"/>
      <c r="X69" s="2918"/>
      <c r="Y69" s="2918"/>
      <c r="Z69" s="2918"/>
      <c r="AA69" s="2918"/>
      <c r="AB69" s="2918"/>
      <c r="AC69" s="2918"/>
    </row>
    <row r="70" spans="1:29" s="113" customFormat="1" ht="30" customHeight="1">
      <c r="A70" s="2127" t="s">
        <v>3540</v>
      </c>
      <c r="B70" s="294" t="str">
        <f>"北京市平均增长率"&amp;TEXT(SUMIF(基准地价修正!N21:N25,A70,基准地价修正!P21:P25),"0.00%")</f>
        <v>北京市平均增长率0.00%</v>
      </c>
      <c r="C70" s="560">
        <v>100</v>
      </c>
      <c r="D70" s="552">
        <f>C70-$C$71</f>
        <v>99.8</v>
      </c>
      <c r="E70" s="552">
        <f t="shared" ref="E70:M70" si="20">D70-$C$71</f>
        <v>99.6</v>
      </c>
      <c r="F70" s="552">
        <f t="shared" si="20"/>
        <v>99.399999999999991</v>
      </c>
      <c r="G70" s="552">
        <f t="shared" si="20"/>
        <v>99.199999999999989</v>
      </c>
      <c r="H70" s="552">
        <f t="shared" si="20"/>
        <v>98.999999999999986</v>
      </c>
      <c r="I70" s="552">
        <f t="shared" si="20"/>
        <v>98.799999999999983</v>
      </c>
      <c r="J70" s="552">
        <f t="shared" si="20"/>
        <v>98.59999999999998</v>
      </c>
      <c r="K70" s="552">
        <f t="shared" si="20"/>
        <v>98.399999999999977</v>
      </c>
      <c r="L70" s="552">
        <f t="shared" si="20"/>
        <v>98.199999999999974</v>
      </c>
      <c r="M70" s="552">
        <f t="shared" si="20"/>
        <v>97.999999999999972</v>
      </c>
      <c r="N70" s="552"/>
      <c r="O70" s="1294"/>
      <c r="P70" s="2916"/>
      <c r="Q70" s="2837"/>
      <c r="R70" s="2837"/>
      <c r="S70" s="2837"/>
      <c r="T70" s="2837"/>
      <c r="U70" s="2837"/>
      <c r="V70" s="2837"/>
      <c r="W70" s="2837"/>
      <c r="X70" s="2837"/>
      <c r="Y70" s="2837"/>
      <c r="Z70" s="2837"/>
      <c r="AA70" s="2837"/>
      <c r="AB70" s="2837"/>
      <c r="AC70" s="2837"/>
    </row>
    <row r="71" spans="1:29" s="113" customFormat="1" ht="15.75" thickBot="1">
      <c r="A71" s="472" t="s">
        <v>2165</v>
      </c>
      <c r="B71" s="473"/>
      <c r="C71" s="474">
        <v>0.2</v>
      </c>
      <c r="D71" s="475"/>
      <c r="E71" s="475"/>
      <c r="F71" s="475"/>
      <c r="G71" s="475"/>
      <c r="H71" s="475"/>
      <c r="I71" s="475"/>
      <c r="J71" s="475"/>
      <c r="K71" s="475"/>
      <c r="L71" s="475"/>
      <c r="M71" s="476"/>
      <c r="N71" s="475"/>
      <c r="O71" s="1055"/>
      <c r="P71" s="2916"/>
      <c r="Q71" s="2916"/>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29"/>
      <c r="O72" s="2929"/>
      <c r="P72" s="2954"/>
      <c r="Q72" s="2916"/>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7"/>
      <c r="S73" s="2837"/>
      <c r="T73" s="2837"/>
      <c r="U73" s="2837"/>
      <c r="V73" s="2837"/>
      <c r="W73" s="2837"/>
      <c r="X73" s="2837"/>
      <c r="Y73" s="2837"/>
      <c r="Z73" s="2837"/>
      <c r="AA73" s="2837"/>
      <c r="AB73" s="2837"/>
      <c r="AC73" s="2837"/>
    </row>
    <row r="74" spans="1:29">
      <c r="A74" s="484" t="s">
        <v>2168</v>
      </c>
      <c r="B74" s="485" t="s">
        <v>2134</v>
      </c>
      <c r="C74" s="3232" t="s">
        <v>3537</v>
      </c>
      <c r="D74" s="3232" t="s">
        <v>3539</v>
      </c>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v>100</v>
      </c>
      <c r="D75" s="493">
        <v>100</v>
      </c>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2137</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2138</v>
      </c>
      <c r="C78" s="504" t="str">
        <f>C79&amp;"（含）"&amp;"-"&amp;D79</f>
        <v>0（含）-1</v>
      </c>
      <c r="D78" s="504" t="str">
        <f t="shared" ref="D78:L78" si="21">D79&amp;"（含）"&amp;"-"&amp;E79</f>
        <v>1（含）-2</v>
      </c>
      <c r="E78" s="504" t="str">
        <f t="shared" si="21"/>
        <v>2（含）-3</v>
      </c>
      <c r="F78" s="504" t="str">
        <f t="shared" si="21"/>
        <v>3（含）-4</v>
      </c>
      <c r="G78" s="504" t="str">
        <f t="shared" si="21"/>
        <v>4（含）-</v>
      </c>
      <c r="H78" s="504" t="str">
        <f t="shared" si="21"/>
        <v>（含）-</v>
      </c>
      <c r="I78" s="504" t="str">
        <f t="shared" si="21"/>
        <v>（含）-</v>
      </c>
      <c r="J78" s="504" t="str">
        <f t="shared" si="21"/>
        <v>（含）-</v>
      </c>
      <c r="K78" s="504" t="str">
        <f t="shared" si="21"/>
        <v>（含）-</v>
      </c>
      <c r="L78" s="504" t="str">
        <f t="shared" si="21"/>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v>0</v>
      </c>
      <c r="D79" s="506">
        <v>1</v>
      </c>
      <c r="E79" s="506">
        <v>2</v>
      </c>
      <c r="F79" s="506">
        <v>3</v>
      </c>
      <c r="G79" s="506">
        <v>4</v>
      </c>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2">IF($B$46="单位面积地价",C80+$K11,C80-$K11)</f>
        <v>98</v>
      </c>
      <c r="E80" s="501">
        <f t="shared" si="22"/>
        <v>96</v>
      </c>
      <c r="F80" s="501">
        <f t="shared" si="22"/>
        <v>94</v>
      </c>
      <c r="G80" s="501">
        <f t="shared" si="22"/>
        <v>92</v>
      </c>
      <c r="H80" s="501">
        <f t="shared" si="22"/>
        <v>90</v>
      </c>
      <c r="I80" s="501">
        <f t="shared" si="22"/>
        <v>88</v>
      </c>
      <c r="J80" s="501">
        <f t="shared" si="22"/>
        <v>86</v>
      </c>
      <c r="K80" s="501">
        <f t="shared" si="22"/>
        <v>84</v>
      </c>
      <c r="L80" s="501">
        <f t="shared" si="22"/>
        <v>82</v>
      </c>
      <c r="M80" s="501">
        <f t="shared" si="22"/>
        <v>80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2139</v>
      </c>
      <c r="B87" s="485" t="s">
        <v>2176</v>
      </c>
      <c r="C87" s="530" t="s">
        <v>2177</v>
      </c>
      <c r="D87" s="530" t="s">
        <v>2178</v>
      </c>
      <c r="E87" s="530" t="s">
        <v>2179</v>
      </c>
      <c r="F87" s="530" t="s">
        <v>2180</v>
      </c>
      <c r="G87" s="530" t="s">
        <v>2181</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2362</v>
      </c>
      <c r="C89" s="535" t="s">
        <v>2177</v>
      </c>
      <c r="D89" s="535" t="s">
        <v>2178</v>
      </c>
      <c r="E89" s="535" t="s">
        <v>2179</v>
      </c>
      <c r="F89" s="535" t="s">
        <v>2180</v>
      </c>
      <c r="G89" s="535" t="s">
        <v>2181</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2277</v>
      </c>
      <c r="C91" s="535" t="s">
        <v>2177</v>
      </c>
      <c r="D91" s="535" t="s">
        <v>2178</v>
      </c>
      <c r="E91" s="535" t="s">
        <v>2179</v>
      </c>
      <c r="F91" s="535" t="s">
        <v>2180</v>
      </c>
      <c r="G91" s="535" t="s">
        <v>2181</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95</v>
      </c>
      <c r="E92" s="501">
        <f>D92-$K19</f>
        <v>90</v>
      </c>
      <c r="F92" s="501">
        <f>E92-$K19</f>
        <v>85</v>
      </c>
      <c r="G92" s="501">
        <f>F92-$K19</f>
        <v>80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2182</v>
      </c>
      <c r="C93" s="535" t="s">
        <v>2177</v>
      </c>
      <c r="D93" s="535" t="s">
        <v>2178</v>
      </c>
      <c r="E93" s="535" t="s">
        <v>2179</v>
      </c>
      <c r="F93" s="535" t="s">
        <v>2180</v>
      </c>
      <c r="G93" s="535" t="s">
        <v>2181</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95</v>
      </c>
      <c r="E94" s="501">
        <f>D94-$K21</f>
        <v>90</v>
      </c>
      <c r="F94" s="501">
        <f>E94-$K21</f>
        <v>85</v>
      </c>
      <c r="G94" s="501">
        <f>F94-$K21</f>
        <v>80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2363</v>
      </c>
      <c r="C95" s="535" t="s">
        <v>2177</v>
      </c>
      <c r="D95" s="535" t="s">
        <v>2178</v>
      </c>
      <c r="E95" s="535" t="s">
        <v>2179</v>
      </c>
      <c r="F95" s="535" t="s">
        <v>2180</v>
      </c>
      <c r="G95" s="535" t="s">
        <v>2181</v>
      </c>
      <c r="H95" s="535"/>
      <c r="I95" s="535"/>
      <c r="J95" s="535"/>
      <c r="K95" s="535"/>
      <c r="L95" s="654"/>
      <c r="M95" s="578"/>
      <c r="N95" s="2929"/>
      <c r="O95" s="2929"/>
      <c r="P95" s="2955"/>
      <c r="Q95" s="2916"/>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98</v>
      </c>
      <c r="E96" s="501">
        <f>D96-$K23</f>
        <v>96</v>
      </c>
      <c r="F96" s="501">
        <f>E96-$K23</f>
        <v>94</v>
      </c>
      <c r="G96" s="501">
        <f>F96-$K23</f>
        <v>92</v>
      </c>
      <c r="H96" s="501"/>
      <c r="I96" s="501"/>
      <c r="J96" s="501"/>
      <c r="K96" s="501"/>
      <c r="L96" s="501"/>
      <c r="M96" s="502"/>
      <c r="N96" s="2931"/>
      <c r="O96" s="2931"/>
      <c r="P96" s="2955"/>
      <c r="Q96" s="2916"/>
      <c r="R96" s="2837"/>
      <c r="S96" s="2837"/>
      <c r="T96" s="2837"/>
      <c r="U96" s="2837"/>
      <c r="V96" s="2837"/>
      <c r="W96" s="2837"/>
      <c r="X96" s="2837"/>
      <c r="Y96" s="2837"/>
      <c r="Z96" s="2837"/>
      <c r="AA96" s="2837"/>
      <c r="AB96" s="2837"/>
      <c r="AC96" s="2837"/>
    </row>
    <row r="97" spans="1:29" s="113" customFormat="1" ht="27.75" thickTop="1">
      <c r="A97" s="536"/>
      <c r="B97" s="495" t="s">
        <v>2364</v>
      </c>
      <c r="C97" s="530" t="s">
        <v>2177</v>
      </c>
      <c r="D97" s="530" t="s">
        <v>2178</v>
      </c>
      <c r="E97" s="530" t="s">
        <v>2179</v>
      </c>
      <c r="F97" s="530" t="s">
        <v>2180</v>
      </c>
      <c r="G97" s="530" t="s">
        <v>2181</v>
      </c>
      <c r="H97" s="535"/>
      <c r="I97" s="535"/>
      <c r="J97" s="535"/>
      <c r="K97" s="535"/>
      <c r="L97" s="535"/>
      <c r="M97" s="578"/>
      <c r="N97" s="2929"/>
      <c r="O97" s="2929"/>
      <c r="P97" s="2955"/>
      <c r="Q97" s="2916"/>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95</v>
      </c>
      <c r="E98" s="501">
        <f>D98-$K25</f>
        <v>90</v>
      </c>
      <c r="F98" s="501">
        <f>E98-$K25</f>
        <v>85</v>
      </c>
      <c r="G98" s="501">
        <f>F98-$K25</f>
        <v>80</v>
      </c>
      <c r="H98" s="501"/>
      <c r="I98" s="501"/>
      <c r="J98" s="501"/>
      <c r="K98" s="501"/>
      <c r="L98" s="501"/>
      <c r="M98" s="502"/>
      <c r="N98" s="2931"/>
      <c r="O98" s="2931"/>
      <c r="P98" s="2955"/>
      <c r="Q98" s="2916"/>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95</v>
      </c>
      <c r="E100" s="501">
        <f>D100-$K27</f>
        <v>90</v>
      </c>
      <c r="F100" s="501">
        <f>E100-$K27</f>
        <v>85</v>
      </c>
      <c r="G100" s="501">
        <f>F100-$K27</f>
        <v>80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99</v>
      </c>
      <c r="E102" s="501">
        <f>D102-$K29</f>
        <v>98</v>
      </c>
      <c r="F102" s="501">
        <f>E102-$K29</f>
        <v>97</v>
      </c>
      <c r="G102" s="501">
        <f>F102-$K29</f>
        <v>96</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3">C104-$K31</f>
        <v>100</v>
      </c>
      <c r="E104" s="501">
        <f t="shared" si="23"/>
        <v>100</v>
      </c>
      <c r="F104" s="501">
        <f t="shared" si="23"/>
        <v>100</v>
      </c>
      <c r="G104" s="501">
        <f t="shared" si="23"/>
        <v>100</v>
      </c>
      <c r="H104" s="501">
        <f t="shared" si="23"/>
        <v>100</v>
      </c>
      <c r="I104" s="501">
        <f t="shared" si="23"/>
        <v>100</v>
      </c>
      <c r="J104" s="501">
        <f t="shared" si="23"/>
        <v>100</v>
      </c>
      <c r="K104" s="501">
        <f t="shared" si="23"/>
        <v>100</v>
      </c>
      <c r="L104" s="501">
        <f t="shared" si="23"/>
        <v>100</v>
      </c>
      <c r="M104" s="501">
        <f t="shared" si="23"/>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2271</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C106-$K32</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2330</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C108-$K34</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ht="28.5">
      <c r="A115" s="484" t="s">
        <v>2143</v>
      </c>
      <c r="B115" s="485" t="s">
        <v>2369</v>
      </c>
      <c r="C115" s="486" t="str">
        <f>C116&amp;"(含)"&amp;"-"&amp;D116</f>
        <v>0(含)-20000</v>
      </c>
      <c r="D115" s="486" t="str">
        <f t="shared" ref="D115:M115" si="26">D116&amp;"(含)"&amp;"-"&amp;E116</f>
        <v>20000(含)-40000</v>
      </c>
      <c r="E115" s="486" t="str">
        <f t="shared" si="26"/>
        <v>40000(含)-60000</v>
      </c>
      <c r="F115" s="486" t="str">
        <f t="shared" si="26"/>
        <v>60000(含)-80000</v>
      </c>
      <c r="G115" s="486" t="str">
        <f t="shared" si="26"/>
        <v>80000(含)-100000</v>
      </c>
      <c r="H115" s="486" t="str">
        <f t="shared" si="26"/>
        <v>100000(含)-</v>
      </c>
      <c r="I115" s="486" t="str">
        <f t="shared" si="26"/>
        <v>(含)-</v>
      </c>
      <c r="J115" s="486" t="str">
        <f t="shared" si="26"/>
        <v>(含)-</v>
      </c>
      <c r="K115" s="486" t="str">
        <f t="shared" si="26"/>
        <v>(含)-</v>
      </c>
      <c r="L115" s="486" t="str">
        <f t="shared" si="26"/>
        <v>(含)-</v>
      </c>
      <c r="M115" s="486" t="str">
        <f t="shared" si="26"/>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v>0</v>
      </c>
      <c r="D116" s="552">
        <f>C116+20000</f>
        <v>20000</v>
      </c>
      <c r="E116" s="552">
        <f t="shared" ref="E116:H116" si="27">D116+20000</f>
        <v>40000</v>
      </c>
      <c r="F116" s="552">
        <f t="shared" si="27"/>
        <v>60000</v>
      </c>
      <c r="G116" s="552">
        <f t="shared" si="27"/>
        <v>80000</v>
      </c>
      <c r="H116" s="552">
        <f t="shared" si="27"/>
        <v>100000</v>
      </c>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v>100</v>
      </c>
      <c r="D117" s="548">
        <f>C117+1</f>
        <v>101</v>
      </c>
      <c r="E117" s="548">
        <f t="shared" ref="E117:H117" si="28">D117+1</f>
        <v>102</v>
      </c>
      <c r="F117" s="548">
        <f t="shared" si="28"/>
        <v>103</v>
      </c>
      <c r="G117" s="548">
        <f t="shared" si="28"/>
        <v>104</v>
      </c>
      <c r="H117" s="548">
        <f t="shared" si="28"/>
        <v>105</v>
      </c>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2370</v>
      </c>
      <c r="C118" s="3233" t="s">
        <v>3555</v>
      </c>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9">C119-$K39</f>
        <v>99</v>
      </c>
      <c r="E119" s="501">
        <f t="shared" si="29"/>
        <v>98</v>
      </c>
      <c r="F119" s="501">
        <f t="shared" si="29"/>
        <v>97</v>
      </c>
      <c r="G119" s="501">
        <f t="shared" si="29"/>
        <v>96</v>
      </c>
      <c r="H119" s="501">
        <f t="shared" si="29"/>
        <v>95</v>
      </c>
      <c r="I119" s="501">
        <f t="shared" si="29"/>
        <v>94</v>
      </c>
      <c r="J119" s="501">
        <f t="shared" si="29"/>
        <v>93</v>
      </c>
      <c r="K119" s="501">
        <f t="shared" si="29"/>
        <v>92</v>
      </c>
      <c r="L119" s="501">
        <f t="shared" si="29"/>
        <v>91</v>
      </c>
      <c r="M119" s="502">
        <f t="shared" si="29"/>
        <v>90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2371</v>
      </c>
      <c r="C120" s="3234" t="s">
        <v>3557</v>
      </c>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30">C121-$K40</f>
        <v>99</v>
      </c>
      <c r="E121" s="501">
        <f t="shared" si="30"/>
        <v>98</v>
      </c>
      <c r="F121" s="501">
        <f t="shared" si="30"/>
        <v>97</v>
      </c>
      <c r="G121" s="501">
        <f t="shared" si="30"/>
        <v>96</v>
      </c>
      <c r="H121" s="501">
        <f t="shared" si="30"/>
        <v>95</v>
      </c>
      <c r="I121" s="501">
        <f t="shared" si="30"/>
        <v>94</v>
      </c>
      <c r="J121" s="501">
        <f t="shared" si="30"/>
        <v>93</v>
      </c>
      <c r="K121" s="501">
        <f t="shared" si="30"/>
        <v>92</v>
      </c>
      <c r="L121" s="501">
        <f t="shared" si="30"/>
        <v>91</v>
      </c>
      <c r="M121" s="502">
        <f t="shared" si="30"/>
        <v>90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2372</v>
      </c>
      <c r="C122" s="3235" t="s">
        <v>2255</v>
      </c>
      <c r="D122" s="3235" t="s">
        <v>2256</v>
      </c>
      <c r="E122" s="3235" t="s">
        <v>2257</v>
      </c>
      <c r="F122" s="3235" t="s">
        <v>2258</v>
      </c>
      <c r="G122" s="3235" t="s">
        <v>2259</v>
      </c>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31">C123-$K41</f>
        <v>99</v>
      </c>
      <c r="E123" s="501">
        <f t="shared" si="31"/>
        <v>98</v>
      </c>
      <c r="F123" s="501">
        <f t="shared" si="31"/>
        <v>97</v>
      </c>
      <c r="G123" s="501">
        <f t="shared" si="31"/>
        <v>96</v>
      </c>
      <c r="H123" s="501">
        <f t="shared" si="31"/>
        <v>95</v>
      </c>
      <c r="I123" s="501">
        <f t="shared" si="31"/>
        <v>94</v>
      </c>
      <c r="J123" s="501">
        <f t="shared" si="31"/>
        <v>93</v>
      </c>
      <c r="K123" s="501">
        <f t="shared" si="31"/>
        <v>92</v>
      </c>
      <c r="L123" s="501">
        <f t="shared" si="31"/>
        <v>91</v>
      </c>
      <c r="M123" s="502">
        <f t="shared" si="31"/>
        <v>90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2373</v>
      </c>
      <c r="C124" s="511" t="s">
        <v>3543</v>
      </c>
      <c r="D124" s="511" t="s">
        <v>3541</v>
      </c>
      <c r="E124" s="540" t="s">
        <v>3542</v>
      </c>
      <c r="F124" s="540" t="s">
        <v>3558</v>
      </c>
      <c r="G124" s="540" t="s">
        <v>3559</v>
      </c>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32">C125-$K42</f>
        <v>99</v>
      </c>
      <c r="E125" s="501">
        <f t="shared" si="32"/>
        <v>98</v>
      </c>
      <c r="F125" s="501">
        <f t="shared" si="32"/>
        <v>97</v>
      </c>
      <c r="G125" s="501">
        <f t="shared" si="32"/>
        <v>96</v>
      </c>
      <c r="H125" s="501">
        <f t="shared" si="32"/>
        <v>95</v>
      </c>
      <c r="I125" s="501">
        <f t="shared" si="32"/>
        <v>94</v>
      </c>
      <c r="J125" s="501">
        <f t="shared" si="32"/>
        <v>93</v>
      </c>
      <c r="K125" s="501">
        <f t="shared" si="32"/>
        <v>92</v>
      </c>
      <c r="L125" s="501">
        <f t="shared" si="32"/>
        <v>91</v>
      </c>
      <c r="M125" s="502">
        <f t="shared" si="32"/>
        <v>90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H32" sqref="H32"/>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2374</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77" t="s">
        <v>2226</v>
      </c>
      <c r="D4" s="3478"/>
      <c r="E4" s="3479" t="s">
        <v>2227</v>
      </c>
      <c r="F4" s="3480"/>
      <c r="G4" s="3477" t="s">
        <v>2228</v>
      </c>
      <c r="H4" s="3478"/>
      <c r="I4" s="3477" t="s">
        <v>2229</v>
      </c>
      <c r="J4" s="3478"/>
      <c r="K4" s="567" t="s">
        <v>2230</v>
      </c>
      <c r="L4" s="2892"/>
      <c r="M4" s="2893"/>
      <c r="N4" s="2893"/>
      <c r="O4" s="2893"/>
      <c r="P4" s="3481" t="s">
        <v>2231</v>
      </c>
      <c r="Q4" s="3482"/>
      <c r="R4" s="3487" t="s">
        <v>2227</v>
      </c>
      <c r="S4" s="3488"/>
      <c r="T4" s="3487" t="s">
        <v>2228</v>
      </c>
      <c r="U4" s="3488"/>
      <c r="V4" s="3493" t="s">
        <v>2229</v>
      </c>
      <c r="W4" s="3493"/>
      <c r="X4" s="1490"/>
      <c r="Y4" s="3487" t="s">
        <v>2231</v>
      </c>
      <c r="Z4" s="3488"/>
      <c r="AA4" s="3474" t="s">
        <v>2227</v>
      </c>
      <c r="AB4" s="3475" t="s">
        <v>2228</v>
      </c>
      <c r="AC4" s="3474" t="s">
        <v>2229</v>
      </c>
    </row>
    <row r="5" spans="1:29" ht="15">
      <c r="A5" s="364"/>
      <c r="B5" s="365"/>
      <c r="C5" s="3496" t="s">
        <v>2122</v>
      </c>
      <c r="D5" s="3497"/>
      <c r="E5" s="3503" t="s">
        <v>2123</v>
      </c>
      <c r="F5" s="3504"/>
      <c r="G5" s="3496" t="s">
        <v>2124</v>
      </c>
      <c r="H5" s="3497"/>
      <c r="I5" s="3496" t="s">
        <v>2125</v>
      </c>
      <c r="J5" s="3497"/>
      <c r="K5" s="567"/>
      <c r="L5" s="2892"/>
      <c r="M5" s="2893"/>
      <c r="N5" s="2893"/>
      <c r="O5" s="2893"/>
      <c r="P5" s="3483"/>
      <c r="Q5" s="3484"/>
      <c r="R5" s="3489"/>
      <c r="S5" s="3490"/>
      <c r="T5" s="3489"/>
      <c r="U5" s="3490"/>
      <c r="V5" s="3493"/>
      <c r="W5" s="3493"/>
      <c r="X5" s="1490"/>
      <c r="Y5" s="3489"/>
      <c r="Z5" s="3490"/>
      <c r="AA5" s="3475"/>
      <c r="AB5" s="3475"/>
      <c r="AC5" s="3475"/>
    </row>
    <row r="6" spans="1:29" ht="15.75" thickBot="1">
      <c r="A6" s="366"/>
      <c r="B6" s="367"/>
      <c r="C6" s="3526" t="s">
        <v>2375</v>
      </c>
      <c r="D6" s="3527"/>
      <c r="E6" s="3528" t="s">
        <v>2375</v>
      </c>
      <c r="F6" s="3529"/>
      <c r="G6" s="3526" t="s">
        <v>2375</v>
      </c>
      <c r="H6" s="3527"/>
      <c r="I6" s="3526" t="s">
        <v>2375</v>
      </c>
      <c r="J6" s="3527"/>
      <c r="K6" s="567" t="s">
        <v>2127</v>
      </c>
      <c r="L6" s="2892"/>
      <c r="M6" s="2893"/>
      <c r="N6" s="2893"/>
      <c r="O6" s="2893"/>
      <c r="P6" s="3485"/>
      <c r="Q6" s="3486"/>
      <c r="R6" s="3489"/>
      <c r="S6" s="3490"/>
      <c r="T6" s="3491"/>
      <c r="U6" s="3492"/>
      <c r="V6" s="3493"/>
      <c r="W6" s="3493"/>
      <c r="X6" s="1490"/>
      <c r="Y6" s="3491"/>
      <c r="Z6" s="3492"/>
      <c r="AA6" s="3476"/>
      <c r="AB6" s="3476"/>
      <c r="AC6" s="3476"/>
    </row>
    <row r="7" spans="1:29" s="113" customFormat="1" ht="15.75" thickBot="1">
      <c r="A7" s="368" t="s">
        <v>2128</v>
      </c>
      <c r="B7" s="369"/>
      <c r="C7" s="370">
        <f>'数据-取费表'!B2</f>
        <v>44804</v>
      </c>
      <c r="D7" s="371">
        <v>100</v>
      </c>
      <c r="E7" s="372"/>
      <c r="F7" s="373">
        <f>SUMIF(65:65,YEAR(E7)&amp;"-"&amp;INT((MONTH(E7)+2)/3),66:66)</f>
        <v>0</v>
      </c>
      <c r="G7" s="2111"/>
      <c r="H7" s="371">
        <f>SUMIF(65:65,YEAR(G7)&amp;"-"&amp;INT((MONTH(G7)+2)/3),66:66)</f>
        <v>0</v>
      </c>
      <c r="I7" s="2111"/>
      <c r="J7" s="371">
        <f>SUMIF(65:65,YEAR(I7)&amp;"-"&amp;INT((MONTH(I7)+2)/3),66:66)</f>
        <v>0</v>
      </c>
      <c r="K7" s="568"/>
      <c r="L7" s="2894"/>
      <c r="M7" s="2895"/>
      <c r="N7" s="2895"/>
      <c r="O7" s="2895"/>
      <c r="P7" s="3498" t="s">
        <v>2129</v>
      </c>
      <c r="Q7" s="3500"/>
      <c r="R7" s="710" t="s">
        <v>17</v>
      </c>
      <c r="S7" s="711">
        <f t="shared" ref="S7:S15" si="0">F7</f>
        <v>0</v>
      </c>
      <c r="T7" s="710" t="s">
        <v>17</v>
      </c>
      <c r="U7" s="711">
        <f t="shared" ref="U7:U15" si="1">H7</f>
        <v>0</v>
      </c>
      <c r="V7" s="710" t="s">
        <v>17</v>
      </c>
      <c r="W7" s="711">
        <f t="shared" ref="W7:W15" si="2">J7</f>
        <v>0</v>
      </c>
      <c r="X7" s="712"/>
      <c r="Y7" s="3498" t="s">
        <v>2129</v>
      </c>
      <c r="Z7" s="349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98" t="s">
        <v>2132</v>
      </c>
      <c r="Q8" s="3499"/>
      <c r="R8" s="710" t="s">
        <v>17</v>
      </c>
      <c r="S8" s="711">
        <f t="shared" si="0"/>
        <v>0</v>
      </c>
      <c r="T8" s="710" t="s">
        <v>17</v>
      </c>
      <c r="U8" s="711">
        <f t="shared" si="1"/>
        <v>0</v>
      </c>
      <c r="V8" s="710" t="s">
        <v>17</v>
      </c>
      <c r="W8" s="711">
        <f t="shared" si="2"/>
        <v>0</v>
      </c>
      <c r="X8" s="712"/>
      <c r="Y8" s="3498" t="s">
        <v>2132</v>
      </c>
      <c r="Z8" s="3499"/>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4"/>
      <c r="M9" s="2895"/>
      <c r="N9" s="2895"/>
      <c r="O9" s="2949"/>
      <c r="P9" s="3462" t="s">
        <v>2135</v>
      </c>
      <c r="Q9" s="1478" t="str">
        <f t="shared" ref="Q9:Q15" si="6">B9</f>
        <v>用途</v>
      </c>
      <c r="R9" s="710" t="s">
        <v>17</v>
      </c>
      <c r="S9" s="711">
        <f t="shared" si="0"/>
        <v>100</v>
      </c>
      <c r="T9" s="710" t="s">
        <v>17</v>
      </c>
      <c r="U9" s="711">
        <f t="shared" si="1"/>
        <v>100</v>
      </c>
      <c r="V9" s="710" t="s">
        <v>17</v>
      </c>
      <c r="W9" s="711">
        <f t="shared" si="2"/>
        <v>100</v>
      </c>
      <c r="X9" s="712"/>
      <c r="Y9" s="3334"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101</v>
      </c>
      <c r="G10" s="391"/>
      <c r="H10" s="132">
        <f>ROUND(100/'数据-取费表'!G16,0)</f>
        <v>101</v>
      </c>
      <c r="I10" s="391"/>
      <c r="J10" s="132">
        <f>ROUND(100/'数据-取费表'!G16,0)</f>
        <v>101</v>
      </c>
      <c r="K10" s="628"/>
      <c r="L10" s="2896"/>
      <c r="M10" s="2897"/>
      <c r="N10" s="2897"/>
      <c r="O10" s="2950"/>
      <c r="P10" s="3462"/>
      <c r="Q10" s="1478" t="str">
        <f t="shared" si="6"/>
        <v>土地使用年限（年）</v>
      </c>
      <c r="R10" s="710" t="s">
        <v>17</v>
      </c>
      <c r="S10" s="711">
        <f t="shared" si="0"/>
        <v>101</v>
      </c>
      <c r="T10" s="710" t="s">
        <v>17</v>
      </c>
      <c r="U10" s="711">
        <f t="shared" si="1"/>
        <v>101</v>
      </c>
      <c r="V10" s="710" t="s">
        <v>17</v>
      </c>
      <c r="W10" s="711">
        <f t="shared" si="2"/>
        <v>101</v>
      </c>
      <c r="X10" s="712"/>
      <c r="Y10" s="3334"/>
      <c r="Z10" s="55" t="str">
        <f t="shared" si="7"/>
        <v>土地使用年限（年）</v>
      </c>
      <c r="AA10" s="713">
        <f t="shared" si="3"/>
        <v>0.99009900990099009</v>
      </c>
      <c r="AB10" s="713">
        <f t="shared" si="4"/>
        <v>0.99009900990099009</v>
      </c>
      <c r="AC10" s="713">
        <f t="shared" si="5"/>
        <v>0.99009900990099009</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62"/>
      <c r="Q11" s="1478" t="str">
        <f t="shared" si="6"/>
        <v>容积率</v>
      </c>
      <c r="R11" s="710" t="s">
        <v>17</v>
      </c>
      <c r="S11" s="711" t="e">
        <f t="shared" si="0"/>
        <v>#N/A</v>
      </c>
      <c r="T11" s="710" t="s">
        <v>17</v>
      </c>
      <c r="U11" s="711" t="e">
        <f t="shared" si="1"/>
        <v>#N/A</v>
      </c>
      <c r="V11" s="710" t="s">
        <v>17</v>
      </c>
      <c r="W11" s="711" t="e">
        <f t="shared" si="2"/>
        <v>#N/A</v>
      </c>
      <c r="X11" s="712"/>
      <c r="Y11" s="3334"/>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62"/>
      <c r="Q12" s="1478">
        <f t="shared" si="6"/>
        <v>111</v>
      </c>
      <c r="R12" s="710" t="s">
        <v>17</v>
      </c>
      <c r="S12" s="711">
        <f t="shared" si="0"/>
        <v>100</v>
      </c>
      <c r="T12" s="710" t="s">
        <v>17</v>
      </c>
      <c r="U12" s="711">
        <f t="shared" si="1"/>
        <v>100</v>
      </c>
      <c r="V12" s="710" t="s">
        <v>17</v>
      </c>
      <c r="W12" s="711">
        <f t="shared" si="2"/>
        <v>100</v>
      </c>
      <c r="X12" s="712"/>
      <c r="Y12" s="333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62"/>
      <c r="Q13" s="1478">
        <f t="shared" si="6"/>
        <v>111</v>
      </c>
      <c r="R13" s="710" t="s">
        <v>17</v>
      </c>
      <c r="S13" s="711">
        <f t="shared" si="0"/>
        <v>100</v>
      </c>
      <c r="T13" s="710" t="s">
        <v>17</v>
      </c>
      <c r="U13" s="711">
        <f t="shared" si="1"/>
        <v>100</v>
      </c>
      <c r="V13" s="710" t="s">
        <v>17</v>
      </c>
      <c r="W13" s="711">
        <f t="shared" si="2"/>
        <v>100</v>
      </c>
      <c r="X13" s="712"/>
      <c r="Y13" s="3334"/>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62"/>
      <c r="Q14" s="1478">
        <f t="shared" si="6"/>
        <v>111</v>
      </c>
      <c r="R14" s="710" t="s">
        <v>17</v>
      </c>
      <c r="S14" s="711">
        <f t="shared" si="0"/>
        <v>100</v>
      </c>
      <c r="T14" s="710" t="s">
        <v>17</v>
      </c>
      <c r="U14" s="711">
        <f t="shared" si="1"/>
        <v>100</v>
      </c>
      <c r="V14" s="710" t="s">
        <v>17</v>
      </c>
      <c r="W14" s="711">
        <f t="shared" si="2"/>
        <v>100</v>
      </c>
      <c r="X14" s="712"/>
      <c r="Y14" s="3334"/>
      <c r="Z14" s="55">
        <f t="shared" si="7"/>
        <v>111</v>
      </c>
      <c r="AA14" s="713">
        <f t="shared" si="3"/>
        <v>1</v>
      </c>
      <c r="AB14" s="713">
        <f t="shared" si="4"/>
        <v>1</v>
      </c>
      <c r="AC14" s="713">
        <f t="shared" si="5"/>
        <v>1</v>
      </c>
    </row>
    <row r="15" spans="1:29" ht="57">
      <c r="A15" s="399" t="s">
        <v>2139</v>
      </c>
      <c r="B15" s="585" t="s">
        <v>2376</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64" t="s">
        <v>2140</v>
      </c>
      <c r="Q15" s="1487" t="str">
        <f t="shared" si="6"/>
        <v>产业集聚程度</v>
      </c>
      <c r="R15" s="714" t="s">
        <v>17</v>
      </c>
      <c r="S15" s="715">
        <f t="shared" si="0"/>
        <v>100</v>
      </c>
      <c r="T15" s="714" t="s">
        <v>17</v>
      </c>
      <c r="U15" s="715">
        <f t="shared" si="1"/>
        <v>100</v>
      </c>
      <c r="V15" s="714" t="s">
        <v>17</v>
      </c>
      <c r="W15" s="715">
        <f t="shared" si="2"/>
        <v>100</v>
      </c>
      <c r="X15" s="1490"/>
      <c r="Y15" s="3464"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9"/>
      <c r="M16" s="2893"/>
      <c r="N16" s="2893"/>
      <c r="O16" s="2951"/>
      <c r="P16" s="3465"/>
      <c r="Q16" s="1487"/>
      <c r="R16" s="714"/>
      <c r="S16" s="715"/>
      <c r="T16" s="714"/>
      <c r="U16" s="715"/>
      <c r="V16" s="714"/>
      <c r="W16" s="715"/>
      <c r="X16" s="1490"/>
      <c r="Y16" s="3465"/>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65"/>
      <c r="Q17" s="1487" t="str">
        <f>B17</f>
        <v>交通便捷度</v>
      </c>
      <c r="R17" s="714" t="s">
        <v>17</v>
      </c>
      <c r="S17" s="715">
        <f>F17</f>
        <v>100</v>
      </c>
      <c r="T17" s="714" t="s">
        <v>17</v>
      </c>
      <c r="U17" s="715">
        <f>H17</f>
        <v>100</v>
      </c>
      <c r="V17" s="714" t="s">
        <v>17</v>
      </c>
      <c r="W17" s="715">
        <f>J17</f>
        <v>100</v>
      </c>
      <c r="X17" s="1490"/>
      <c r="Y17" s="3465"/>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9"/>
      <c r="M18" s="2893"/>
      <c r="N18" s="2893"/>
      <c r="O18" s="2951"/>
      <c r="P18" s="3465"/>
      <c r="Q18" s="1487"/>
      <c r="R18" s="714"/>
      <c r="S18" s="715"/>
      <c r="T18" s="714"/>
      <c r="U18" s="715"/>
      <c r="V18" s="714"/>
      <c r="W18" s="715"/>
      <c r="X18" s="1490"/>
      <c r="Y18" s="346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65"/>
      <c r="Q19" s="1487" t="str">
        <f t="shared" ref="Q19:Q33" si="8">B19</f>
        <v>区域土地利用方向</v>
      </c>
      <c r="R19" s="714" t="s">
        <v>17</v>
      </c>
      <c r="S19" s="715">
        <f>F19</f>
        <v>100</v>
      </c>
      <c r="T19" s="714" t="s">
        <v>17</v>
      </c>
      <c r="U19" s="715">
        <f>H19</f>
        <v>100</v>
      </c>
      <c r="V19" s="714" t="s">
        <v>17</v>
      </c>
      <c r="W19" s="715">
        <f>J19</f>
        <v>100</v>
      </c>
      <c r="X19" s="1490"/>
      <c r="Y19" s="3465"/>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9"/>
      <c r="M20" s="2893"/>
      <c r="N20" s="2893"/>
      <c r="O20" s="2951"/>
      <c r="P20" s="3465"/>
      <c r="Q20" s="1487"/>
      <c r="R20" s="714"/>
      <c r="S20" s="715"/>
      <c r="T20" s="714"/>
      <c r="U20" s="715"/>
      <c r="V20" s="714"/>
      <c r="W20" s="715"/>
      <c r="X20" s="1490"/>
      <c r="Y20" s="3465"/>
      <c r="Z20" s="1491"/>
      <c r="AA20" s="1488"/>
      <c r="AB20" s="1488"/>
      <c r="AC20" s="1488"/>
    </row>
    <row r="21" spans="1:29" ht="71.25">
      <c r="A21" s="364"/>
      <c r="B21" s="587" t="s">
        <v>2377</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65"/>
      <c r="Q21" s="1487" t="str">
        <f t="shared" si="8"/>
        <v>环境状况</v>
      </c>
      <c r="R21" s="714" t="s">
        <v>17</v>
      </c>
      <c r="S21" s="715">
        <f>F21</f>
        <v>100</v>
      </c>
      <c r="T21" s="714" t="s">
        <v>17</v>
      </c>
      <c r="U21" s="715">
        <f>H21</f>
        <v>100</v>
      </c>
      <c r="V21" s="714" t="s">
        <v>17</v>
      </c>
      <c r="W21" s="715">
        <f>J21</f>
        <v>100</v>
      </c>
      <c r="X21" s="1490"/>
      <c r="Y21" s="3465"/>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9"/>
      <c r="M22" s="2893"/>
      <c r="N22" s="2893"/>
      <c r="O22" s="2951"/>
      <c r="P22" s="3465"/>
      <c r="Q22" s="1487"/>
      <c r="R22" s="714"/>
      <c r="S22" s="715"/>
      <c r="T22" s="714"/>
      <c r="U22" s="715"/>
      <c r="V22" s="714"/>
      <c r="W22" s="715"/>
      <c r="X22" s="1490"/>
      <c r="Y22" s="3465"/>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65"/>
      <c r="Q23" s="1478" t="str">
        <f t="shared" si="8"/>
        <v>公共配套设施</v>
      </c>
      <c r="R23" s="710" t="s">
        <v>17</v>
      </c>
      <c r="S23" s="711">
        <f>F23</f>
        <v>100</v>
      </c>
      <c r="T23" s="710" t="s">
        <v>17</v>
      </c>
      <c r="U23" s="711">
        <f>H23</f>
        <v>100</v>
      </c>
      <c r="V23" s="710" t="s">
        <v>17</v>
      </c>
      <c r="W23" s="711">
        <f>J23</f>
        <v>100</v>
      </c>
      <c r="X23" s="712"/>
      <c r="Y23" s="3465"/>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4"/>
      <c r="M24" s="2895"/>
      <c r="N24" s="2895"/>
      <c r="O24" s="2949"/>
      <c r="P24" s="3465"/>
      <c r="Q24" s="1478"/>
      <c r="R24" s="710"/>
      <c r="S24" s="711"/>
      <c r="T24" s="710"/>
      <c r="U24" s="711"/>
      <c r="V24" s="710"/>
      <c r="W24" s="711"/>
      <c r="X24" s="712"/>
      <c r="Y24" s="3465"/>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65"/>
      <c r="Q25" s="1478" t="str">
        <f t="shared" ref="Q25" si="9">B25</f>
        <v>基础设施水平</v>
      </c>
      <c r="R25" s="710" t="s">
        <v>17</v>
      </c>
      <c r="S25" s="711">
        <f>F25</f>
        <v>100</v>
      </c>
      <c r="T25" s="710" t="s">
        <v>17</v>
      </c>
      <c r="U25" s="711">
        <f>H25</f>
        <v>100</v>
      </c>
      <c r="V25" s="710" t="s">
        <v>17</v>
      </c>
      <c r="W25" s="711">
        <f>J25</f>
        <v>100</v>
      </c>
      <c r="X25" s="712"/>
      <c r="Y25" s="3465"/>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4"/>
      <c r="M26" s="2895"/>
      <c r="N26" s="2895"/>
      <c r="O26" s="2949"/>
      <c r="P26" s="3465"/>
      <c r="Q26" s="1478"/>
      <c r="R26" s="710"/>
      <c r="S26" s="711"/>
      <c r="T26" s="710"/>
      <c r="U26" s="711"/>
      <c r="V26" s="710"/>
      <c r="W26" s="711"/>
      <c r="X26" s="712"/>
      <c r="Y26" s="346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6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5"/>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65"/>
      <c r="Q28" s="1487" t="str">
        <f t="shared" si="8"/>
        <v>毗邻道路的类型与等级</v>
      </c>
      <c r="R28" s="714" t="s">
        <v>17</v>
      </c>
      <c r="S28" s="715">
        <f t="shared" si="10"/>
        <v>100</v>
      </c>
      <c r="T28" s="714" t="s">
        <v>17</v>
      </c>
      <c r="U28" s="715">
        <f t="shared" si="11"/>
        <v>100</v>
      </c>
      <c r="V28" s="714" t="s">
        <v>17</v>
      </c>
      <c r="W28" s="715">
        <f t="shared" si="12"/>
        <v>100</v>
      </c>
      <c r="X28" s="1490"/>
      <c r="Y28" s="346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9"/>
      <c r="M29" s="2893"/>
      <c r="N29" s="2893"/>
      <c r="O29" s="2951"/>
      <c r="P29" s="3465"/>
      <c r="Q29" s="1487"/>
      <c r="R29" s="714"/>
      <c r="S29" s="715"/>
      <c r="T29" s="714"/>
      <c r="U29" s="715"/>
      <c r="V29" s="714"/>
      <c r="W29" s="715"/>
      <c r="X29" s="1490"/>
      <c r="Y29" s="346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65"/>
      <c r="Q30" s="1487" t="str">
        <f t="shared" si="8"/>
        <v>土地级别</v>
      </c>
      <c r="R30" s="714" t="s">
        <v>17</v>
      </c>
      <c r="S30" s="715">
        <f t="shared" si="10"/>
        <v>100</v>
      </c>
      <c r="T30" s="714" t="s">
        <v>17</v>
      </c>
      <c r="U30" s="715">
        <f t="shared" si="11"/>
        <v>100</v>
      </c>
      <c r="V30" s="714" t="s">
        <v>17</v>
      </c>
      <c r="W30" s="715">
        <f t="shared" si="12"/>
        <v>100</v>
      </c>
      <c r="X30" s="1490"/>
      <c r="Y30" s="3465"/>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65"/>
      <c r="Q31" s="1487">
        <f t="shared" si="8"/>
        <v>111</v>
      </c>
      <c r="R31" s="714" t="s">
        <v>17</v>
      </c>
      <c r="S31" s="715">
        <f t="shared" si="10"/>
        <v>100</v>
      </c>
      <c r="T31" s="714" t="s">
        <v>17</v>
      </c>
      <c r="U31" s="715">
        <f t="shared" si="11"/>
        <v>100</v>
      </c>
      <c r="V31" s="714" t="s">
        <v>17</v>
      </c>
      <c r="W31" s="715">
        <f t="shared" si="12"/>
        <v>100</v>
      </c>
      <c r="X31" s="1490"/>
      <c r="Y31" s="3465"/>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20" t="s">
        <v>2145</v>
      </c>
      <c r="Q32" s="1487">
        <f t="shared" si="8"/>
        <v>111</v>
      </c>
      <c r="R32" s="714" t="s">
        <v>17</v>
      </c>
      <c r="S32" s="715">
        <f t="shared" si="10"/>
        <v>100</v>
      </c>
      <c r="T32" s="714" t="s">
        <v>17</v>
      </c>
      <c r="U32" s="715">
        <f t="shared" si="11"/>
        <v>100</v>
      </c>
      <c r="V32" s="714" t="s">
        <v>17</v>
      </c>
      <c r="W32" s="715">
        <f t="shared" si="12"/>
        <v>100</v>
      </c>
      <c r="X32" s="1490"/>
      <c r="Y32" s="3469"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69"/>
      <c r="Q33" s="1487">
        <f t="shared" si="8"/>
        <v>111</v>
      </c>
      <c r="R33" s="717" t="s">
        <v>17</v>
      </c>
      <c r="S33" s="718">
        <f t="shared" si="10"/>
        <v>100</v>
      </c>
      <c r="T33" s="717" t="s">
        <v>17</v>
      </c>
      <c r="U33" s="718">
        <f t="shared" si="11"/>
        <v>100</v>
      </c>
      <c r="V33" s="717" t="s">
        <v>17</v>
      </c>
      <c r="W33" s="718">
        <f t="shared" si="12"/>
        <v>100</v>
      </c>
      <c r="X33" s="719"/>
      <c r="Y33" s="3469"/>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69"/>
      <c r="Q34" s="1487" t="str">
        <f>B34</f>
        <v>宗地面积</v>
      </c>
      <c r="R34" s="714" t="s">
        <v>17</v>
      </c>
      <c r="S34" s="715" t="e">
        <f t="shared" si="10"/>
        <v>#N/A</v>
      </c>
      <c r="T34" s="714" t="s">
        <v>17</v>
      </c>
      <c r="U34" s="715" t="e">
        <f t="shared" si="11"/>
        <v>#N/A</v>
      </c>
      <c r="V34" s="714" t="s">
        <v>17</v>
      </c>
      <c r="W34" s="715" t="e">
        <f t="shared" si="12"/>
        <v>#N/A</v>
      </c>
      <c r="X34" s="1490"/>
      <c r="Y34" s="3469"/>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9"/>
      <c r="M35" s="2893"/>
      <c r="N35" s="2893"/>
      <c r="O35" s="2951"/>
      <c r="P35" s="3469"/>
      <c r="Q35" s="1487" t="str">
        <f t="shared" ref="Q35:Q40" si="14">B35</f>
        <v>宗地形状</v>
      </c>
      <c r="R35" s="714" t="s">
        <v>17</v>
      </c>
      <c r="S35" s="715">
        <f t="shared" si="10"/>
        <v>100</v>
      </c>
      <c r="T35" s="714" t="s">
        <v>17</v>
      </c>
      <c r="U35" s="715">
        <f t="shared" si="11"/>
        <v>100</v>
      </c>
      <c r="V35" s="714" t="s">
        <v>17</v>
      </c>
      <c r="W35" s="715">
        <f t="shared" si="12"/>
        <v>100</v>
      </c>
      <c r="X35" s="1490"/>
      <c r="Y35" s="3469"/>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4"/>
      <c r="M36" s="2895"/>
      <c r="N36" s="2895"/>
      <c r="O36" s="2949"/>
      <c r="P36" s="3469"/>
      <c r="Q36" s="1487" t="str">
        <f t="shared" si="14"/>
        <v>宗地开发程度</v>
      </c>
      <c r="R36" s="710" t="s">
        <v>17</v>
      </c>
      <c r="S36" s="711">
        <f t="shared" si="10"/>
        <v>100</v>
      </c>
      <c r="T36" s="710" t="s">
        <v>17</v>
      </c>
      <c r="U36" s="711">
        <f t="shared" si="11"/>
        <v>100</v>
      </c>
      <c r="V36" s="710" t="s">
        <v>17</v>
      </c>
      <c r="W36" s="711">
        <f t="shared" si="12"/>
        <v>100</v>
      </c>
      <c r="X36" s="712"/>
      <c r="Y36" s="346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9"/>
      <c r="M37" s="2893"/>
      <c r="N37" s="2893"/>
      <c r="O37" s="2951"/>
      <c r="P37" s="3469" t="s">
        <v>2145</v>
      </c>
      <c r="Q37" s="1487" t="str">
        <f t="shared" si="14"/>
        <v>工程地质条件</v>
      </c>
      <c r="R37" s="714" t="s">
        <v>17</v>
      </c>
      <c r="S37" s="715">
        <f t="shared" si="10"/>
        <v>100</v>
      </c>
      <c r="T37" s="714" t="s">
        <v>17</v>
      </c>
      <c r="U37" s="715">
        <f t="shared" si="11"/>
        <v>100</v>
      </c>
      <c r="V37" s="714" t="s">
        <v>17</v>
      </c>
      <c r="W37" s="715">
        <f t="shared" si="12"/>
        <v>100</v>
      </c>
      <c r="X37" s="1490"/>
      <c r="Y37" s="346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69"/>
      <c r="Q38" s="1487">
        <f t="shared" si="14"/>
        <v>111</v>
      </c>
      <c r="R38" s="714" t="s">
        <v>17</v>
      </c>
      <c r="S38" s="715">
        <f t="shared" si="10"/>
        <v>100</v>
      </c>
      <c r="T38" s="714" t="s">
        <v>17</v>
      </c>
      <c r="U38" s="715">
        <f t="shared" si="11"/>
        <v>100</v>
      </c>
      <c r="V38" s="714" t="s">
        <v>17</v>
      </c>
      <c r="W38" s="715">
        <f t="shared" si="12"/>
        <v>100</v>
      </c>
      <c r="X38" s="1490"/>
      <c r="Y38" s="346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69"/>
      <c r="Q39" s="1487">
        <f t="shared" si="14"/>
        <v>111</v>
      </c>
      <c r="R39" s="714" t="s">
        <v>17</v>
      </c>
      <c r="S39" s="715">
        <f t="shared" si="10"/>
        <v>100</v>
      </c>
      <c r="T39" s="714" t="s">
        <v>17</v>
      </c>
      <c r="U39" s="715">
        <f t="shared" si="11"/>
        <v>100</v>
      </c>
      <c r="V39" s="714" t="s">
        <v>17</v>
      </c>
      <c r="W39" s="715">
        <f t="shared" si="12"/>
        <v>100</v>
      </c>
      <c r="X39" s="1490"/>
      <c r="Y39" s="3469"/>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69"/>
      <c r="Q40" s="1487">
        <f t="shared" si="14"/>
        <v>111</v>
      </c>
      <c r="R40" s="717" t="s">
        <v>17</v>
      </c>
      <c r="S40" s="718">
        <f t="shared" si="10"/>
        <v>100</v>
      </c>
      <c r="T40" s="717" t="s">
        <v>17</v>
      </c>
      <c r="U40" s="718">
        <f t="shared" si="11"/>
        <v>100</v>
      </c>
      <c r="V40" s="717" t="s">
        <v>17</v>
      </c>
      <c r="W40" s="718">
        <f t="shared" si="12"/>
        <v>100</v>
      </c>
      <c r="X40" s="719"/>
      <c r="Y40" s="3469"/>
      <c r="Z40" s="720">
        <f t="shared" si="13"/>
        <v>111</v>
      </c>
      <c r="AA40" s="1488">
        <f t="shared" si="3"/>
        <v>1</v>
      </c>
      <c r="AB40" s="1488">
        <f t="shared" si="4"/>
        <v>1</v>
      </c>
      <c r="AC40" s="1488">
        <f t="shared" si="5"/>
        <v>1</v>
      </c>
    </row>
    <row r="41" spans="1:31" ht="15">
      <c r="A41" s="438" t="s">
        <v>2300</v>
      </c>
      <c r="B41" s="2119" t="s">
        <v>2378</v>
      </c>
      <c r="C41" s="638" t="s">
        <v>1</v>
      </c>
      <c r="D41" s="440"/>
      <c r="E41" s="441"/>
      <c r="F41" s="442"/>
      <c r="G41" s="443"/>
      <c r="H41" s="444"/>
      <c r="I41" s="441"/>
      <c r="J41" s="444"/>
      <c r="K41" s="723"/>
      <c r="L41" s="2901"/>
      <c r="M41" s="2893"/>
      <c r="N41" s="2893"/>
      <c r="O41" s="2902"/>
      <c r="P41" s="3462" t="str">
        <f>A41</f>
        <v>成交单价</v>
      </c>
      <c r="Q41" s="3462"/>
      <c r="R41" s="3493">
        <f>E41</f>
        <v>0</v>
      </c>
      <c r="S41" s="3493"/>
      <c r="T41" s="3493">
        <f>G41</f>
        <v>0</v>
      </c>
      <c r="U41" s="3493"/>
      <c r="V41" s="3493">
        <f>I41</f>
        <v>0</v>
      </c>
      <c r="W41" s="3493"/>
      <c r="X41" s="699"/>
      <c r="Y41" s="721"/>
      <c r="Z41" s="699"/>
      <c r="AA41" s="699"/>
      <c r="AB41" s="699"/>
      <c r="AC41" s="699"/>
    </row>
    <row r="42" spans="1:31" ht="15.75" thickBot="1">
      <c r="A42" s="445" t="s">
        <v>2249</v>
      </c>
      <c r="B42" s="639"/>
      <c r="C42" s="448" t="e">
        <f>R43</f>
        <v>#DIV/0!</v>
      </c>
      <c r="D42" s="2489" t="s">
        <v>2638</v>
      </c>
      <c r="E42" s="448" t="e">
        <f>R42</f>
        <v>#DIV/0!</v>
      </c>
      <c r="F42" s="2490"/>
      <c r="G42" s="447" t="e">
        <f>T42</f>
        <v>#DIV/0!</v>
      </c>
      <c r="H42" s="2490"/>
      <c r="I42" s="448" t="e">
        <f>V42</f>
        <v>#DIV/0!</v>
      </c>
      <c r="J42" s="2490"/>
      <c r="K42" s="2492">
        <f>F42+H42+J42</f>
        <v>0</v>
      </c>
      <c r="L42" s="2901"/>
      <c r="M42" s="2893"/>
      <c r="N42" s="2893"/>
      <c r="O42" s="2902"/>
      <c r="P42" s="3462" t="str">
        <f>A42</f>
        <v>比较价值（元/平方米）</v>
      </c>
      <c r="Q42" s="3462"/>
      <c r="R42" s="3522" t="e">
        <f>ROUND(PRODUCT(R41,AA7:AA40),0)</f>
        <v>#DIV/0!</v>
      </c>
      <c r="S42" s="3522"/>
      <c r="T42" s="3522" t="e">
        <f>ROUND(PRODUCT(T41,AB7:AB40),0)</f>
        <v>#DIV/0!</v>
      </c>
      <c r="U42" s="3522"/>
      <c r="V42" s="3522" t="e">
        <f>ROUND(PRODUCT(V41,AC7:AC40),0)</f>
        <v>#DIV/0!</v>
      </c>
      <c r="W42" s="352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1"/>
      <c r="M43" s="2893"/>
      <c r="N43" s="2893"/>
      <c r="O43" s="2902"/>
      <c r="P43" s="3459" t="str">
        <f>A43</f>
        <v>估价对象XX用房的比较价值（楼面单价，元/平方米）</v>
      </c>
      <c r="Q43" s="3460"/>
      <c r="R43" s="3523" t="e">
        <f>ROUND(IF(D42="简单平均",AVERAGE(R42:W42),R42*F42+T42*H42+V42*J42),0)</f>
        <v>#DIV/0!</v>
      </c>
      <c r="S43" s="3523"/>
      <c r="T43" s="3523"/>
      <c r="U43" s="3523"/>
      <c r="V43" s="3523"/>
      <c r="W43" s="3523"/>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2338</v>
      </c>
      <c r="B50" s="641" t="s">
        <v>2339</v>
      </c>
      <c r="C50" s="2120" t="s">
        <v>2340</v>
      </c>
      <c r="D50" s="2121" t="s">
        <v>2341</v>
      </c>
      <c r="E50" s="642" t="s">
        <v>2342</v>
      </c>
      <c r="F50" s="643" t="s">
        <v>2343</v>
      </c>
      <c r="G50" s="3477" t="s">
        <v>2344</v>
      </c>
      <c r="H50" s="3524"/>
      <c r="I50" s="1491" t="s">
        <v>2379</v>
      </c>
      <c r="J50" s="1491" t="str">
        <f>项目基本情况!F35</f>
        <v>江苏省南京市</v>
      </c>
      <c r="K50" s="2123" t="s">
        <v>2346</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2347</v>
      </c>
      <c r="B51" s="645" t="e">
        <f>C43</f>
        <v>#DIV/0!</v>
      </c>
      <c r="C51" s="646">
        <v>1</v>
      </c>
      <c r="D51" s="1056">
        <v>1</v>
      </c>
      <c r="E51" s="646">
        <f>'数据-汇总表'!E8+'数据-汇总表'!E9</f>
        <v>17198.239999999998</v>
      </c>
      <c r="F51" s="647" t="e">
        <f t="shared" ref="F51:F60" si="15">ROUND(B51*E51/10000,0)</f>
        <v>#DIV/0!</v>
      </c>
      <c r="G51" s="3473"/>
      <c r="H51" s="3462"/>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2348</v>
      </c>
      <c r="B52" s="224" t="e">
        <f>ROUND($C$43*C52*D52,0)</f>
        <v>#DIV/0!</v>
      </c>
      <c r="C52" s="176">
        <f t="shared" ref="C52:C60" si="16">IF($C$50="北京市系数",I52,J52)</f>
        <v>0</v>
      </c>
      <c r="D52" s="1057">
        <v>0.25</v>
      </c>
      <c r="E52" s="650"/>
      <c r="F52" s="647" t="e">
        <f t="shared" si="15"/>
        <v>#DIV/0!</v>
      </c>
      <c r="G52" s="3219" t="s">
        <v>2349</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2350</v>
      </c>
      <c r="B53" s="224" t="e">
        <f t="shared" ref="B53:B60" si="17">ROUND($C$43*C53*D53,0)</f>
        <v>#DIV/0!</v>
      </c>
      <c r="C53" s="176">
        <f t="shared" si="16"/>
        <v>0</v>
      </c>
      <c r="D53" s="1057">
        <v>0.25</v>
      </c>
      <c r="E53" s="650"/>
      <c r="F53" s="647" t="e">
        <f t="shared" si="15"/>
        <v>#DIV/0!</v>
      </c>
      <c r="G53" s="3220"/>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2351</v>
      </c>
      <c r="B54" s="224" t="e">
        <f t="shared" si="17"/>
        <v>#DIV/0!</v>
      </c>
      <c r="C54" s="176">
        <f t="shared" si="16"/>
        <v>0</v>
      </c>
      <c r="D54" s="1057">
        <v>0.25</v>
      </c>
      <c r="E54" s="650"/>
      <c r="F54" s="647" t="e">
        <f t="shared" si="15"/>
        <v>#DIV/0!</v>
      </c>
      <c r="G54" s="3220"/>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1"/>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2360</v>
      </c>
      <c r="B61" s="652" t="s">
        <v>28</v>
      </c>
      <c r="C61" s="652" t="s">
        <v>29</v>
      </c>
      <c r="D61" s="652" t="s">
        <v>816</v>
      </c>
      <c r="E61" s="652">
        <f>IF(B41="楼面地价",SUM(E51:E60),'数据-汇总表'!D3)</f>
        <v>0</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2"/>
      <c r="Q63" s="2902"/>
      <c r="R63" s="2902"/>
      <c r="S63" s="2902"/>
      <c r="T63" s="2902"/>
      <c r="U63" s="2902"/>
      <c r="V63" s="2902"/>
      <c r="W63" s="2902"/>
      <c r="X63" s="2902"/>
      <c r="Y63" s="2902"/>
      <c r="Z63" s="2902"/>
      <c r="AA63" s="2902"/>
      <c r="AB63" s="2902"/>
      <c r="AC63" s="2902"/>
      <c r="AD63" s="2902"/>
      <c r="AE63" s="2902"/>
    </row>
    <row r="64" spans="1:31" ht="21.75" thickBot="1">
      <c r="A64" s="703" t="s">
        <v>2254</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6"/>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6"/>
      <c r="Q67" s="2916"/>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29"/>
      <c r="O68" s="2929"/>
      <c r="P68" s="2954"/>
      <c r="Q68" s="2916"/>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2137</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2139</v>
      </c>
      <c r="B83" s="485" t="s">
        <v>2285</v>
      </c>
      <c r="C83" s="530" t="s">
        <v>2177</v>
      </c>
      <c r="D83" s="530" t="s">
        <v>2178</v>
      </c>
      <c r="E83" s="530" t="s">
        <v>2179</v>
      </c>
      <c r="F83" s="530" t="s">
        <v>2180</v>
      </c>
      <c r="G83" s="530" t="s">
        <v>2181</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2182</v>
      </c>
      <c r="C85" s="535" t="s">
        <v>2177</v>
      </c>
      <c r="D85" s="535" t="s">
        <v>2178</v>
      </c>
      <c r="E85" s="535" t="s">
        <v>2179</v>
      </c>
      <c r="F85" s="535" t="s">
        <v>2180</v>
      </c>
      <c r="G85" s="535" t="s">
        <v>2181</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2363</v>
      </c>
      <c r="C87" s="530" t="s">
        <v>2177</v>
      </c>
      <c r="D87" s="530" t="s">
        <v>2178</v>
      </c>
      <c r="E87" s="530" t="s">
        <v>2179</v>
      </c>
      <c r="F87" s="530" t="s">
        <v>2180</v>
      </c>
      <c r="G87" s="530" t="s">
        <v>2181</v>
      </c>
      <c r="H87" s="535"/>
      <c r="I87" s="535"/>
      <c r="J87" s="535"/>
      <c r="K87" s="535"/>
      <c r="L87" s="654"/>
      <c r="M87" s="578"/>
      <c r="N87" s="2929"/>
      <c r="O87" s="2929"/>
      <c r="P87" s="2955"/>
      <c r="Q87" s="2916"/>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7"/>
      <c r="S88" s="2837"/>
      <c r="T88" s="2837"/>
      <c r="U88" s="2837"/>
      <c r="V88" s="2837"/>
      <c r="W88" s="2837"/>
      <c r="X88" s="2837"/>
      <c r="Y88" s="2837"/>
      <c r="Z88" s="2837"/>
      <c r="AA88" s="2837"/>
      <c r="AB88" s="2837"/>
      <c r="AC88" s="2837"/>
      <c r="AD88" s="2837"/>
      <c r="AE88" s="2837"/>
    </row>
    <row r="89" spans="1:31" s="113" customFormat="1" ht="27.75" thickTop="1">
      <c r="A89" s="536"/>
      <c r="B89" s="495" t="s">
        <v>2364</v>
      </c>
      <c r="C89" s="530" t="s">
        <v>2177</v>
      </c>
      <c r="D89" s="530" t="s">
        <v>2178</v>
      </c>
      <c r="E89" s="530" t="s">
        <v>2179</v>
      </c>
      <c r="F89" s="530" t="s">
        <v>2180</v>
      </c>
      <c r="G89" s="530" t="s">
        <v>2181</v>
      </c>
      <c r="H89" s="535"/>
      <c r="I89" s="535"/>
      <c r="J89" s="535"/>
      <c r="K89" s="535"/>
      <c r="L89" s="535"/>
      <c r="M89" s="578"/>
      <c r="N89" s="2929"/>
      <c r="O89" s="2929"/>
      <c r="P89" s="2955"/>
      <c r="Q89" s="2916"/>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2381</v>
      </c>
      <c r="C93" s="616" t="s">
        <v>2255</v>
      </c>
      <c r="D93" s="616" t="s">
        <v>2256</v>
      </c>
      <c r="E93" s="616" t="s">
        <v>2257</v>
      </c>
      <c r="F93" s="616" t="s">
        <v>2258</v>
      </c>
      <c r="G93" s="616" t="s">
        <v>2259</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2271</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2330</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2143</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2370</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2372</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2373</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f>IF(E2="商业",项目基本情况!B37,IF(E2="办公",项目基本情况!C37,IF(E2="住宅",项目基本情况!D37,项目基本情况!E37)))</f>
        <v>0</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t="e">
        <f>IF(F3="宗地容积率",'数据-汇总表'!I4,IF(F3="估价对象容积率",'数据-汇总表'!I6,'数据-汇总表'!I7))</f>
        <v>#DIV/0!</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3"/>
      <c r="B4" s="3534"/>
      <c r="C4" s="3534"/>
      <c r="D4" s="3535"/>
      <c r="E4" s="3535"/>
      <c r="F4" s="3535"/>
      <c r="G4" s="3535"/>
      <c r="H4" s="3535"/>
      <c r="I4" s="3535"/>
      <c r="J4" s="3536"/>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7"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2413</v>
      </c>
      <c r="X7" s="1329">
        <f>G2</f>
        <v>0</v>
      </c>
      <c r="Y7" s="1329" t="s">
        <v>2414</v>
      </c>
      <c r="Z7" s="1330" t="e">
        <f>G3</f>
        <v>#DIV/0!</v>
      </c>
      <c r="AA7" s="1331"/>
      <c r="AB7" s="1331"/>
      <c r="AC7" s="1332"/>
      <c r="AD7" s="1333"/>
      <c r="AE7" s="1333"/>
      <c r="AF7" s="1333"/>
      <c r="AG7" s="1333"/>
      <c r="AH7" s="1333"/>
      <c r="AI7" s="1333"/>
      <c r="AJ7" s="1334"/>
    </row>
    <row r="8" spans="1:36" ht="15">
      <c r="A8" s="3538"/>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0" t="s">
        <v>2418</v>
      </c>
      <c r="X8" s="3531"/>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38"/>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2"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8"/>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2"/>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8"/>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2" t="s">
        <v>2442</v>
      </c>
      <c r="X11" s="1339" t="s">
        <v>2443</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5" thickBot="1">
      <c r="A12" s="3537"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2"/>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9"/>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32"/>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39"/>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8"/>
      <c r="AE14" s="2968"/>
      <c r="AF14" s="2968"/>
      <c r="AG14" s="2968"/>
      <c r="AH14" s="2968"/>
      <c r="AI14" s="2968"/>
      <c r="AJ14" s="2969"/>
    </row>
    <row r="15" spans="1:36" ht="15.75" thickBot="1">
      <c r="A15" s="3540"/>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8"/>
      <c r="AE15" s="2968"/>
      <c r="AF15" s="2968"/>
      <c r="AG15" s="2968"/>
      <c r="AH15" s="2968"/>
      <c r="AI15" s="2968"/>
      <c r="AJ15" s="2969"/>
    </row>
    <row r="16" spans="1:36" ht="24.6" customHeight="1">
      <c r="A16" s="3537" t="s">
        <v>2461</v>
      </c>
      <c r="B16" s="2160" t="s">
        <v>2462</v>
      </c>
      <c r="C16" s="2322" t="e">
        <f>ROUND(IF(F17="与级别开发程度一致",0,(G17-E17)/C17),0)</f>
        <v>#DIV/0!</v>
      </c>
      <c r="D16" s="3553" t="s">
        <v>2466</v>
      </c>
      <c r="E16" s="3554"/>
      <c r="F16" s="3553" t="s">
        <v>2463</v>
      </c>
      <c r="G16" s="3554"/>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8"/>
      <c r="AE16" s="2968"/>
      <c r="AF16" s="2968"/>
      <c r="AG16" s="2968"/>
      <c r="AH16" s="2968"/>
      <c r="AI16" s="2968"/>
      <c r="AJ16" s="2969"/>
    </row>
    <row r="17" spans="1:37" ht="13.5" thickBot="1">
      <c r="A17" s="3541"/>
      <c r="B17" s="2333" t="s">
        <v>2465</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7"/>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44804</v>
      </c>
      <c r="H19" s="2203"/>
      <c r="I19" s="848" t="str">
        <f>IF(H19="季度增幅（自定义）",SUMIF(N21:N24,E2,O21:O24),"")</f>
        <v/>
      </c>
      <c r="J19" s="2200"/>
      <c r="K19" s="1240"/>
      <c r="L19" s="2204" t="s">
        <v>2472</v>
      </c>
      <c r="M19" s="1449">
        <f>ROUND(SUMIF(地价!B2:F2,E2,地价!B37:F37),0)</f>
        <v>0</v>
      </c>
      <c r="N19" s="2205" t="s">
        <v>2473</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0"/>
      <c r="AH19" s="2291"/>
      <c r="AI19" s="2971"/>
      <c r="AJ19" s="2971"/>
      <c r="AK19" s="2206"/>
    </row>
    <row r="20" spans="1:37" s="2153" customFormat="1" ht="27.75" thickBot="1">
      <c r="A20" s="2207" t="s">
        <v>629</v>
      </c>
      <c r="B20" s="2208" t="s">
        <v>2474</v>
      </c>
      <c r="C20" s="850" t="e">
        <f>ROUND(POWER(1+G20,J20-I20)*(POWER(1+G20,I20)-1)/(POWER(1+G20,J20)-1),4)</f>
        <v>#DIV/0!</v>
      </c>
      <c r="D20" s="2209" t="s">
        <v>2475</v>
      </c>
      <c r="E20" s="1456">
        <f>存贷款利率!E22/100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3" customFormat="1" ht="15">
      <c r="A21" s="2214" t="s">
        <v>630</v>
      </c>
      <c r="B21" s="2215" t="s">
        <v>2481</v>
      </c>
      <c r="C21" s="857" t="e">
        <f>IF(B21="容积率修正",IF(G3&lt;=10,D22,J22),C23)</f>
        <v>#DIV/0!</v>
      </c>
      <c r="D21" s="2216"/>
      <c r="E21" s="2216"/>
      <c r="F21" s="2216"/>
      <c r="G21" s="2216"/>
      <c r="H21" s="2216"/>
      <c r="I21" s="2216"/>
      <c r="J21" s="2217"/>
      <c r="K21" s="1240"/>
      <c r="L21" s="2967"/>
      <c r="M21" s="2967"/>
      <c r="N21" s="2218" t="s">
        <v>2482</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3" customFormat="1" ht="14.25">
      <c r="A22" s="2092" t="s">
        <v>2483</v>
      </c>
      <c r="B22" s="2219" t="s">
        <v>2484</v>
      </c>
      <c r="C22" s="1487" t="s">
        <v>2485</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7"/>
      <c r="M22" s="2967"/>
      <c r="N22" s="2218" t="s">
        <v>2486</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2" t="s">
        <v>2487</v>
      </c>
      <c r="B23" s="2220" t="s">
        <v>2488</v>
      </c>
      <c r="C23" s="931" t="e">
        <f>ROUND(IF(G3&gt;1,IF(I3&lt;7,SUMPRODUCT((B93:B98=I3)*(C92:N92=G2)*(C93:N98)),SUMIF(C92:N92,G2,C100:N100)),IF(I3&lt;7,SUMPRODUCT((B102:B107=I3)*(C92:N92=G2)*(C102:N107)),SUMIF(C92:N92,G2,C109:N109))),4)</f>
        <v>#DIV/0!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7"/>
      <c r="M24" s="2967"/>
      <c r="N24" s="2228" t="s">
        <v>2491</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7" t="s">
        <v>632</v>
      </c>
      <c r="B25" s="2229" t="s">
        <v>2492</v>
      </c>
      <c r="C25" s="851"/>
      <c r="D25" s="2163"/>
      <c r="E25" s="2163"/>
      <c r="F25" s="2230"/>
      <c r="G25" s="2163"/>
      <c r="H25" s="2163"/>
      <c r="I25" s="2163"/>
      <c r="J25" s="2164"/>
      <c r="K25" s="1233"/>
      <c r="L25" s="2134"/>
      <c r="M25" s="2134"/>
      <c r="N25" s="2962" t="s">
        <v>2493</v>
      </c>
      <c r="O25" s="2963"/>
      <c r="P25" s="2964">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5" t="s">
        <v>2392</v>
      </c>
      <c r="M26" s="2161" t="s">
        <v>2457</v>
      </c>
      <c r="N26" s="2161" t="s">
        <v>2458</v>
      </c>
      <c r="O26" s="2161" t="s">
        <v>2459</v>
      </c>
      <c r="P26" s="2966"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50"/>
      <c r="B33" s="2263" t="s">
        <v>2508</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55"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51"/>
      <c r="B34" s="2180" t="s">
        <v>2509</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1"/>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51"/>
      <c r="B35" s="2180" t="s">
        <v>2510</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51"/>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52"/>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52"/>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2177</v>
      </c>
      <c r="K80" s="560" t="s">
        <v>2178</v>
      </c>
      <c r="L80" s="560" t="s">
        <v>2179</v>
      </c>
      <c r="M80" s="560" t="s">
        <v>2180</v>
      </c>
      <c r="N80" s="560" t="s">
        <v>2181</v>
      </c>
      <c r="Z80" s="2135"/>
      <c r="AA80" s="2201"/>
      <c r="AG80" s="1235"/>
      <c r="AK80" s="2201"/>
    </row>
    <row r="81" spans="1:37" ht="38.25">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42" t="s">
        <v>2549</v>
      </c>
      <c r="B90" s="3542"/>
      <c r="C90" s="3542"/>
      <c r="D90" s="3542"/>
      <c r="E90" s="3542"/>
      <c r="F90" s="3542"/>
      <c r="G90" s="3542"/>
      <c r="H90" s="3542"/>
      <c r="I90" s="3542"/>
      <c r="J90" s="3542"/>
      <c r="K90" s="2294"/>
      <c r="L90" s="2294"/>
      <c r="M90" s="2294"/>
      <c r="N90" s="2294"/>
    </row>
    <row r="91" spans="1:37">
      <c r="A91" s="3544" t="s">
        <v>2550</v>
      </c>
      <c r="B91" s="3544" t="s">
        <v>2551</v>
      </c>
      <c r="C91" s="2248" t="s">
        <v>2552</v>
      </c>
      <c r="D91" s="2249"/>
      <c r="E91" s="2249"/>
      <c r="F91" s="2249"/>
      <c r="G91" s="2249"/>
      <c r="H91" s="2249"/>
      <c r="I91" s="2249"/>
      <c r="J91" s="2295"/>
      <c r="K91" s="2296"/>
      <c r="L91" s="2296"/>
      <c r="M91" s="2296"/>
      <c r="N91" s="2296"/>
    </row>
    <row r="92" spans="1:37">
      <c r="A92" s="3544"/>
      <c r="B92" s="3544"/>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45"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6"/>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6"/>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6"/>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6"/>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6"/>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6"/>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7"/>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5" t="s">
        <v>2554</v>
      </c>
      <c r="B101" s="2301" t="s">
        <v>2555</v>
      </c>
      <c r="C101" s="2302" t="e">
        <f>$G$3</f>
        <v>#DIV/0!</v>
      </c>
      <c r="D101" s="2302" t="e">
        <f t="shared" ref="D101:N101" si="31">$G$3</f>
        <v>#DIV/0!</v>
      </c>
      <c r="E101" s="2302" t="e">
        <f t="shared" si="31"/>
        <v>#DIV/0!</v>
      </c>
      <c r="F101" s="2302" t="e">
        <f t="shared" si="31"/>
        <v>#DIV/0!</v>
      </c>
      <c r="G101" s="2302" t="e">
        <f t="shared" si="31"/>
        <v>#DIV/0!</v>
      </c>
      <c r="H101" s="2302" t="e">
        <f t="shared" si="31"/>
        <v>#DIV/0!</v>
      </c>
      <c r="I101" s="2302" t="e">
        <f t="shared" si="31"/>
        <v>#DIV/0!</v>
      </c>
      <c r="J101" s="2302" t="e">
        <f t="shared" si="31"/>
        <v>#DIV/0!</v>
      </c>
      <c r="K101" s="2302" t="e">
        <f t="shared" si="31"/>
        <v>#DIV/0!</v>
      </c>
      <c r="L101" s="2302" t="e">
        <f t="shared" si="31"/>
        <v>#DIV/0!</v>
      </c>
      <c r="M101" s="2302" t="e">
        <f t="shared" si="31"/>
        <v>#DIV/0!</v>
      </c>
      <c r="N101" s="2302" t="e">
        <f t="shared" si="31"/>
        <v>#DIV/0!</v>
      </c>
    </row>
    <row r="102" spans="1:14">
      <c r="A102" s="3546"/>
      <c r="B102" s="2297">
        <v>1</v>
      </c>
      <c r="C102" s="2298" t="e">
        <f>1.9362/C101</f>
        <v>#DIV/0!</v>
      </c>
      <c r="D102" s="2298" t="e">
        <f>1.9362/D101</f>
        <v>#DIV/0!</v>
      </c>
      <c r="E102" s="2298" t="e">
        <f>1.8629/E101</f>
        <v>#DIV/0!</v>
      </c>
      <c r="F102" s="2298" t="e">
        <f>1.8629/F101</f>
        <v>#DIV/0!</v>
      </c>
      <c r="G102" s="2298" t="e">
        <f>1.8629/G101</f>
        <v>#DIV/0!</v>
      </c>
      <c r="H102" s="2298" t="e">
        <f>1.8629/H101</f>
        <v>#DIV/0!</v>
      </c>
      <c r="I102" s="2298" t="e">
        <f>1.8629/I101</f>
        <v>#DIV/0!</v>
      </c>
      <c r="J102" s="2298" t="e">
        <f>1.942/J101</f>
        <v>#DIV/0!</v>
      </c>
      <c r="K102" s="2298" t="e">
        <f>1.942/K101</f>
        <v>#DIV/0!</v>
      </c>
      <c r="L102" s="2298" t="e">
        <f>1.942/L101</f>
        <v>#DIV/0!</v>
      </c>
      <c r="M102" s="2298" t="e">
        <f>1.942/M101</f>
        <v>#DIV/0!</v>
      </c>
      <c r="N102" s="2298" t="e">
        <f>1.942/N101</f>
        <v>#DIV/0!</v>
      </c>
    </row>
    <row r="103" spans="1:14">
      <c r="A103" s="3546"/>
      <c r="B103" s="2297">
        <v>2</v>
      </c>
      <c r="C103" s="2298" t="e">
        <f>1.4198/C101</f>
        <v>#DIV/0!</v>
      </c>
      <c r="D103" s="2298" t="e">
        <f>1.4198/D101</f>
        <v>#DIV/0!</v>
      </c>
      <c r="E103" s="2298" t="e">
        <f>1.3372/E101</f>
        <v>#DIV/0!</v>
      </c>
      <c r="F103" s="2298" t="e">
        <f>1.3372/F101</f>
        <v>#DIV/0!</v>
      </c>
      <c r="G103" s="2298" t="e">
        <f>1.3372/G101</f>
        <v>#DIV/0!</v>
      </c>
      <c r="H103" s="2298" t="e">
        <f>1.3372/H101</f>
        <v>#DIV/0!</v>
      </c>
      <c r="I103" s="2298" t="e">
        <f>1.3372/I101</f>
        <v>#DIV/0!</v>
      </c>
      <c r="J103" s="2298" t="e">
        <f>1.2799/J101</f>
        <v>#DIV/0!</v>
      </c>
      <c r="K103" s="2298" t="e">
        <f>1.2799/K101</f>
        <v>#DIV/0!</v>
      </c>
      <c r="L103" s="2298" t="e">
        <f>1.2799/L101</f>
        <v>#DIV/0!</v>
      </c>
      <c r="M103" s="2298" t="e">
        <f>1.2799/M101</f>
        <v>#DIV/0!</v>
      </c>
      <c r="N103" s="2298" t="e">
        <f>1.2799/N101</f>
        <v>#DIV/0!</v>
      </c>
    </row>
    <row r="104" spans="1:14">
      <c r="A104" s="3546"/>
      <c r="B104" s="2297">
        <v>3</v>
      </c>
      <c r="C104" s="2298" t="e">
        <f>1.1594/C101</f>
        <v>#DIV/0!</v>
      </c>
      <c r="D104" s="2298" t="e">
        <f>1.1594/D101</f>
        <v>#DIV/0!</v>
      </c>
      <c r="E104" s="2298" t="e">
        <f>1.0788/E101</f>
        <v>#DIV/0!</v>
      </c>
      <c r="F104" s="2298" t="e">
        <f>1.0788/F101</f>
        <v>#DIV/0!</v>
      </c>
      <c r="G104" s="2298" t="e">
        <f>1.0788/G101</f>
        <v>#DIV/0!</v>
      </c>
      <c r="H104" s="2298" t="e">
        <f>1.0788/H101</f>
        <v>#DIV/0!</v>
      </c>
      <c r="I104" s="2298" t="e">
        <f>1.0788/I101</f>
        <v>#DIV/0!</v>
      </c>
      <c r="J104" s="2298" t="e">
        <f>1.0072/J101</f>
        <v>#DIV/0!</v>
      </c>
      <c r="K104" s="2298" t="e">
        <f>1.0072/K101</f>
        <v>#DIV/0!</v>
      </c>
      <c r="L104" s="2298" t="e">
        <f>1.0072/L101</f>
        <v>#DIV/0!</v>
      </c>
      <c r="M104" s="2298" t="e">
        <f>1.0072/M101</f>
        <v>#DIV/0!</v>
      </c>
      <c r="N104" s="2298" t="e">
        <f>1.0072/N101</f>
        <v>#DIV/0!</v>
      </c>
    </row>
    <row r="105" spans="1:14">
      <c r="A105" s="3546"/>
      <c r="B105" s="2297">
        <v>4</v>
      </c>
      <c r="C105" s="2298" t="e">
        <f>0.9622/C101</f>
        <v>#DIV/0!</v>
      </c>
      <c r="D105" s="2298" t="e">
        <f>0.9622/D101</f>
        <v>#DIV/0!</v>
      </c>
      <c r="E105" s="2298" t="e">
        <f>0.8656/E101</f>
        <v>#DIV/0!</v>
      </c>
      <c r="F105" s="2298" t="e">
        <f>0.8656/F101</f>
        <v>#DIV/0!</v>
      </c>
      <c r="G105" s="2298" t="e">
        <f>0.8656/G101</f>
        <v>#DIV/0!</v>
      </c>
      <c r="H105" s="2298" t="e">
        <f>0.8656/H101</f>
        <v>#DIV/0!</v>
      </c>
      <c r="I105" s="2298" t="e">
        <f>0.8656/I101</f>
        <v>#DIV/0!</v>
      </c>
      <c r="J105" s="2298" t="e">
        <f>0.7525/J101</f>
        <v>#DIV/0!</v>
      </c>
      <c r="K105" s="2298" t="e">
        <f>0.7525/K101</f>
        <v>#DIV/0!</v>
      </c>
      <c r="L105" s="2298" t="e">
        <f>0.7525/L101</f>
        <v>#DIV/0!</v>
      </c>
      <c r="M105" s="2298" t="e">
        <f>0.7525/M101</f>
        <v>#DIV/0!</v>
      </c>
      <c r="N105" s="2298" t="e">
        <f>0.7525/N101</f>
        <v>#DIV/0!</v>
      </c>
    </row>
    <row r="106" spans="1:14">
      <c r="A106" s="3546"/>
      <c r="B106" s="2297">
        <v>5</v>
      </c>
      <c r="C106" s="2298" t="e">
        <f>0.8417/C101</f>
        <v>#DIV/0!</v>
      </c>
      <c r="D106" s="2298" t="e">
        <f>0.8417/D101</f>
        <v>#DIV/0!</v>
      </c>
      <c r="E106" s="2298" t="e">
        <f>0.7371/E101</f>
        <v>#DIV/0!</v>
      </c>
      <c r="F106" s="2298" t="e">
        <f>0.7371/F101</f>
        <v>#DIV/0!</v>
      </c>
      <c r="G106" s="2298" t="e">
        <f>0.7371/G101</f>
        <v>#DIV/0!</v>
      </c>
      <c r="H106" s="2298" t="e">
        <f>0.7371/H101</f>
        <v>#DIV/0!</v>
      </c>
      <c r="I106" s="2298" t="e">
        <f>0.7371/I101</f>
        <v>#DIV/0!</v>
      </c>
      <c r="J106" s="2298" t="e">
        <f>0.5659/J101</f>
        <v>#DIV/0!</v>
      </c>
      <c r="K106" s="2298" t="e">
        <f>0.5659/K101</f>
        <v>#DIV/0!</v>
      </c>
      <c r="L106" s="2298" t="e">
        <f>0.5659/L101</f>
        <v>#DIV/0!</v>
      </c>
      <c r="M106" s="2298" t="e">
        <f>0.5659/M101</f>
        <v>#DIV/0!</v>
      </c>
      <c r="N106" s="2298" t="e">
        <f>0.5659/N101</f>
        <v>#DIV/0!</v>
      </c>
    </row>
    <row r="107" spans="1:14">
      <c r="A107" s="3546"/>
      <c r="B107" s="2297">
        <v>6</v>
      </c>
      <c r="C107" s="2298" t="e">
        <f>0.7608/C101</f>
        <v>#DIV/0!</v>
      </c>
      <c r="D107" s="2298" t="e">
        <f>0.7608/D101</f>
        <v>#DIV/0!</v>
      </c>
      <c r="E107" s="2298" t="e">
        <f>0.6482/E101</f>
        <v>#DIV/0!</v>
      </c>
      <c r="F107" s="2298" t="e">
        <f>0.6482/F101</f>
        <v>#DIV/0!</v>
      </c>
      <c r="G107" s="2298" t="e">
        <f>0.6482/G101</f>
        <v>#DIV/0!</v>
      </c>
      <c r="H107" s="2298" t="e">
        <f>0.6482/H101</f>
        <v>#DIV/0!</v>
      </c>
      <c r="I107" s="2298" t="e">
        <f>0.6482/I101</f>
        <v>#DIV/0!</v>
      </c>
      <c r="J107" s="2298" t="e">
        <f>0.4525/J101</f>
        <v>#DIV/0!</v>
      </c>
      <c r="K107" s="2298" t="e">
        <f>0.4525/K101</f>
        <v>#DIV/0!</v>
      </c>
      <c r="L107" s="2298" t="e">
        <f>0.4525/L101</f>
        <v>#DIV/0!</v>
      </c>
      <c r="M107" s="2298" t="e">
        <f>0.4525/M101</f>
        <v>#DIV/0!</v>
      </c>
      <c r="N107" s="2298" t="e">
        <f>0.4525/N101</f>
        <v>#DIV/0!</v>
      </c>
    </row>
    <row r="108" spans="1:14">
      <c r="A108" s="3546"/>
      <c r="B108" s="3548"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7"/>
      <c r="B109" s="3549"/>
      <c r="C109" s="2300" t="e">
        <f>(-0.163*(C108^2)-0.59*C108+7617)*(10^(-4))/C101</f>
        <v>#DIV/0!</v>
      </c>
      <c r="D109" s="2300" t="e">
        <f>(-0.163*(D108^2)-0.59*D108+7617)*(10^(-4))/D101</f>
        <v>#DIV/0!</v>
      </c>
      <c r="E109" s="2300" t="e">
        <f>(-0.161*(E108^2)-7.509*E108+6533)*(10^(-4))/E101</f>
        <v>#DIV/0!</v>
      </c>
      <c r="F109" s="2300" t="e">
        <f>(-0.161*(F108^2)-7.509*F108+6533)*(10^(-4))/F101</f>
        <v>#DIV/0!</v>
      </c>
      <c r="G109" s="2300" t="e">
        <f>(-0.161*(G108^2)-7.509*G108+6533)*(10^(-4))/G101</f>
        <v>#DIV/0!</v>
      </c>
      <c r="H109" s="2300" t="e">
        <f>(-0.161*(H108^2)-7.509*H108+6533)*(10^(-4))/H101</f>
        <v>#DIV/0!</v>
      </c>
      <c r="I109" s="2300" t="e">
        <f>(-0.161*(I108^2)-7.509*I108+6533)*(10^(-4))/I101</f>
        <v>#DIV/0!</v>
      </c>
      <c r="J109" s="2300" t="e">
        <f>(-0.214*(J108^2)-21.991*J108+4665)*(10^(-4))/J101</f>
        <v>#DIV/0!</v>
      </c>
      <c r="K109" s="2300" t="e">
        <f>(-0.214*(K108^2)-21.991*K108+4665)*(10^(-4))/K101</f>
        <v>#DIV/0!</v>
      </c>
      <c r="L109" s="2300" t="e">
        <f>(-0.214*(L108^2)-21.991*L108+4665)*(10^(-4))/L101</f>
        <v>#DIV/0!</v>
      </c>
      <c r="M109" s="2300" t="e">
        <f>(-0.214*(M108^2)-21.991*M108+4665)*(10^(-4))/M101</f>
        <v>#DIV/0!</v>
      </c>
      <c r="N109" s="2300" t="e">
        <f>(-0.214*(N108^2)-21.991*N108+4665)*(10^(-4))/N101</f>
        <v>#DIV/0!</v>
      </c>
    </row>
    <row r="110" spans="1:14">
      <c r="A110" s="3543" t="s">
        <v>2557</v>
      </c>
      <c r="B110" s="3543"/>
      <c r="C110" s="3543"/>
      <c r="D110" s="3543"/>
      <c r="E110" s="3543"/>
      <c r="F110" s="3543"/>
      <c r="G110" s="3543"/>
      <c r="H110" s="3543"/>
      <c r="I110" s="3543"/>
      <c r="J110" s="3543"/>
      <c r="K110" s="2303"/>
      <c r="L110" s="2303"/>
      <c r="M110" s="2303"/>
      <c r="N110" s="2303"/>
    </row>
    <row r="112" spans="1:14" ht="13.5" thickBot="1"/>
    <row r="113" spans="1:13" ht="25.5" thickBot="1">
      <c r="A113" s="824" t="s">
        <v>2558</v>
      </c>
      <c r="B113" s="1178" t="e">
        <f>G3</f>
        <v>#DIV/0!</v>
      </c>
      <c r="C113" s="825" t="s">
        <v>2559</v>
      </c>
      <c r="D113" s="826" t="e">
        <f>SUMPRODUCT((A115:A118=F113)*(B114:M114=H113)*B115:M118)</f>
        <v>#DIV/0!</v>
      </c>
      <c r="E113" s="2139" t="s">
        <v>2392</v>
      </c>
      <c r="F113" s="2305">
        <f>E2</f>
        <v>0</v>
      </c>
      <c r="G113" s="2139" t="s">
        <v>2393</v>
      </c>
      <c r="H113" s="2305">
        <f>G2</f>
        <v>0</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2458</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2459</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5" thickBot="1">
      <c r="A118" s="670" t="s">
        <v>2460</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78" t="s">
        <v>2944</v>
      </c>
      <c r="B2" s="3179">
        <v>3.5</v>
      </c>
      <c r="C2" s="3179">
        <v>3.5</v>
      </c>
      <c r="D2" s="3180">
        <v>2.5</v>
      </c>
      <c r="E2" s="3180">
        <v>2.5</v>
      </c>
      <c r="F2" s="3180">
        <v>2.5</v>
      </c>
      <c r="G2" s="3180">
        <v>2.5</v>
      </c>
      <c r="H2" s="3180">
        <v>2.5</v>
      </c>
      <c r="I2" s="3179">
        <v>2</v>
      </c>
      <c r="J2" s="3179">
        <v>2</v>
      </c>
      <c r="K2" s="3179">
        <v>2</v>
      </c>
      <c r="L2" s="3179">
        <v>2</v>
      </c>
      <c r="M2" s="3181">
        <v>2</v>
      </c>
    </row>
    <row r="3" spans="1:13" ht="19.5" customHeight="1">
      <c r="A3" s="3182" t="s">
        <v>2945</v>
      </c>
      <c r="B3" s="3183">
        <v>3.5</v>
      </c>
      <c r="C3" s="3183">
        <v>3.5</v>
      </c>
      <c r="D3" s="3184">
        <v>2.5</v>
      </c>
      <c r="E3" s="3184">
        <v>2.5</v>
      </c>
      <c r="F3" s="3184">
        <v>2.5</v>
      </c>
      <c r="G3" s="3184">
        <v>2.5</v>
      </c>
      <c r="H3" s="3184">
        <v>2.5</v>
      </c>
      <c r="I3" s="3183">
        <v>2</v>
      </c>
      <c r="J3" s="3183">
        <v>2</v>
      </c>
      <c r="K3" s="3183">
        <v>2</v>
      </c>
      <c r="L3" s="3183">
        <v>2</v>
      </c>
      <c r="M3" s="3185">
        <v>2</v>
      </c>
    </row>
    <row r="4" spans="1:13" ht="19.5" customHeight="1">
      <c r="A4" s="3182" t="s">
        <v>2946</v>
      </c>
      <c r="B4" s="3184">
        <v>2.5</v>
      </c>
      <c r="C4" s="3184">
        <v>2.5</v>
      </c>
      <c r="D4" s="3184">
        <v>2.5</v>
      </c>
      <c r="E4" s="3184">
        <v>2.5</v>
      </c>
      <c r="F4" s="3184">
        <v>2.5</v>
      </c>
      <c r="G4" s="3184">
        <v>2.5</v>
      </c>
      <c r="H4" s="3184">
        <v>2.5</v>
      </c>
      <c r="I4" s="3183">
        <v>1.5</v>
      </c>
      <c r="J4" s="3183">
        <v>1.5</v>
      </c>
      <c r="K4" s="3183">
        <v>1.5</v>
      </c>
      <c r="L4" s="3183">
        <v>1.5</v>
      </c>
      <c r="M4" s="3185">
        <v>1.5</v>
      </c>
    </row>
    <row r="5" spans="1:13" ht="19.5" customHeight="1">
      <c r="A5" s="3186" t="s">
        <v>2947</v>
      </c>
      <c r="B5" s="3183">
        <v>1.5</v>
      </c>
      <c r="C5" s="3183">
        <v>1.5</v>
      </c>
      <c r="D5" s="3183">
        <v>1.5</v>
      </c>
      <c r="E5" s="3183">
        <v>1.5</v>
      </c>
      <c r="F5" s="3183">
        <v>1.5</v>
      </c>
      <c r="G5" s="3183">
        <v>1.2</v>
      </c>
      <c r="H5" s="3183">
        <v>1.2</v>
      </c>
      <c r="I5" s="3183">
        <v>1</v>
      </c>
      <c r="J5" s="3183">
        <v>1</v>
      </c>
      <c r="K5" s="3183">
        <v>1</v>
      </c>
      <c r="L5" s="3183">
        <v>1</v>
      </c>
      <c r="M5" s="3185">
        <v>1</v>
      </c>
    </row>
    <row r="6" spans="1:13" ht="19.5" customHeight="1">
      <c r="A6" s="3187" t="s">
        <v>2948</v>
      </c>
      <c r="B6" s="3188">
        <v>2.5</v>
      </c>
      <c r="C6" s="3188">
        <v>2.5</v>
      </c>
      <c r="D6" s="3188">
        <v>2</v>
      </c>
      <c r="E6" s="3188">
        <v>2</v>
      </c>
      <c r="F6" s="3188">
        <v>2</v>
      </c>
      <c r="G6" s="3188">
        <v>2</v>
      </c>
      <c r="H6" s="3188">
        <v>2</v>
      </c>
      <c r="I6" s="3189">
        <v>1.5</v>
      </c>
      <c r="J6" s="3189">
        <v>1.5</v>
      </c>
      <c r="K6" s="3189">
        <v>1.5</v>
      </c>
      <c r="L6" s="3189">
        <v>1.5</v>
      </c>
      <c r="M6" s="3190">
        <v>1.5</v>
      </c>
    </row>
    <row r="7" spans="1:13" ht="19.5" customHeight="1" thickBot="1">
      <c r="A7" s="3191" t="s">
        <v>2949</v>
      </c>
      <c r="B7" s="3192">
        <v>2.5</v>
      </c>
      <c r="C7" s="3192">
        <v>2.5</v>
      </c>
      <c r="D7" s="3192">
        <v>2</v>
      </c>
      <c r="E7" s="3192">
        <v>2</v>
      </c>
      <c r="F7" s="3192">
        <v>2</v>
      </c>
      <c r="G7" s="3192">
        <v>2</v>
      </c>
      <c r="H7" s="3192">
        <v>2</v>
      </c>
      <c r="I7" s="3193">
        <v>1.5</v>
      </c>
      <c r="J7" s="3193">
        <v>1.5</v>
      </c>
      <c r="K7" s="3193">
        <v>1.5</v>
      </c>
      <c r="L7" s="3193">
        <v>1.5</v>
      </c>
      <c r="M7" s="3194">
        <v>1.5</v>
      </c>
    </row>
    <row r="8" spans="1:13" ht="19.5" customHeight="1">
      <c r="A8" s="796" t="s">
        <v>546</v>
      </c>
      <c r="B8" s="3195">
        <v>80</v>
      </c>
      <c r="C8" s="3195">
        <v>80</v>
      </c>
      <c r="D8" s="3195">
        <v>70</v>
      </c>
      <c r="E8" s="3195">
        <v>70</v>
      </c>
      <c r="F8" s="3195">
        <v>70</v>
      </c>
      <c r="G8" s="3195">
        <v>70</v>
      </c>
      <c r="H8" s="3195">
        <v>70</v>
      </c>
      <c r="I8" s="3195">
        <v>60</v>
      </c>
      <c r="J8" s="3195">
        <v>60</v>
      </c>
      <c r="K8" s="3195">
        <v>60</v>
      </c>
      <c r="L8" s="3195">
        <v>60</v>
      </c>
      <c r="M8" s="3196">
        <v>60</v>
      </c>
    </row>
    <row r="9" spans="1:13" ht="19.5" customHeight="1">
      <c r="A9" s="756" t="s">
        <v>547</v>
      </c>
      <c r="B9" s="3197">
        <v>70</v>
      </c>
      <c r="C9" s="3197">
        <v>70</v>
      </c>
      <c r="D9" s="3197">
        <v>60</v>
      </c>
      <c r="E9" s="3197">
        <v>60</v>
      </c>
      <c r="F9" s="3197">
        <v>60</v>
      </c>
      <c r="G9" s="3197">
        <v>60</v>
      </c>
      <c r="H9" s="3197">
        <v>60</v>
      </c>
      <c r="I9" s="3197">
        <v>50</v>
      </c>
      <c r="J9" s="3197">
        <v>50</v>
      </c>
      <c r="K9" s="3197">
        <v>50</v>
      </c>
      <c r="L9" s="3197">
        <v>50</v>
      </c>
      <c r="M9" s="3198">
        <v>50</v>
      </c>
    </row>
    <row r="10" spans="1:13" ht="19.5" customHeight="1">
      <c r="A10" s="756" t="s">
        <v>548</v>
      </c>
      <c r="B10" s="3197">
        <v>20</v>
      </c>
      <c r="C10" s="3197">
        <v>20</v>
      </c>
      <c r="D10" s="3197">
        <v>15</v>
      </c>
      <c r="E10" s="3197">
        <v>15</v>
      </c>
      <c r="F10" s="3197">
        <v>15</v>
      </c>
      <c r="G10" s="3197">
        <v>15</v>
      </c>
      <c r="H10" s="3197">
        <v>15</v>
      </c>
      <c r="I10" s="3197">
        <v>10</v>
      </c>
      <c r="J10" s="3197">
        <v>10</v>
      </c>
      <c r="K10" s="3197">
        <v>10</v>
      </c>
      <c r="L10" s="3197">
        <v>10</v>
      </c>
      <c r="M10" s="3198">
        <v>10</v>
      </c>
    </row>
    <row r="11" spans="1:13" ht="19.5" customHeight="1">
      <c r="A11" s="756" t="s">
        <v>549</v>
      </c>
      <c r="B11" s="3197">
        <v>30</v>
      </c>
      <c r="C11" s="3197">
        <v>30</v>
      </c>
      <c r="D11" s="3197">
        <v>25</v>
      </c>
      <c r="E11" s="3197">
        <v>25</v>
      </c>
      <c r="F11" s="3197">
        <v>25</v>
      </c>
      <c r="G11" s="3197">
        <v>25</v>
      </c>
      <c r="H11" s="3197">
        <v>25</v>
      </c>
      <c r="I11" s="3197">
        <v>20</v>
      </c>
      <c r="J11" s="3197">
        <v>20</v>
      </c>
      <c r="K11" s="3197">
        <v>20</v>
      </c>
      <c r="L11" s="3197">
        <v>20</v>
      </c>
      <c r="M11" s="3198">
        <v>20</v>
      </c>
    </row>
    <row r="12" spans="1:13" ht="19.5" customHeight="1">
      <c r="A12" s="756" t="s">
        <v>550</v>
      </c>
      <c r="B12" s="3197">
        <v>45</v>
      </c>
      <c r="C12" s="3197">
        <v>45</v>
      </c>
      <c r="D12" s="3197">
        <v>40</v>
      </c>
      <c r="E12" s="3197">
        <v>40</v>
      </c>
      <c r="F12" s="3197">
        <v>40</v>
      </c>
      <c r="G12" s="3197">
        <v>40</v>
      </c>
      <c r="H12" s="3197">
        <v>40</v>
      </c>
      <c r="I12" s="3197">
        <v>35</v>
      </c>
      <c r="J12" s="3197">
        <v>35</v>
      </c>
      <c r="K12" s="3197">
        <v>35</v>
      </c>
      <c r="L12" s="3197">
        <v>35</v>
      </c>
      <c r="M12" s="3198">
        <v>35</v>
      </c>
    </row>
    <row r="13" spans="1:13" ht="19.5" customHeight="1">
      <c r="A13" s="756" t="s">
        <v>551</v>
      </c>
      <c r="B13" s="3197">
        <v>60</v>
      </c>
      <c r="C13" s="3197">
        <v>60</v>
      </c>
      <c r="D13" s="3197">
        <v>50</v>
      </c>
      <c r="E13" s="3197">
        <v>50</v>
      </c>
      <c r="F13" s="3197">
        <v>50</v>
      </c>
      <c r="G13" s="3197">
        <v>50</v>
      </c>
      <c r="H13" s="3197">
        <v>50</v>
      </c>
      <c r="I13" s="3197">
        <v>40</v>
      </c>
      <c r="J13" s="3197">
        <v>40</v>
      </c>
      <c r="K13" s="3197">
        <v>40</v>
      </c>
      <c r="L13" s="3197">
        <v>40</v>
      </c>
      <c r="M13" s="3198">
        <v>40</v>
      </c>
    </row>
    <row r="14" spans="1:13" ht="19.5" customHeight="1">
      <c r="A14" s="756" t="s">
        <v>552</v>
      </c>
      <c r="B14" s="3197">
        <v>50</v>
      </c>
      <c r="C14" s="3197">
        <v>50</v>
      </c>
      <c r="D14" s="3197">
        <v>40</v>
      </c>
      <c r="E14" s="3197">
        <v>40</v>
      </c>
      <c r="F14" s="3197">
        <v>40</v>
      </c>
      <c r="G14" s="3197">
        <v>40</v>
      </c>
      <c r="H14" s="3197">
        <v>40</v>
      </c>
      <c r="I14" s="3197">
        <v>30</v>
      </c>
      <c r="J14" s="3197">
        <v>30</v>
      </c>
      <c r="K14" s="3197">
        <v>30</v>
      </c>
      <c r="L14" s="3197">
        <v>30</v>
      </c>
      <c r="M14" s="3198">
        <v>30</v>
      </c>
    </row>
    <row r="15" spans="1:13" ht="19.5" customHeight="1">
      <c r="A15" s="797" t="s">
        <v>553</v>
      </c>
      <c r="B15" s="3199">
        <v>20</v>
      </c>
      <c r="C15" s="3199">
        <v>20</v>
      </c>
      <c r="D15" s="3199">
        <v>15</v>
      </c>
      <c r="E15" s="3199">
        <v>15</v>
      </c>
      <c r="F15" s="3199">
        <v>15</v>
      </c>
      <c r="G15" s="3199">
        <v>15</v>
      </c>
      <c r="H15" s="3199">
        <v>15</v>
      </c>
      <c r="I15" s="3199">
        <v>10</v>
      </c>
      <c r="J15" s="3199">
        <v>10</v>
      </c>
      <c r="K15" s="3199">
        <v>10</v>
      </c>
      <c r="L15" s="3199">
        <v>10</v>
      </c>
      <c r="M15" s="3200">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199" t="s">
        <v>2950</v>
      </c>
      <c r="B19" s="3201" t="s">
        <v>2951</v>
      </c>
      <c r="C19" s="3202" t="s">
        <v>2952</v>
      </c>
      <c r="D19" s="3203"/>
      <c r="E19" s="3197" t="s">
        <v>2953</v>
      </c>
      <c r="F19" s="803"/>
      <c r="G19" s="803"/>
    </row>
    <row r="20" spans="1:13" s="808" customFormat="1" ht="19.5" customHeight="1">
      <c r="A20" s="3565" t="s">
        <v>2954</v>
      </c>
      <c r="B20" s="3560" t="s">
        <v>2955</v>
      </c>
      <c r="C20" s="3204" t="s">
        <v>2956</v>
      </c>
      <c r="D20" s="3205"/>
      <c r="E20" s="3206">
        <v>1</v>
      </c>
      <c r="F20" s="3207" t="s">
        <v>2957</v>
      </c>
      <c r="G20" s="807"/>
      <c r="H20" s="801"/>
      <c r="I20" s="801"/>
    </row>
    <row r="21" spans="1:13" s="808" customFormat="1" ht="19.5" customHeight="1">
      <c r="A21" s="3566"/>
      <c r="B21" s="3559"/>
      <c r="C21" s="805" t="s">
        <v>2958</v>
      </c>
      <c r="D21" s="806"/>
      <c r="E21" s="3208">
        <v>1</v>
      </c>
      <c r="F21" s="3207" t="s">
        <v>2959</v>
      </c>
      <c r="G21" s="807"/>
      <c r="H21" s="801"/>
      <c r="I21" s="801"/>
    </row>
    <row r="22" spans="1:13" s="808" customFormat="1" ht="19.5" customHeight="1">
      <c r="A22" s="3566"/>
      <c r="B22" s="3559"/>
      <c r="C22" s="805" t="s">
        <v>2960</v>
      </c>
      <c r="D22" s="806"/>
      <c r="E22" s="3208">
        <v>0.9</v>
      </c>
      <c r="F22" s="3207" t="s">
        <v>2961</v>
      </c>
      <c r="G22" s="807"/>
      <c r="H22" s="801"/>
      <c r="I22" s="801"/>
    </row>
    <row r="23" spans="1:13" s="808" customFormat="1" ht="19.5" customHeight="1">
      <c r="A23" s="3566"/>
      <c r="B23" s="3559"/>
      <c r="C23" s="805" t="s">
        <v>2962</v>
      </c>
      <c r="D23" s="806"/>
      <c r="E23" s="3208">
        <v>0.9</v>
      </c>
      <c r="F23" s="3207" t="s">
        <v>2963</v>
      </c>
      <c r="G23" s="807"/>
      <c r="H23" s="801"/>
      <c r="I23" s="801"/>
    </row>
    <row r="24" spans="1:13" s="808" customFormat="1" ht="19.5" customHeight="1">
      <c r="A24" s="3566"/>
      <c r="B24" s="3559"/>
      <c r="C24" s="805" t="s">
        <v>2964</v>
      </c>
      <c r="D24" s="806"/>
      <c r="E24" s="3208">
        <v>0.8</v>
      </c>
      <c r="F24" s="3207" t="s">
        <v>2965</v>
      </c>
      <c r="G24" s="807"/>
      <c r="H24" s="801"/>
      <c r="I24" s="801"/>
    </row>
    <row r="25" spans="1:13" s="808" customFormat="1" ht="19.5" customHeight="1" thickBot="1">
      <c r="A25" s="3567"/>
      <c r="B25" s="3561"/>
      <c r="C25" s="3209" t="s">
        <v>2966</v>
      </c>
      <c r="D25" s="3210"/>
      <c r="E25" s="3211">
        <v>0.8</v>
      </c>
      <c r="F25" s="3207" t="s">
        <v>2967</v>
      </c>
      <c r="G25" s="807"/>
      <c r="H25" s="801"/>
      <c r="I25" s="801"/>
    </row>
    <row r="26" spans="1:13" s="808" customFormat="1" ht="19.5" customHeight="1" thickBot="1">
      <c r="A26" s="3212" t="s">
        <v>2968</v>
      </c>
      <c r="B26" s="3213" t="s">
        <v>2955</v>
      </c>
      <c r="C26" s="3214" t="s">
        <v>2969</v>
      </c>
      <c r="D26" s="3215"/>
      <c r="E26" s="3216">
        <v>1</v>
      </c>
      <c r="F26" s="3207" t="s">
        <v>2970</v>
      </c>
      <c r="G26" s="807"/>
      <c r="H26" s="801"/>
      <c r="I26" s="801"/>
    </row>
    <row r="27" spans="1:13" s="808" customFormat="1" ht="19.5" customHeight="1">
      <c r="A27" s="3562" t="s">
        <v>2971</v>
      </c>
      <c r="B27" s="3560" t="s">
        <v>2971</v>
      </c>
      <c r="C27" s="3204" t="s">
        <v>2972</v>
      </c>
      <c r="D27" s="3205"/>
      <c r="E27" s="3206">
        <v>1</v>
      </c>
      <c r="F27" s="3207" t="s">
        <v>2973</v>
      </c>
      <c r="G27" s="807"/>
      <c r="H27" s="801"/>
      <c r="I27" s="801"/>
    </row>
    <row r="28" spans="1:13" s="808" customFormat="1" ht="19.5" customHeight="1">
      <c r="A28" s="3563"/>
      <c r="B28" s="3559"/>
      <c r="C28" s="805" t="s">
        <v>2974</v>
      </c>
      <c r="D28" s="806"/>
      <c r="E28" s="3208">
        <v>1</v>
      </c>
      <c r="F28" s="3207" t="s">
        <v>2975</v>
      </c>
      <c r="G28" s="807"/>
      <c r="H28" s="801"/>
      <c r="I28" s="801"/>
    </row>
    <row r="29" spans="1:13" s="808" customFormat="1" ht="19.5" customHeight="1">
      <c r="A29" s="3563"/>
      <c r="B29" s="3559"/>
      <c r="C29" s="805" t="s">
        <v>2976</v>
      </c>
      <c r="D29" s="806"/>
      <c r="E29" s="3208">
        <v>0.8</v>
      </c>
      <c r="F29" s="3207" t="s">
        <v>2977</v>
      </c>
      <c r="G29" s="807"/>
      <c r="H29" s="801"/>
      <c r="I29" s="801"/>
    </row>
    <row r="30" spans="1:13" s="808" customFormat="1" ht="19.5" customHeight="1">
      <c r="A30" s="3563"/>
      <c r="B30" s="3559"/>
      <c r="C30" s="805" t="s">
        <v>2978</v>
      </c>
      <c r="D30" s="806"/>
      <c r="E30" s="3208">
        <v>0.8</v>
      </c>
      <c r="F30" s="3207" t="s">
        <v>2979</v>
      </c>
      <c r="G30" s="807"/>
      <c r="H30" s="801"/>
      <c r="I30" s="801"/>
    </row>
    <row r="31" spans="1:13" s="808" customFormat="1" ht="19.5" customHeight="1">
      <c r="A31" s="3563"/>
      <c r="B31" s="3559"/>
      <c r="C31" s="805" t="s">
        <v>2980</v>
      </c>
      <c r="D31" s="806"/>
      <c r="E31" s="3208">
        <v>0.8</v>
      </c>
      <c r="F31" s="3207" t="s">
        <v>2981</v>
      </c>
      <c r="G31" s="807"/>
      <c r="H31" s="801"/>
      <c r="I31" s="801"/>
    </row>
    <row r="32" spans="1:13" s="808" customFormat="1" ht="19.5" customHeight="1">
      <c r="A32" s="3563"/>
      <c r="B32" s="3559"/>
      <c r="C32" s="805" t="s">
        <v>2982</v>
      </c>
      <c r="D32" s="806"/>
      <c r="E32" s="3208">
        <v>0.7</v>
      </c>
      <c r="F32" s="3207" t="s">
        <v>2983</v>
      </c>
      <c r="G32" s="807"/>
      <c r="H32" s="801"/>
      <c r="I32" s="801"/>
    </row>
    <row r="33" spans="1:9" s="808" customFormat="1" ht="19.5" customHeight="1">
      <c r="A33" s="3563"/>
      <c r="B33" s="3559"/>
      <c r="C33" s="805" t="s">
        <v>2984</v>
      </c>
      <c r="D33" s="806"/>
      <c r="E33" s="3208">
        <v>0.8</v>
      </c>
      <c r="F33" s="3207" t="s">
        <v>2985</v>
      </c>
      <c r="G33" s="807"/>
      <c r="H33" s="801"/>
      <c r="I33" s="801"/>
    </row>
    <row r="34" spans="1:9" s="808" customFormat="1" ht="19.5" customHeight="1">
      <c r="A34" s="3563"/>
      <c r="B34" s="3559"/>
      <c r="C34" s="805" t="s">
        <v>2986</v>
      </c>
      <c r="D34" s="806"/>
      <c r="E34" s="3208">
        <v>0.6</v>
      </c>
      <c r="F34" s="3207" t="s">
        <v>2987</v>
      </c>
      <c r="G34" s="807"/>
      <c r="H34" s="801"/>
      <c r="I34" s="801"/>
    </row>
    <row r="35" spans="1:9" s="808" customFormat="1" ht="19.5" customHeight="1">
      <c r="A35" s="3563"/>
      <c r="B35" s="3559"/>
      <c r="C35" s="805" t="s">
        <v>2988</v>
      </c>
      <c r="D35" s="806"/>
      <c r="E35" s="3208">
        <v>0.2</v>
      </c>
      <c r="F35" s="3207" t="s">
        <v>2989</v>
      </c>
      <c r="G35" s="807"/>
      <c r="H35" s="801"/>
      <c r="I35" s="801"/>
    </row>
    <row r="36" spans="1:9" s="808" customFormat="1" ht="19.5" customHeight="1">
      <c r="A36" s="3563"/>
      <c r="B36" s="3559"/>
      <c r="C36" s="805" t="s">
        <v>2990</v>
      </c>
      <c r="D36" s="806"/>
      <c r="E36" s="3208">
        <v>0.2</v>
      </c>
      <c r="F36" s="3207" t="s">
        <v>2991</v>
      </c>
      <c r="G36" s="807"/>
      <c r="H36" s="801"/>
      <c r="I36" s="801"/>
    </row>
    <row r="37" spans="1:9" s="808" customFormat="1" ht="19.5" customHeight="1">
      <c r="A37" s="3563"/>
      <c r="B37" s="3557" t="s">
        <v>2992</v>
      </c>
      <c r="C37" s="805" t="s">
        <v>2993</v>
      </c>
      <c r="D37" s="806"/>
      <c r="E37" s="3208">
        <v>0.6</v>
      </c>
      <c r="F37" s="3207" t="s">
        <v>2994</v>
      </c>
      <c r="G37" s="807"/>
      <c r="H37" s="801"/>
      <c r="I37" s="801"/>
    </row>
    <row r="38" spans="1:9" s="808" customFormat="1" ht="19.5" customHeight="1">
      <c r="A38" s="3563"/>
      <c r="B38" s="3559"/>
      <c r="C38" s="805" t="s">
        <v>2995</v>
      </c>
      <c r="D38" s="806"/>
      <c r="E38" s="3208">
        <v>0.6</v>
      </c>
      <c r="F38" s="3207" t="s">
        <v>2996</v>
      </c>
      <c r="G38" s="807"/>
      <c r="H38" s="801"/>
      <c r="I38" s="801"/>
    </row>
    <row r="39" spans="1:9" s="808" customFormat="1" ht="19.5" customHeight="1" thickBot="1">
      <c r="A39" s="3564"/>
      <c r="B39" s="3561"/>
      <c r="C39" s="3209" t="s">
        <v>2997</v>
      </c>
      <c r="D39" s="3210"/>
      <c r="E39" s="3211">
        <v>0.6</v>
      </c>
      <c r="F39" s="3207" t="s">
        <v>2998</v>
      </c>
      <c r="G39" s="807"/>
      <c r="H39" s="801"/>
      <c r="I39" s="801"/>
    </row>
    <row r="40" spans="1:9" s="808" customFormat="1" ht="19.5" customHeight="1" thickBot="1">
      <c r="A40" s="3212" t="s">
        <v>2999</v>
      </c>
      <c r="B40" s="3213" t="s">
        <v>2999</v>
      </c>
      <c r="C40" s="3214" t="s">
        <v>3000</v>
      </c>
      <c r="D40" s="3215"/>
      <c r="E40" s="3216">
        <v>1</v>
      </c>
      <c r="F40" s="3207" t="s">
        <v>3001</v>
      </c>
      <c r="G40" s="807"/>
      <c r="H40" s="801"/>
      <c r="I40" s="801"/>
    </row>
    <row r="41" spans="1:9" s="808" customFormat="1" ht="19.5" customHeight="1">
      <c r="A41" s="3565" t="s">
        <v>3002</v>
      </c>
      <c r="B41" s="3560" t="s">
        <v>3003</v>
      </c>
      <c r="C41" s="3204" t="s">
        <v>3004</v>
      </c>
      <c r="D41" s="3205"/>
      <c r="E41" s="3206">
        <v>1</v>
      </c>
      <c r="F41" s="3207" t="s">
        <v>3005</v>
      </c>
      <c r="G41" s="807"/>
      <c r="H41" s="801"/>
      <c r="I41" s="801"/>
    </row>
    <row r="42" spans="1:9" s="808" customFormat="1" ht="19.5" customHeight="1">
      <c r="A42" s="3566"/>
      <c r="B42" s="3559"/>
      <c r="C42" s="805" t="s">
        <v>3006</v>
      </c>
      <c r="D42" s="806"/>
      <c r="E42" s="3208">
        <v>1</v>
      </c>
      <c r="F42" s="3207" t="s">
        <v>3007</v>
      </c>
      <c r="G42" s="807"/>
      <c r="H42" s="801"/>
      <c r="I42" s="801"/>
    </row>
    <row r="43" spans="1:9" s="808" customFormat="1" ht="19.5" customHeight="1">
      <c r="A43" s="3566"/>
      <c r="B43" s="3558"/>
      <c r="C43" s="805" t="s">
        <v>3008</v>
      </c>
      <c r="D43" s="806"/>
      <c r="E43" s="3208">
        <v>1.5</v>
      </c>
      <c r="F43" s="3207" t="s">
        <v>3009</v>
      </c>
      <c r="G43" s="807"/>
      <c r="H43" s="801"/>
      <c r="I43" s="801"/>
    </row>
    <row r="44" spans="1:9" s="808" customFormat="1" ht="19.5" customHeight="1">
      <c r="A44" s="3566"/>
      <c r="B44" s="3217" t="s">
        <v>2971</v>
      </c>
      <c r="C44" s="805" t="s">
        <v>3010</v>
      </c>
      <c r="D44" s="806"/>
      <c r="E44" s="3208">
        <v>2</v>
      </c>
      <c r="F44" s="3207" t="s">
        <v>3011</v>
      </c>
      <c r="G44" s="807"/>
      <c r="H44" s="801"/>
      <c r="I44" s="801"/>
    </row>
    <row r="45" spans="1:9" s="808" customFormat="1" ht="19.5" customHeight="1">
      <c r="A45" s="3566"/>
      <c r="B45" s="3557" t="s">
        <v>3012</v>
      </c>
      <c r="C45" s="805" t="s">
        <v>3013</v>
      </c>
      <c r="D45" s="806"/>
      <c r="E45" s="3208">
        <v>1</v>
      </c>
      <c r="F45" s="3207" t="s">
        <v>3014</v>
      </c>
      <c r="G45" s="807"/>
      <c r="H45" s="801"/>
      <c r="I45" s="801"/>
    </row>
    <row r="46" spans="1:9" s="808" customFormat="1" ht="19.5" customHeight="1">
      <c r="A46" s="3566"/>
      <c r="B46" s="3559"/>
      <c r="C46" s="805" t="s">
        <v>3015</v>
      </c>
      <c r="D46" s="806"/>
      <c r="E46" s="3208">
        <v>1</v>
      </c>
      <c r="F46" s="3207" t="s">
        <v>3016</v>
      </c>
      <c r="G46" s="807"/>
      <c r="H46" s="801"/>
      <c r="I46" s="801"/>
    </row>
    <row r="47" spans="1:9" s="808" customFormat="1" ht="19.5" customHeight="1">
      <c r="A47" s="3566"/>
      <c r="B47" s="3559"/>
      <c r="C47" s="805" t="s">
        <v>3017</v>
      </c>
      <c r="D47" s="806"/>
      <c r="E47" s="3208">
        <v>1</v>
      </c>
      <c r="F47" s="3207" t="s">
        <v>3018</v>
      </c>
      <c r="G47" s="807"/>
      <c r="H47" s="801"/>
      <c r="I47" s="801"/>
    </row>
    <row r="48" spans="1:9" s="808" customFormat="1" ht="19.5" customHeight="1">
      <c r="A48" s="3566"/>
      <c r="B48" s="3559"/>
      <c r="C48" s="805" t="s">
        <v>3019</v>
      </c>
      <c r="D48" s="806"/>
      <c r="E48" s="3208">
        <v>1</v>
      </c>
      <c r="F48" s="3207" t="s">
        <v>3020</v>
      </c>
      <c r="G48" s="807"/>
      <c r="H48" s="801"/>
      <c r="I48" s="801"/>
    </row>
    <row r="49" spans="1:9" s="808" customFormat="1" ht="19.5" customHeight="1">
      <c r="A49" s="3566"/>
      <c r="B49" s="3559"/>
      <c r="C49" s="805" t="s">
        <v>3021</v>
      </c>
      <c r="D49" s="806"/>
      <c r="E49" s="3208">
        <v>1</v>
      </c>
      <c r="F49" s="3207" t="s">
        <v>3022</v>
      </c>
      <c r="G49" s="807"/>
      <c r="H49" s="801"/>
      <c r="I49" s="801"/>
    </row>
    <row r="50" spans="1:9" s="808" customFormat="1" ht="19.5" customHeight="1">
      <c r="A50" s="3566"/>
      <c r="B50" s="3559"/>
      <c r="C50" s="805" t="s">
        <v>3023</v>
      </c>
      <c r="D50" s="806"/>
      <c r="E50" s="3208">
        <v>1</v>
      </c>
      <c r="F50" s="3207" t="s">
        <v>3024</v>
      </c>
      <c r="G50" s="807"/>
      <c r="H50" s="801"/>
      <c r="I50" s="801"/>
    </row>
    <row r="51" spans="1:9" s="808" customFormat="1" ht="19.5" customHeight="1" thickBot="1">
      <c r="A51" s="3567"/>
      <c r="B51" s="3561"/>
      <c r="C51" s="3209" t="s">
        <v>3025</v>
      </c>
      <c r="D51" s="3210"/>
      <c r="E51" s="3211">
        <v>1</v>
      </c>
      <c r="F51" s="3207"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197">
        <v>0.7</v>
      </c>
      <c r="C57" s="3197">
        <v>0.4</v>
      </c>
      <c r="D57" s="3197">
        <v>0.3</v>
      </c>
      <c r="E57" s="3203">
        <v>0.3</v>
      </c>
      <c r="F57" s="3197">
        <v>0.3</v>
      </c>
      <c r="G57" s="3197">
        <v>0.2</v>
      </c>
      <c r="I57" s="755"/>
    </row>
    <row r="58" spans="1:9" ht="19.5" customHeight="1">
      <c r="A58" s="814" t="s">
        <v>158</v>
      </c>
      <c r="B58" s="3197">
        <v>0.7</v>
      </c>
      <c r="C58" s="3197">
        <v>0.4</v>
      </c>
      <c r="D58" s="3197">
        <v>0.3</v>
      </c>
      <c r="E58" s="3197">
        <v>0.3</v>
      </c>
      <c r="F58" s="3197">
        <v>0.3</v>
      </c>
      <c r="G58" s="3197">
        <v>0.2</v>
      </c>
      <c r="I58" s="755"/>
    </row>
    <row r="59" spans="1:9" ht="19.5" customHeight="1">
      <c r="A59" s="814" t="s">
        <v>159</v>
      </c>
      <c r="B59" s="3197">
        <v>0.6</v>
      </c>
      <c r="C59" s="3197">
        <v>0.3</v>
      </c>
      <c r="D59" s="3197">
        <v>0.25</v>
      </c>
      <c r="E59" s="3197">
        <v>0.25</v>
      </c>
      <c r="F59" s="3197">
        <v>0.25</v>
      </c>
      <c r="G59" s="3197">
        <v>0.15</v>
      </c>
      <c r="I59" s="755"/>
    </row>
    <row r="60" spans="1:9" ht="19.5" customHeight="1">
      <c r="A60" s="814" t="s">
        <v>160</v>
      </c>
      <c r="B60" s="3197">
        <v>0.6</v>
      </c>
      <c r="C60" s="3197">
        <v>0.3</v>
      </c>
      <c r="D60" s="3197">
        <v>0.25</v>
      </c>
      <c r="E60" s="3197">
        <v>0.25</v>
      </c>
      <c r="F60" s="3197">
        <v>0.25</v>
      </c>
      <c r="G60" s="3197">
        <v>0.15</v>
      </c>
      <c r="I60" s="755"/>
    </row>
    <row r="61" spans="1:9" s="801" customFormat="1" ht="19.5" customHeight="1">
      <c r="A61" s="814" t="s">
        <v>161</v>
      </c>
      <c r="B61" s="3197">
        <v>0.6</v>
      </c>
      <c r="C61" s="3197">
        <v>0.3</v>
      </c>
      <c r="D61" s="3197">
        <v>0.25</v>
      </c>
      <c r="E61" s="3197">
        <v>0.25</v>
      </c>
      <c r="F61" s="3197">
        <v>0.25</v>
      </c>
      <c r="G61" s="3197">
        <v>0.15</v>
      </c>
    </row>
    <row r="62" spans="1:9" s="801" customFormat="1" ht="19.5" customHeight="1">
      <c r="A62" s="814" t="s">
        <v>162</v>
      </c>
      <c r="B62" s="3197">
        <v>0.6</v>
      </c>
      <c r="C62" s="3197">
        <v>0.3</v>
      </c>
      <c r="D62" s="3197">
        <v>0.25</v>
      </c>
      <c r="E62" s="3197">
        <v>0.25</v>
      </c>
      <c r="F62" s="3197">
        <v>0.25</v>
      </c>
      <c r="G62" s="3197">
        <v>0.15</v>
      </c>
    </row>
    <row r="63" spans="1:9" s="801" customFormat="1" ht="19.5" customHeight="1">
      <c r="A63" s="814" t="s">
        <v>163</v>
      </c>
      <c r="B63" s="3197">
        <v>0.6</v>
      </c>
      <c r="C63" s="3197">
        <v>0.3</v>
      </c>
      <c r="D63" s="3197">
        <v>0.25</v>
      </c>
      <c r="E63" s="3197">
        <v>0.25</v>
      </c>
      <c r="F63" s="3197">
        <v>0.25</v>
      </c>
      <c r="G63" s="3197">
        <v>0.15</v>
      </c>
    </row>
    <row r="64" spans="1:9" s="801" customFormat="1" ht="19.5" customHeight="1">
      <c r="A64" s="814" t="s">
        <v>164</v>
      </c>
      <c r="B64" s="3197">
        <v>0.5</v>
      </c>
      <c r="C64" s="3197">
        <v>0.2</v>
      </c>
      <c r="D64" s="3197">
        <v>0.2</v>
      </c>
      <c r="E64" s="3197">
        <v>0.2</v>
      </c>
      <c r="F64" s="3197">
        <v>0.2</v>
      </c>
      <c r="G64" s="3197">
        <v>0.1</v>
      </c>
    </row>
    <row r="65" spans="1:7" s="801" customFormat="1" ht="19.5" customHeight="1">
      <c r="A65" s="814" t="s">
        <v>165</v>
      </c>
      <c r="B65" s="3197">
        <v>0.5</v>
      </c>
      <c r="C65" s="3197">
        <v>0.2</v>
      </c>
      <c r="D65" s="3197">
        <v>0.2</v>
      </c>
      <c r="E65" s="3197">
        <v>0.2</v>
      </c>
      <c r="F65" s="3197">
        <v>0.2</v>
      </c>
      <c r="G65" s="3197">
        <v>0.1</v>
      </c>
    </row>
    <row r="66" spans="1:7" s="801" customFormat="1" ht="19.5" customHeight="1">
      <c r="A66" s="814" t="s">
        <v>166</v>
      </c>
      <c r="B66" s="3197">
        <v>0.5</v>
      </c>
      <c r="C66" s="3197">
        <v>0.2</v>
      </c>
      <c r="D66" s="3197">
        <v>0.2</v>
      </c>
      <c r="E66" s="3197">
        <v>0.2</v>
      </c>
      <c r="F66" s="3197">
        <v>0.2</v>
      </c>
      <c r="G66" s="3197">
        <v>0.1</v>
      </c>
    </row>
    <row r="67" spans="1:7" s="801" customFormat="1" ht="19.5" customHeight="1">
      <c r="A67" s="814" t="s">
        <v>167</v>
      </c>
      <c r="B67" s="3197">
        <v>0.5</v>
      </c>
      <c r="C67" s="3197">
        <v>0.2</v>
      </c>
      <c r="D67" s="3197">
        <v>0.2</v>
      </c>
      <c r="E67" s="3197">
        <v>0.2</v>
      </c>
      <c r="F67" s="3197">
        <v>0.2</v>
      </c>
      <c r="G67" s="3197">
        <v>0.1</v>
      </c>
    </row>
    <row r="68" spans="1:7" s="801" customFormat="1" ht="19.5" customHeight="1">
      <c r="A68" s="814" t="s">
        <v>168</v>
      </c>
      <c r="B68" s="3197">
        <v>0.5</v>
      </c>
      <c r="C68" s="3197">
        <v>0.2</v>
      </c>
      <c r="D68" s="3197">
        <v>0.2</v>
      </c>
      <c r="E68" s="3197">
        <v>0.2</v>
      </c>
      <c r="F68" s="3197">
        <v>0.2</v>
      </c>
      <c r="G68" s="3197">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17">
        <v>1</v>
      </c>
      <c r="B73" s="3557" t="s">
        <v>3028</v>
      </c>
      <c r="C73" s="3197" t="s">
        <v>3029</v>
      </c>
      <c r="D73" s="3197" t="s">
        <v>3030</v>
      </c>
      <c r="E73" s="3218">
        <v>0.2</v>
      </c>
      <c r="F73" s="3217">
        <v>25</v>
      </c>
    </row>
    <row r="74" spans="1:7" s="801" customFormat="1" ht="24">
      <c r="A74" s="3217">
        <v>2</v>
      </c>
      <c r="B74" s="3559"/>
      <c r="C74" s="3197" t="s">
        <v>3031</v>
      </c>
      <c r="D74" s="3197" t="s">
        <v>3032</v>
      </c>
      <c r="E74" s="3218">
        <v>0.2</v>
      </c>
      <c r="F74" s="3217">
        <v>25</v>
      </c>
    </row>
    <row r="75" spans="1:7" s="801" customFormat="1" ht="24">
      <c r="A75" s="3217">
        <v>3</v>
      </c>
      <c r="B75" s="3559"/>
      <c r="C75" s="3197" t="s">
        <v>3033</v>
      </c>
      <c r="D75" s="3197" t="s">
        <v>3034</v>
      </c>
      <c r="E75" s="3218">
        <v>0.2</v>
      </c>
      <c r="F75" s="3217">
        <v>25</v>
      </c>
    </row>
    <row r="76" spans="1:7" s="801" customFormat="1" ht="13.5">
      <c r="A76" s="3217">
        <v>4</v>
      </c>
      <c r="B76" s="3559"/>
      <c r="C76" s="3197" t="s">
        <v>3035</v>
      </c>
      <c r="D76" s="3197" t="s">
        <v>3036</v>
      </c>
      <c r="E76" s="3218">
        <v>0.15</v>
      </c>
      <c r="F76" s="3217">
        <v>20</v>
      </c>
    </row>
    <row r="77" spans="1:7" s="801" customFormat="1" ht="24">
      <c r="A77" s="3217">
        <v>5</v>
      </c>
      <c r="B77" s="3559"/>
      <c r="C77" s="3197" t="s">
        <v>3037</v>
      </c>
      <c r="D77" s="3197" t="s">
        <v>3038</v>
      </c>
      <c r="E77" s="3218">
        <v>0.15</v>
      </c>
      <c r="F77" s="3217">
        <v>20</v>
      </c>
    </row>
    <row r="78" spans="1:7" s="801" customFormat="1" ht="24">
      <c r="A78" s="3217">
        <v>6</v>
      </c>
      <c r="B78" s="3559"/>
      <c r="C78" s="3197" t="s">
        <v>3039</v>
      </c>
      <c r="D78" s="3197" t="s">
        <v>3040</v>
      </c>
      <c r="E78" s="3218">
        <v>0.15</v>
      </c>
      <c r="F78" s="3217">
        <v>20</v>
      </c>
    </row>
    <row r="79" spans="1:7" s="801" customFormat="1" ht="24">
      <c r="A79" s="3217">
        <v>7</v>
      </c>
      <c r="B79" s="3559"/>
      <c r="C79" s="3197" t="s">
        <v>3041</v>
      </c>
      <c r="D79" s="3197" t="s">
        <v>3042</v>
      </c>
      <c r="E79" s="3218">
        <v>0.15</v>
      </c>
      <c r="F79" s="3217">
        <v>20</v>
      </c>
    </row>
    <row r="80" spans="1:7" s="801" customFormat="1" ht="24">
      <c r="A80" s="3217">
        <v>8</v>
      </c>
      <c r="B80" s="3559"/>
      <c r="C80" s="3197" t="s">
        <v>3043</v>
      </c>
      <c r="D80" s="3197" t="s">
        <v>3044</v>
      </c>
      <c r="E80" s="3218">
        <v>0.1</v>
      </c>
      <c r="F80" s="3217">
        <v>15</v>
      </c>
    </row>
    <row r="81" spans="1:6" s="801" customFormat="1" ht="24">
      <c r="A81" s="3217">
        <v>9</v>
      </c>
      <c r="B81" s="3559"/>
      <c r="C81" s="3197" t="s">
        <v>3045</v>
      </c>
      <c r="D81" s="3197" t="s">
        <v>3046</v>
      </c>
      <c r="E81" s="3218">
        <v>0.1</v>
      </c>
      <c r="F81" s="3217">
        <v>15</v>
      </c>
    </row>
    <row r="82" spans="1:6" s="801" customFormat="1" ht="24">
      <c r="A82" s="3217">
        <v>10</v>
      </c>
      <c r="B82" s="3559"/>
      <c r="C82" s="3197" t="s">
        <v>3047</v>
      </c>
      <c r="D82" s="3197" t="s">
        <v>3048</v>
      </c>
      <c r="E82" s="3218">
        <v>0.1</v>
      </c>
      <c r="F82" s="3217">
        <v>15</v>
      </c>
    </row>
    <row r="83" spans="1:6" s="801" customFormat="1" ht="24">
      <c r="A83" s="3217">
        <v>11</v>
      </c>
      <c r="B83" s="3559"/>
      <c r="C83" s="3197" t="s">
        <v>3049</v>
      </c>
      <c r="D83" s="3197" t="s">
        <v>3050</v>
      </c>
      <c r="E83" s="3218">
        <v>0.1</v>
      </c>
      <c r="F83" s="3217">
        <v>15</v>
      </c>
    </row>
    <row r="84" spans="1:6" s="801" customFormat="1" ht="24">
      <c r="A84" s="3217">
        <v>12</v>
      </c>
      <c r="B84" s="3559"/>
      <c r="C84" s="3197" t="s">
        <v>3051</v>
      </c>
      <c r="D84" s="3197" t="s">
        <v>3052</v>
      </c>
      <c r="E84" s="3218">
        <v>0.1</v>
      </c>
      <c r="F84" s="3217">
        <v>15</v>
      </c>
    </row>
    <row r="85" spans="1:6" s="801" customFormat="1" ht="13.5">
      <c r="A85" s="3217">
        <v>13</v>
      </c>
      <c r="B85" s="3559"/>
      <c r="C85" s="3197" t="s">
        <v>3053</v>
      </c>
      <c r="D85" s="3197" t="s">
        <v>3054</v>
      </c>
      <c r="E85" s="3218">
        <v>0.1</v>
      </c>
      <c r="F85" s="3217">
        <v>15</v>
      </c>
    </row>
    <row r="86" spans="1:6" s="801" customFormat="1" ht="13.5">
      <c r="A86" s="3217">
        <v>14</v>
      </c>
      <c r="B86" s="3559"/>
      <c r="C86" s="3197" t="s">
        <v>3055</v>
      </c>
      <c r="D86" s="3197" t="s">
        <v>3056</v>
      </c>
      <c r="E86" s="3218">
        <v>0.1</v>
      </c>
      <c r="F86" s="3217">
        <v>15</v>
      </c>
    </row>
    <row r="87" spans="1:6" s="801" customFormat="1" ht="13.5">
      <c r="A87" s="3217">
        <v>15</v>
      </c>
      <c r="B87" s="3559"/>
      <c r="C87" s="3197" t="s">
        <v>3057</v>
      </c>
      <c r="D87" s="3197" t="s">
        <v>3058</v>
      </c>
      <c r="E87" s="3218">
        <v>0.1</v>
      </c>
      <c r="F87" s="3217">
        <v>15</v>
      </c>
    </row>
    <row r="88" spans="1:6" s="801" customFormat="1" ht="24">
      <c r="A88" s="3217">
        <v>16</v>
      </c>
      <c r="B88" s="3559"/>
      <c r="C88" s="3197" t="s">
        <v>3059</v>
      </c>
      <c r="D88" s="3197" t="s">
        <v>3060</v>
      </c>
      <c r="E88" s="3218">
        <v>0.1</v>
      </c>
      <c r="F88" s="3217">
        <v>15</v>
      </c>
    </row>
    <row r="89" spans="1:6" s="801" customFormat="1" ht="24">
      <c r="A89" s="3217">
        <v>17</v>
      </c>
      <c r="B89" s="3558"/>
      <c r="C89" s="3197" t="s">
        <v>3061</v>
      </c>
      <c r="D89" s="3197" t="s">
        <v>3062</v>
      </c>
      <c r="E89" s="3218">
        <v>0.1</v>
      </c>
      <c r="F89" s="3217">
        <v>15</v>
      </c>
    </row>
    <row r="90" spans="1:6" s="801" customFormat="1" ht="13.5">
      <c r="A90" s="3217">
        <v>18</v>
      </c>
      <c r="B90" s="3557" t="s">
        <v>3063</v>
      </c>
      <c r="C90" s="3197" t="s">
        <v>3064</v>
      </c>
      <c r="D90" s="3197" t="s">
        <v>3065</v>
      </c>
      <c r="E90" s="3218">
        <v>0.2</v>
      </c>
      <c r="F90" s="3217">
        <v>25</v>
      </c>
    </row>
    <row r="91" spans="1:6" s="801" customFormat="1" ht="24">
      <c r="A91" s="3217">
        <v>19</v>
      </c>
      <c r="B91" s="3559"/>
      <c r="C91" s="3197" t="s">
        <v>3066</v>
      </c>
      <c r="D91" s="3197" t="s">
        <v>3067</v>
      </c>
      <c r="E91" s="3218">
        <v>0.2</v>
      </c>
      <c r="F91" s="3217">
        <v>25</v>
      </c>
    </row>
    <row r="92" spans="1:6" s="801" customFormat="1" ht="13.5">
      <c r="A92" s="3217">
        <v>20</v>
      </c>
      <c r="B92" s="3559"/>
      <c r="C92" s="3197" t="s">
        <v>3068</v>
      </c>
      <c r="D92" s="3197" t="s">
        <v>3069</v>
      </c>
      <c r="E92" s="3218">
        <v>0.15</v>
      </c>
      <c r="F92" s="3217">
        <v>20</v>
      </c>
    </row>
    <row r="93" spans="1:6" s="801" customFormat="1" ht="24">
      <c r="A93" s="3217">
        <v>21</v>
      </c>
      <c r="B93" s="3559"/>
      <c r="C93" s="3197" t="s">
        <v>3070</v>
      </c>
      <c r="D93" s="3197" t="s">
        <v>3071</v>
      </c>
      <c r="E93" s="3218">
        <v>0.15</v>
      </c>
      <c r="F93" s="3217">
        <v>20</v>
      </c>
    </row>
    <row r="94" spans="1:6" s="801" customFormat="1" ht="24">
      <c r="A94" s="3217">
        <v>22</v>
      </c>
      <c r="B94" s="3559"/>
      <c r="C94" s="3197" t="s">
        <v>3072</v>
      </c>
      <c r="D94" s="3197" t="s">
        <v>3073</v>
      </c>
      <c r="E94" s="3218">
        <v>0.15</v>
      </c>
      <c r="F94" s="3217">
        <v>20</v>
      </c>
    </row>
    <row r="95" spans="1:6" s="801" customFormat="1" ht="36">
      <c r="A95" s="3217">
        <v>23</v>
      </c>
      <c r="B95" s="3559"/>
      <c r="C95" s="3197" t="s">
        <v>3074</v>
      </c>
      <c r="D95" s="3197" t="s">
        <v>3075</v>
      </c>
      <c r="E95" s="3218">
        <v>0.15</v>
      </c>
      <c r="F95" s="3217">
        <v>20</v>
      </c>
    </row>
    <row r="96" spans="1:6" s="801" customFormat="1" ht="13.5">
      <c r="A96" s="3217">
        <v>24</v>
      </c>
      <c r="B96" s="3559"/>
      <c r="C96" s="3197" t="s">
        <v>3076</v>
      </c>
      <c r="D96" s="3197" t="s">
        <v>3077</v>
      </c>
      <c r="E96" s="3218">
        <v>0.1</v>
      </c>
      <c r="F96" s="3217">
        <v>15</v>
      </c>
    </row>
    <row r="97" spans="1:6" s="801" customFormat="1" ht="24">
      <c r="A97" s="3217">
        <v>25</v>
      </c>
      <c r="B97" s="3559"/>
      <c r="C97" s="3197" t="s">
        <v>3078</v>
      </c>
      <c r="D97" s="3197" t="s">
        <v>3079</v>
      </c>
      <c r="E97" s="3218">
        <v>0.1</v>
      </c>
      <c r="F97" s="3217">
        <v>15</v>
      </c>
    </row>
    <row r="98" spans="1:6" s="801" customFormat="1" ht="24">
      <c r="A98" s="3217">
        <v>26</v>
      </c>
      <c r="B98" s="3559"/>
      <c r="C98" s="3197" t="s">
        <v>3080</v>
      </c>
      <c r="D98" s="3197" t="s">
        <v>3081</v>
      </c>
      <c r="E98" s="3218">
        <v>0.1</v>
      </c>
      <c r="F98" s="3217">
        <v>15</v>
      </c>
    </row>
    <row r="99" spans="1:6" s="801" customFormat="1" ht="24">
      <c r="A99" s="3217">
        <v>27</v>
      </c>
      <c r="B99" s="3559"/>
      <c r="C99" s="3197" t="s">
        <v>3082</v>
      </c>
      <c r="D99" s="3197" t="s">
        <v>3083</v>
      </c>
      <c r="E99" s="3218">
        <v>0.1</v>
      </c>
      <c r="F99" s="3217">
        <v>15</v>
      </c>
    </row>
    <row r="100" spans="1:6" s="801" customFormat="1" ht="24">
      <c r="A100" s="3217">
        <v>28</v>
      </c>
      <c r="B100" s="3559"/>
      <c r="C100" s="3197" t="s">
        <v>3084</v>
      </c>
      <c r="D100" s="3197" t="s">
        <v>3085</v>
      </c>
      <c r="E100" s="3218">
        <v>0.1</v>
      </c>
      <c r="F100" s="3217">
        <v>15</v>
      </c>
    </row>
    <row r="101" spans="1:6" s="801" customFormat="1" ht="24">
      <c r="A101" s="3217">
        <v>29</v>
      </c>
      <c r="B101" s="3559"/>
      <c r="C101" s="3197" t="s">
        <v>3086</v>
      </c>
      <c r="D101" s="3197" t="s">
        <v>3087</v>
      </c>
      <c r="E101" s="3218">
        <v>0.1</v>
      </c>
      <c r="F101" s="3217">
        <v>15</v>
      </c>
    </row>
    <row r="102" spans="1:6" s="801" customFormat="1" ht="24">
      <c r="A102" s="3217">
        <v>30</v>
      </c>
      <c r="B102" s="3559"/>
      <c r="C102" s="3197" t="s">
        <v>3088</v>
      </c>
      <c r="D102" s="3197" t="s">
        <v>3089</v>
      </c>
      <c r="E102" s="3218">
        <v>0.1</v>
      </c>
      <c r="F102" s="3217">
        <v>15</v>
      </c>
    </row>
    <row r="103" spans="1:6" s="801" customFormat="1" ht="24">
      <c r="A103" s="3217">
        <v>31</v>
      </c>
      <c r="B103" s="3559"/>
      <c r="C103" s="3197" t="s">
        <v>3090</v>
      </c>
      <c r="D103" s="3197" t="s">
        <v>3091</v>
      </c>
      <c r="E103" s="3218">
        <v>0.1</v>
      </c>
      <c r="F103" s="3217">
        <v>15</v>
      </c>
    </row>
    <row r="104" spans="1:6" s="801" customFormat="1" ht="24">
      <c r="A104" s="3217">
        <v>32</v>
      </c>
      <c r="B104" s="3559"/>
      <c r="C104" s="3197" t="s">
        <v>3092</v>
      </c>
      <c r="D104" s="3197" t="s">
        <v>3093</v>
      </c>
      <c r="E104" s="3218">
        <v>0.1</v>
      </c>
      <c r="F104" s="3217">
        <v>15</v>
      </c>
    </row>
    <row r="105" spans="1:6" s="801" customFormat="1" ht="24">
      <c r="A105" s="3217">
        <v>33</v>
      </c>
      <c r="B105" s="3559"/>
      <c r="C105" s="3197" t="s">
        <v>3094</v>
      </c>
      <c r="D105" s="3197" t="s">
        <v>3095</v>
      </c>
      <c r="E105" s="3218">
        <v>0.1</v>
      </c>
      <c r="F105" s="3217">
        <v>15</v>
      </c>
    </row>
    <row r="106" spans="1:6" s="801" customFormat="1" ht="24">
      <c r="A106" s="3217">
        <v>34</v>
      </c>
      <c r="B106" s="3558"/>
      <c r="C106" s="3197" t="s">
        <v>3096</v>
      </c>
      <c r="D106" s="3197" t="s">
        <v>3097</v>
      </c>
      <c r="E106" s="3218">
        <v>0.1</v>
      </c>
      <c r="F106" s="3217">
        <v>15</v>
      </c>
    </row>
    <row r="107" spans="1:6" s="801" customFormat="1" ht="24">
      <c r="A107" s="3217">
        <v>35</v>
      </c>
      <c r="B107" s="3557" t="s">
        <v>3098</v>
      </c>
      <c r="C107" s="3217" t="s">
        <v>3099</v>
      </c>
      <c r="D107" s="3197" t="s">
        <v>3100</v>
      </c>
      <c r="E107" s="3218">
        <v>0.15</v>
      </c>
      <c r="F107" s="3217">
        <v>20</v>
      </c>
    </row>
    <row r="108" spans="1:6" s="801" customFormat="1" ht="24">
      <c r="A108" s="3217">
        <v>36</v>
      </c>
      <c r="B108" s="3559"/>
      <c r="C108" s="3217" t="s">
        <v>3101</v>
      </c>
      <c r="D108" s="3197" t="s">
        <v>3102</v>
      </c>
      <c r="E108" s="3218">
        <v>0.15</v>
      </c>
      <c r="F108" s="3217">
        <v>20</v>
      </c>
    </row>
    <row r="109" spans="1:6" s="801" customFormat="1" ht="24">
      <c r="A109" s="3217">
        <v>37</v>
      </c>
      <c r="B109" s="3559"/>
      <c r="C109" s="3217" t="s">
        <v>3103</v>
      </c>
      <c r="D109" s="3197" t="s">
        <v>3104</v>
      </c>
      <c r="E109" s="3218">
        <v>0.15</v>
      </c>
      <c r="F109" s="3217">
        <v>20</v>
      </c>
    </row>
    <row r="110" spans="1:6" s="801" customFormat="1" ht="13.5">
      <c r="A110" s="3217">
        <v>38</v>
      </c>
      <c r="B110" s="3559"/>
      <c r="C110" s="3217" t="s">
        <v>3105</v>
      </c>
      <c r="D110" s="3197" t="s">
        <v>3106</v>
      </c>
      <c r="E110" s="3218">
        <v>0.1</v>
      </c>
      <c r="F110" s="3217">
        <v>15</v>
      </c>
    </row>
    <row r="111" spans="1:6" s="801" customFormat="1" ht="24">
      <c r="A111" s="3217">
        <v>39</v>
      </c>
      <c r="B111" s="3559"/>
      <c r="C111" s="3217" t="s">
        <v>3107</v>
      </c>
      <c r="D111" s="3197" t="s">
        <v>3108</v>
      </c>
      <c r="E111" s="3218">
        <v>0.1</v>
      </c>
      <c r="F111" s="3217">
        <v>15</v>
      </c>
    </row>
    <row r="112" spans="1:6" s="801" customFormat="1" ht="24">
      <c r="A112" s="3217">
        <v>40</v>
      </c>
      <c r="B112" s="3558"/>
      <c r="C112" s="3217" t="s">
        <v>3109</v>
      </c>
      <c r="D112" s="3197" t="s">
        <v>3110</v>
      </c>
      <c r="E112" s="3218">
        <v>0.1</v>
      </c>
      <c r="F112" s="3217">
        <v>15</v>
      </c>
    </row>
    <row r="113" spans="1:6" s="801" customFormat="1" ht="24">
      <c r="A113" s="3217">
        <v>41</v>
      </c>
      <c r="B113" s="3556" t="s">
        <v>3111</v>
      </c>
      <c r="C113" s="3217" t="s">
        <v>3112</v>
      </c>
      <c r="D113" s="3197" t="s">
        <v>3113</v>
      </c>
      <c r="E113" s="3218">
        <v>0.1</v>
      </c>
      <c r="F113" s="3217">
        <v>15</v>
      </c>
    </row>
    <row r="114" spans="1:6" s="801" customFormat="1" ht="13.5">
      <c r="A114" s="3217">
        <v>42</v>
      </c>
      <c r="B114" s="3556"/>
      <c r="C114" s="3217" t="s">
        <v>3114</v>
      </c>
      <c r="D114" s="3197" t="s">
        <v>3115</v>
      </c>
      <c r="E114" s="3218">
        <v>0.1</v>
      </c>
      <c r="F114" s="3217">
        <v>15</v>
      </c>
    </row>
    <row r="115" spans="1:6" s="801" customFormat="1" ht="24">
      <c r="A115" s="3217">
        <v>43</v>
      </c>
      <c r="B115" s="3556"/>
      <c r="C115" s="3217" t="s">
        <v>3116</v>
      </c>
      <c r="D115" s="3197" t="s">
        <v>3117</v>
      </c>
      <c r="E115" s="3218">
        <v>0.1</v>
      </c>
      <c r="F115" s="3217">
        <v>15</v>
      </c>
    </row>
    <row r="116" spans="1:6" s="801" customFormat="1" ht="24">
      <c r="A116" s="3217">
        <v>44</v>
      </c>
      <c r="B116" s="3557" t="s">
        <v>3118</v>
      </c>
      <c r="C116" s="3217" t="s">
        <v>3119</v>
      </c>
      <c r="D116" s="3197" t="s">
        <v>3120</v>
      </c>
      <c r="E116" s="3218">
        <v>0.1</v>
      </c>
      <c r="F116" s="3217">
        <v>15</v>
      </c>
    </row>
    <row r="117" spans="1:6" s="801" customFormat="1" ht="24">
      <c r="A117" s="3217">
        <v>45</v>
      </c>
      <c r="B117" s="3558"/>
      <c r="C117" s="3197" t="s">
        <v>3121</v>
      </c>
      <c r="D117" s="3197" t="s">
        <v>3122</v>
      </c>
      <c r="E117" s="3218">
        <v>0.1</v>
      </c>
      <c r="F117" s="3217">
        <v>15</v>
      </c>
    </row>
    <row r="118" spans="1:6" s="801" customFormat="1" ht="24">
      <c r="A118" s="3217">
        <v>46</v>
      </c>
      <c r="B118" s="3557" t="s">
        <v>3123</v>
      </c>
      <c r="C118" s="3217" t="s">
        <v>3124</v>
      </c>
      <c r="D118" s="3197" t="s">
        <v>3125</v>
      </c>
      <c r="E118" s="3218">
        <v>0.1</v>
      </c>
      <c r="F118" s="3217">
        <v>15</v>
      </c>
    </row>
    <row r="119" spans="1:6" s="801" customFormat="1" ht="24">
      <c r="A119" s="3217">
        <v>47</v>
      </c>
      <c r="B119" s="3558"/>
      <c r="C119" s="3217" t="s">
        <v>3126</v>
      </c>
      <c r="D119" s="3197" t="s">
        <v>3127</v>
      </c>
      <c r="E119" s="3218">
        <v>0.1</v>
      </c>
      <c r="F119" s="3217">
        <v>15</v>
      </c>
    </row>
    <row r="120" spans="1:6" s="801" customFormat="1" ht="24">
      <c r="A120" s="3217">
        <v>48</v>
      </c>
      <c r="B120" s="3557" t="s">
        <v>3128</v>
      </c>
      <c r="C120" s="3217" t="s">
        <v>3129</v>
      </c>
      <c r="D120" s="3197" t="s">
        <v>3130</v>
      </c>
      <c r="E120" s="3218">
        <v>0.1</v>
      </c>
      <c r="F120" s="3217">
        <v>15</v>
      </c>
    </row>
    <row r="121" spans="1:6" s="801" customFormat="1" ht="13.5">
      <c r="A121" s="3217">
        <v>49</v>
      </c>
      <c r="B121" s="3558"/>
      <c r="C121" s="3217" t="s">
        <v>3131</v>
      </c>
      <c r="D121" s="3197" t="s">
        <v>3132</v>
      </c>
      <c r="E121" s="3218">
        <v>0.1</v>
      </c>
      <c r="F121" s="3217">
        <v>15</v>
      </c>
    </row>
    <row r="122" spans="1:6" s="801" customFormat="1" ht="24">
      <c r="A122" s="3217">
        <v>50</v>
      </c>
      <c r="B122" s="3556" t="s">
        <v>3133</v>
      </c>
      <c r="C122" s="3217" t="s">
        <v>3134</v>
      </c>
      <c r="D122" s="3197" t="s">
        <v>3135</v>
      </c>
      <c r="E122" s="3218">
        <v>0.1</v>
      </c>
      <c r="F122" s="3217">
        <v>15</v>
      </c>
    </row>
    <row r="123" spans="1:6" s="801" customFormat="1" ht="24">
      <c r="A123" s="3217">
        <v>51</v>
      </c>
      <c r="B123" s="3556"/>
      <c r="C123" s="3217" t="s">
        <v>3136</v>
      </c>
      <c r="D123" s="3197" t="s">
        <v>3137</v>
      </c>
      <c r="E123" s="3218">
        <v>0.1</v>
      </c>
      <c r="F123" s="3217">
        <v>15</v>
      </c>
    </row>
    <row r="124" spans="1:6" s="801" customFormat="1" ht="24">
      <c r="A124" s="3217">
        <v>52</v>
      </c>
      <c r="B124" s="3556" t="s">
        <v>3138</v>
      </c>
      <c r="C124" s="3217" t="s">
        <v>3139</v>
      </c>
      <c r="D124" s="3197" t="s">
        <v>3140</v>
      </c>
      <c r="E124" s="3218">
        <v>0.1</v>
      </c>
      <c r="F124" s="3217">
        <v>15</v>
      </c>
    </row>
    <row r="125" spans="1:6" s="801" customFormat="1" ht="24">
      <c r="A125" s="3217">
        <v>53</v>
      </c>
      <c r="B125" s="3556"/>
      <c r="C125" s="3217" t="s">
        <v>3141</v>
      </c>
      <c r="D125" s="3197" t="s">
        <v>3142</v>
      </c>
      <c r="E125" s="3218">
        <v>0.1</v>
      </c>
      <c r="F125" s="3217">
        <v>15</v>
      </c>
    </row>
    <row r="126" spans="1:6" ht="24">
      <c r="A126" s="3217">
        <v>54</v>
      </c>
      <c r="B126" s="3217" t="s">
        <v>3143</v>
      </c>
      <c r="C126" s="3217" t="s">
        <v>3144</v>
      </c>
      <c r="D126" s="3197" t="s">
        <v>3145</v>
      </c>
      <c r="E126" s="3218">
        <v>0.1</v>
      </c>
      <c r="F126" s="3217">
        <v>15</v>
      </c>
    </row>
    <row r="127" spans="1:6" ht="13.5">
      <c r="A127" s="3217">
        <v>55</v>
      </c>
      <c r="B127" s="3556" t="s">
        <v>3146</v>
      </c>
      <c r="C127" s="3217" t="s">
        <v>3147</v>
      </c>
      <c r="D127" s="3197" t="s">
        <v>3148</v>
      </c>
      <c r="E127" s="3218">
        <v>0.1</v>
      </c>
      <c r="F127" s="3217">
        <v>15</v>
      </c>
    </row>
    <row r="128" spans="1:6" ht="13.5">
      <c r="A128" s="3217">
        <v>56</v>
      </c>
      <c r="B128" s="3556"/>
      <c r="C128" s="3217" t="s">
        <v>3149</v>
      </c>
      <c r="D128" s="3197" t="s">
        <v>3150</v>
      </c>
      <c r="E128" s="3218">
        <v>0.1</v>
      </c>
      <c r="F128" s="3217">
        <v>15</v>
      </c>
    </row>
    <row r="129" spans="1:6" ht="24">
      <c r="A129" s="3217">
        <v>57</v>
      </c>
      <c r="B129" s="3556"/>
      <c r="C129" s="3217" t="s">
        <v>3151</v>
      </c>
      <c r="D129" s="3197" t="s">
        <v>3152</v>
      </c>
      <c r="E129" s="3218">
        <v>0.1</v>
      </c>
      <c r="F129" s="3217">
        <v>15</v>
      </c>
    </row>
    <row r="130" spans="1:6" ht="24">
      <c r="A130" s="3217">
        <v>58</v>
      </c>
      <c r="B130" s="3556" t="s">
        <v>3153</v>
      </c>
      <c r="C130" s="3217" t="s">
        <v>3154</v>
      </c>
      <c r="D130" s="3197" t="s">
        <v>3155</v>
      </c>
      <c r="E130" s="3218">
        <v>0.1</v>
      </c>
      <c r="F130" s="3217">
        <v>15</v>
      </c>
    </row>
    <row r="131" spans="1:6" ht="24">
      <c r="A131" s="3217">
        <v>59</v>
      </c>
      <c r="B131" s="3556"/>
      <c r="C131" s="3217" t="s">
        <v>3156</v>
      </c>
      <c r="D131" s="3197" t="s">
        <v>3157</v>
      </c>
      <c r="E131" s="3218">
        <v>0.1</v>
      </c>
      <c r="F131" s="3217">
        <v>15</v>
      </c>
    </row>
    <row r="132" spans="1:6" ht="24">
      <c r="A132" s="3217">
        <v>60</v>
      </c>
      <c r="B132" s="3557" t="s">
        <v>3158</v>
      </c>
      <c r="C132" s="3217" t="s">
        <v>3159</v>
      </c>
      <c r="D132" s="3197" t="s">
        <v>3160</v>
      </c>
      <c r="E132" s="3218">
        <v>0.1</v>
      </c>
      <c r="F132" s="3217">
        <v>15</v>
      </c>
    </row>
    <row r="133" spans="1:6" ht="24">
      <c r="A133" s="3217">
        <v>61</v>
      </c>
      <c r="B133" s="3558"/>
      <c r="C133" s="3217" t="s">
        <v>3161</v>
      </c>
      <c r="D133" s="3197" t="s">
        <v>3162</v>
      </c>
      <c r="E133" s="3218">
        <v>0.1</v>
      </c>
      <c r="F133" s="3217">
        <v>15</v>
      </c>
    </row>
    <row r="134" spans="1:6" ht="24">
      <c r="A134" s="3217">
        <v>62</v>
      </c>
      <c r="B134" s="3217" t="s">
        <v>3163</v>
      </c>
      <c r="C134" s="3217" t="s">
        <v>3164</v>
      </c>
      <c r="D134" s="3197" t="s">
        <v>3165</v>
      </c>
      <c r="E134" s="3218">
        <v>0.1</v>
      </c>
      <c r="F134" s="3217">
        <v>15</v>
      </c>
    </row>
    <row r="135" spans="1:6" ht="24">
      <c r="A135" s="3217">
        <v>63</v>
      </c>
      <c r="B135" s="3556" t="s">
        <v>3166</v>
      </c>
      <c r="C135" s="3217" t="s">
        <v>3167</v>
      </c>
      <c r="D135" s="3197" t="s">
        <v>3168</v>
      </c>
      <c r="E135" s="3218">
        <v>0.1</v>
      </c>
      <c r="F135" s="3217">
        <v>15</v>
      </c>
    </row>
    <row r="136" spans="1:6" ht="13.5">
      <c r="A136" s="3217">
        <v>64</v>
      </c>
      <c r="B136" s="3556"/>
      <c r="C136" s="3217" t="s">
        <v>3169</v>
      </c>
      <c r="D136" s="3197" t="s">
        <v>3170</v>
      </c>
      <c r="E136" s="3218">
        <v>0.1</v>
      </c>
      <c r="F136" s="3217">
        <v>15</v>
      </c>
    </row>
    <row r="137" spans="1:6" ht="24">
      <c r="A137" s="3217">
        <v>65</v>
      </c>
      <c r="B137" s="3217" t="s">
        <v>3171</v>
      </c>
      <c r="C137" s="3217" t="s">
        <v>3172</v>
      </c>
      <c r="D137" s="3197" t="s">
        <v>3173</v>
      </c>
      <c r="E137" s="3218">
        <v>0.1</v>
      </c>
      <c r="F137" s="3217">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2"/>
      <c r="G1" s="2972"/>
      <c r="H1" s="2972"/>
      <c r="I1" s="2972"/>
      <c r="J1" s="2972"/>
      <c r="K1" s="2972"/>
      <c r="L1" s="2972"/>
      <c r="M1" s="2972"/>
      <c r="N1" s="2972"/>
      <c r="O1" s="2972"/>
      <c r="P1" s="2972"/>
    </row>
    <row r="2" spans="1:16" ht="15.75">
      <c r="A2" s="2312" t="s">
        <v>2572</v>
      </c>
      <c r="B2" s="2777" t="e">
        <f ca="1">SUMIF(B6:B13,"&lt;&gt;#ref!",B6:B13)</f>
        <v>#DIV/0!</v>
      </c>
      <c r="C2" s="2312" t="s">
        <v>2573</v>
      </c>
      <c r="D2" s="2312" t="s">
        <v>2574</v>
      </c>
      <c r="E2" s="2787">
        <f ca="1">SUMIF(E6:E13,"&lt;&gt;#ref!",E6:E13)</f>
        <v>0</v>
      </c>
      <c r="F2" s="2972"/>
      <c r="G2" s="2972"/>
      <c r="H2" s="2972"/>
      <c r="I2" s="2972"/>
      <c r="J2" s="2972"/>
      <c r="K2" s="2972"/>
      <c r="L2" s="2972"/>
      <c r="M2" s="2972"/>
      <c r="N2" s="2972"/>
      <c r="O2" s="2972"/>
      <c r="P2" s="2972"/>
    </row>
    <row r="3" spans="1:16" ht="15.75">
      <c r="A3" s="2312" t="s">
        <v>2575</v>
      </c>
      <c r="B3" s="2777" t="e">
        <f ca="1">ROUND(B2*10000/E2,0)</f>
        <v>#DIV/0!</v>
      </c>
      <c r="C3" s="2312" t="s">
        <v>2581</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3" t="s">
        <v>2576</v>
      </c>
      <c r="B5" s="2785" t="s">
        <v>2577</v>
      </c>
      <c r="C5" s="2313"/>
      <c r="D5" s="2972"/>
      <c r="E5" s="2786" t="s">
        <v>2578</v>
      </c>
      <c r="F5" s="2972"/>
      <c r="G5" s="2972"/>
      <c r="H5" s="2972"/>
      <c r="I5" s="2972"/>
      <c r="J5" s="2972"/>
      <c r="K5" s="2972"/>
      <c r="L5" s="2972"/>
      <c r="M5" s="2972"/>
      <c r="N5" s="2972"/>
      <c r="O5" s="2972"/>
      <c r="P5" s="2972"/>
    </row>
    <row r="6" spans="1:16" ht="15.75">
      <c r="A6" s="2784" t="s">
        <v>2579</v>
      </c>
      <c r="B6" s="2777" t="e">
        <f ca="1">SUMIF(INDIRECT("'"&amp;A6&amp;"'"&amp;"!A:A"),"总价",INDIRECT("'"&amp;A6&amp;"'"&amp;"!B:B"))</f>
        <v>#DIV/0!</v>
      </c>
      <c r="C6" s="2312" t="s">
        <v>2573</v>
      </c>
      <c r="D6" s="2972"/>
      <c r="E6" s="2787">
        <f ca="1">SUMIF(INDIRECT("'"&amp;A6&amp;"'"&amp;"!C:C"),"建筑面积",INDIRECT("'"&amp;A6&amp;"'"&amp;"!D:D"))</f>
        <v>0</v>
      </c>
      <c r="F6" s="2972"/>
      <c r="G6" s="2972"/>
      <c r="H6" s="2972"/>
      <c r="I6" s="2972"/>
      <c r="J6" s="2972"/>
      <c r="K6" s="2972"/>
      <c r="L6" s="2972"/>
      <c r="M6" s="2972"/>
      <c r="N6" s="2972"/>
      <c r="O6" s="2972"/>
      <c r="P6" s="2972"/>
    </row>
    <row r="7" spans="1:16" ht="15.75">
      <c r="A7" s="2784"/>
      <c r="B7" s="2777" t="e">
        <f ca="1">SUMIF(INDIRECT("'"&amp;A7&amp;"'"&amp;"!A:A"),"总价",INDIRECT("'"&amp;A7&amp;"'"&amp;"!B:B"))</f>
        <v>#REF!</v>
      </c>
      <c r="C7" s="2312" t="s">
        <v>2573</v>
      </c>
      <c r="D7" s="2972"/>
      <c r="E7" s="2787" t="e">
        <f t="shared" ref="E7:E13" ca="1" si="0">SUMIF(INDIRECT("'"&amp;A7&amp;"'"&amp;"!C:C"),"建筑面积",INDIRECT("'"&amp;A7&amp;"'"&amp;"!D:D"))</f>
        <v>#REF!</v>
      </c>
      <c r="F7" s="2972"/>
      <c r="G7" s="2972"/>
      <c r="H7" s="2972"/>
      <c r="I7" s="2972"/>
      <c r="J7" s="2972"/>
      <c r="K7" s="2972"/>
      <c r="L7" s="2972"/>
      <c r="M7" s="2972"/>
      <c r="N7" s="2972"/>
      <c r="O7" s="2972"/>
      <c r="P7" s="2972"/>
    </row>
    <row r="8" spans="1:16" ht="15.75">
      <c r="A8" s="2784"/>
      <c r="B8" s="2777" t="e">
        <f t="shared" ref="B8:B13" ca="1" si="1">SUMIF(INDIRECT("'"&amp;A8&amp;"'"&amp;"!A:A"),"总价",INDIRECT("'"&amp;A8&amp;"'"&amp;"!B:B"))</f>
        <v>#REF!</v>
      </c>
      <c r="C8" s="2312" t="s">
        <v>2573</v>
      </c>
      <c r="D8" s="2972"/>
      <c r="E8" s="2787" t="e">
        <f t="shared" ca="1" si="0"/>
        <v>#REF!</v>
      </c>
      <c r="F8" s="2972"/>
      <c r="G8" s="2972"/>
      <c r="H8" s="2972"/>
      <c r="I8" s="2972"/>
      <c r="J8" s="2972"/>
      <c r="K8" s="2972"/>
      <c r="L8" s="2972"/>
      <c r="M8" s="2972"/>
      <c r="N8" s="2972"/>
      <c r="O8" s="2972"/>
      <c r="P8" s="2972"/>
    </row>
    <row r="9" spans="1:16" ht="15.75">
      <c r="A9" s="2784"/>
      <c r="B9" s="2777" t="e">
        <f t="shared" ca="1" si="1"/>
        <v>#REF!</v>
      </c>
      <c r="C9" s="2312" t="s">
        <v>2573</v>
      </c>
      <c r="D9" s="2972"/>
      <c r="E9" s="2787" t="e">
        <f t="shared" ca="1" si="0"/>
        <v>#REF!</v>
      </c>
      <c r="F9" s="2972"/>
      <c r="G9" s="2972"/>
      <c r="H9" s="2972"/>
      <c r="I9" s="2972"/>
      <c r="J9" s="2972"/>
      <c r="K9" s="2972"/>
      <c r="L9" s="2972"/>
      <c r="M9" s="2972"/>
      <c r="N9" s="2972"/>
      <c r="O9" s="2972"/>
      <c r="P9" s="2972"/>
    </row>
    <row r="10" spans="1:16" ht="15.75">
      <c r="A10" s="2784"/>
      <c r="B10" s="2777" t="e">
        <f t="shared" ca="1" si="1"/>
        <v>#REF!</v>
      </c>
      <c r="C10" s="2312" t="s">
        <v>2573</v>
      </c>
      <c r="D10" s="2972"/>
      <c r="E10" s="2787" t="e">
        <f t="shared" ca="1" si="0"/>
        <v>#REF!</v>
      </c>
      <c r="F10" s="2972"/>
      <c r="G10" s="2972"/>
      <c r="H10" s="2972"/>
      <c r="I10" s="2972"/>
      <c r="J10" s="2972"/>
      <c r="K10" s="2972"/>
      <c r="L10" s="2972"/>
      <c r="M10" s="2972"/>
      <c r="N10" s="2972"/>
      <c r="O10" s="2972"/>
      <c r="P10" s="2972"/>
    </row>
    <row r="11" spans="1:16" ht="15.75">
      <c r="A11" s="2784"/>
      <c r="B11" s="2777" t="e">
        <f t="shared" ca="1" si="1"/>
        <v>#REF!</v>
      </c>
      <c r="C11" s="2312" t="s">
        <v>2573</v>
      </c>
      <c r="D11" s="2972"/>
      <c r="E11" s="2787" t="e">
        <f t="shared" ca="1" si="0"/>
        <v>#REF!</v>
      </c>
      <c r="F11" s="2972"/>
      <c r="G11" s="2972"/>
      <c r="H11" s="2972"/>
      <c r="I11" s="2972"/>
      <c r="J11" s="2972"/>
      <c r="K11" s="2972"/>
      <c r="L11" s="2972"/>
      <c r="M11" s="2972"/>
      <c r="N11" s="2972"/>
      <c r="O11" s="2972"/>
      <c r="P11" s="2972"/>
    </row>
    <row r="12" spans="1:16" ht="15.75">
      <c r="A12" s="2784"/>
      <c r="B12" s="2777" t="e">
        <f t="shared" ca="1" si="1"/>
        <v>#REF!</v>
      </c>
      <c r="C12" s="2312" t="s">
        <v>2573</v>
      </c>
      <c r="D12" s="2972"/>
      <c r="E12" s="2787" t="e">
        <f t="shared" ca="1" si="0"/>
        <v>#REF!</v>
      </c>
      <c r="F12" s="2972"/>
      <c r="G12" s="2972"/>
      <c r="H12" s="2972"/>
      <c r="I12" s="2972"/>
      <c r="J12" s="2972"/>
      <c r="K12" s="2972"/>
      <c r="L12" s="2972"/>
      <c r="M12" s="2972"/>
      <c r="N12" s="2972"/>
      <c r="O12" s="2972"/>
      <c r="P12" s="2972"/>
    </row>
    <row r="13" spans="1:16" ht="15.75">
      <c r="A13" s="2784"/>
      <c r="B13" s="2777" t="e">
        <f t="shared" ca="1" si="1"/>
        <v>#REF!</v>
      </c>
      <c r="C13" s="2312" t="s">
        <v>2573</v>
      </c>
      <c r="D13" s="2972"/>
      <c r="E13" s="2787"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H32" sqref="H32"/>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73" t="s">
        <v>877</v>
      </c>
      <c r="C1" s="3573"/>
      <c r="D1" s="3573"/>
      <c r="E1" s="3573"/>
      <c r="F1" s="3573"/>
      <c r="G1" s="3572" t="s">
        <v>878</v>
      </c>
      <c r="H1" s="3572"/>
      <c r="I1" s="3572"/>
      <c r="J1" s="3572"/>
      <c r="K1" s="3572"/>
      <c r="L1" s="3572"/>
      <c r="N1" s="3572" t="s">
        <v>879</v>
      </c>
      <c r="O1" s="3572"/>
      <c r="P1" s="3572"/>
      <c r="Q1" s="3572"/>
      <c r="S1" s="3572" t="s">
        <v>880</v>
      </c>
      <c r="T1" s="3572"/>
      <c r="U1" s="3572"/>
      <c r="V1" s="3572"/>
      <c r="X1" s="3571" t="s">
        <v>881</v>
      </c>
      <c r="Y1" s="3572"/>
      <c r="Z1" s="3572"/>
      <c r="AA1" s="3572"/>
      <c r="AB1" s="3572"/>
      <c r="AD1" s="3571" t="s">
        <v>882</v>
      </c>
      <c r="AE1" s="3572"/>
      <c r="AF1" s="3572"/>
      <c r="AG1" s="3572"/>
      <c r="AH1" s="3572"/>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77">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77">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9">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8">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2">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1">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8">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9">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9"/>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9"/>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8"/>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74">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9"/>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9"/>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8"/>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4">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9"/>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9"/>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70"/>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8">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9"/>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9"/>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70"/>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8">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9"/>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9"/>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70"/>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5">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6"/>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6"/>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7"/>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8">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9"/>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9"/>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70"/>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8">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9">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9">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70">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8">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9">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9">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70">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8">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9">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9">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70">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8">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9">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9">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70">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8">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9">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9">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70">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8">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9">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9">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70">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8">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9">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9">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70">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8">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9">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9">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70">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8">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9">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9">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70">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8">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9">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9">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70">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6"/>
      <c r="C2" s="3246"/>
      <c r="D2" s="3246"/>
      <c r="E2" s="3246"/>
    </row>
    <row r="3" spans="1:5" ht="18">
      <c r="A3" s="3247" t="str">
        <f>IF(项目基本情况!B9="房地产市场价值","估价结果一览表（市场价值不需“结果表-1”）","估价结果一览表")</f>
        <v>估价结果一览表</v>
      </c>
      <c r="B3" s="3247"/>
      <c r="C3" s="3247"/>
      <c r="D3" s="3247"/>
      <c r="E3" s="3247"/>
    </row>
    <row r="4" spans="1:5" ht="19.5" thickBot="1">
      <c r="A4" s="1629"/>
      <c r="B4" s="3245" t="s">
        <v>1354</v>
      </c>
      <c r="C4" s="3245"/>
      <c r="D4" s="3245"/>
      <c r="E4" s="1629"/>
    </row>
    <row r="5" spans="1:5" ht="16.5" thickTop="1">
      <c r="A5" s="1627"/>
      <c r="B5" s="3243" t="s">
        <v>1346</v>
      </c>
      <c r="C5" s="1630" t="s">
        <v>1347</v>
      </c>
      <c r="D5" s="940">
        <f ca="1">结果表!H101</f>
        <v>29224</v>
      </c>
      <c r="E5" s="1627"/>
    </row>
    <row r="6" spans="1:5" ht="15.75">
      <c r="A6" s="1627"/>
      <c r="B6" s="3243"/>
      <c r="C6" s="1630" t="s">
        <v>1348</v>
      </c>
      <c r="D6" s="940" t="str">
        <f ca="1">NUMBERSTRING(INT(D5*10000),2)&amp;"元整"</f>
        <v>贰亿玖仟贰佰贰拾肆万元整</v>
      </c>
      <c r="E6" s="1627"/>
    </row>
    <row r="7" spans="1:5" ht="15.75">
      <c r="A7" s="1627"/>
      <c r="B7" s="3248"/>
      <c r="C7" s="1631" t="s">
        <v>1349</v>
      </c>
      <c r="D7" s="941">
        <f ca="1">结果表!H102</f>
        <v>16992</v>
      </c>
      <c r="E7" s="1627"/>
    </row>
    <row r="8" spans="1:5" ht="15.75">
      <c r="A8" s="1627"/>
      <c r="B8" s="3249" t="str">
        <f>结果表!E103</f>
        <v>2.估价师知悉的法定优先受偿款</v>
      </c>
      <c r="C8" s="1632" t="s">
        <v>1350</v>
      </c>
      <c r="D8" s="941">
        <f>结果表!H103</f>
        <v>0</v>
      </c>
      <c r="E8" s="1627"/>
    </row>
    <row r="9" spans="1:5" ht="15.75">
      <c r="A9" s="1627"/>
      <c r="B9" s="325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2" t="str">
        <f>结果表!E107</f>
        <v>3.房地产抵押价值</v>
      </c>
      <c r="C13" s="1635" t="s">
        <v>1347</v>
      </c>
      <c r="D13" s="943">
        <f ca="1">结果表!H107</f>
        <v>29224</v>
      </c>
      <c r="E13" s="1627"/>
    </row>
    <row r="14" spans="1:5" ht="15.75">
      <c r="A14" s="1627"/>
      <c r="B14" s="3243"/>
      <c r="C14" s="1630" t="s">
        <v>1348</v>
      </c>
      <c r="D14" s="940" t="str">
        <f ca="1">NUMBERSTRING(INT(D13*10000),2)&amp;"元整"</f>
        <v>贰亿玖仟贰佰贰拾肆万元整</v>
      </c>
      <c r="E14" s="1627"/>
    </row>
    <row r="15" spans="1:5" ht="15">
      <c r="A15" s="1627"/>
      <c r="B15" s="3248"/>
      <c r="C15" s="1631" t="s">
        <v>1358</v>
      </c>
      <c r="D15" s="949">
        <f ca="1">结果表!H108</f>
        <v>16992</v>
      </c>
      <c r="E15" s="1627"/>
    </row>
    <row r="16" spans="1:5" ht="15">
      <c r="A16" s="1627"/>
      <c r="B16" s="3249" t="str">
        <f>结果表!E109</f>
        <v>——</v>
      </c>
      <c r="C16" s="1635" t="s">
        <v>1359</v>
      </c>
      <c r="D16" s="1636" t="str">
        <f>结果表!H109</f>
        <v>——</v>
      </c>
      <c r="E16" s="1627"/>
    </row>
    <row r="17" spans="1:5" ht="15.75">
      <c r="A17" s="1627"/>
      <c r="B17" s="3250"/>
      <c r="C17" s="1630" t="s">
        <v>1360</v>
      </c>
      <c r="D17" s="940" t="e">
        <f>NUMBERSTRING(INT(D16*10000),2)&amp;"元整"</f>
        <v>#VALUE!</v>
      </c>
      <c r="E17" s="1627"/>
    </row>
    <row r="18" spans="1:5" ht="15">
      <c r="A18" s="1627"/>
      <c r="B18" s="3251"/>
      <c r="C18" s="1631" t="s">
        <v>1349</v>
      </c>
      <c r="D18" s="949" t="str">
        <f>结果表!H110</f>
        <v>——</v>
      </c>
      <c r="E18" s="1627"/>
    </row>
    <row r="19" spans="1:5" ht="15.75">
      <c r="A19" s="1627"/>
      <c r="B19" s="3242" t="str">
        <f>结果表!E111</f>
        <v>4.抵押净值</v>
      </c>
      <c r="C19" s="1635" t="s">
        <v>1347</v>
      </c>
      <c r="D19" s="941">
        <f ca="1">结果表!H111</f>
        <v>29081</v>
      </c>
      <c r="E19" s="1627"/>
    </row>
    <row r="20" spans="1:5" ht="15.75">
      <c r="A20" s="1627"/>
      <c r="B20" s="3243"/>
      <c r="C20" s="1630" t="s">
        <v>1360</v>
      </c>
      <c r="D20" s="940" t="str">
        <f ca="1">NUMBERSTRING(INT(D19*10000),2)&amp;"元整"</f>
        <v>贰亿玖仟零捌拾壹万元整</v>
      </c>
      <c r="E20" s="1627"/>
    </row>
    <row r="21" spans="1:5" ht="15.75" thickBot="1">
      <c r="A21" s="1627"/>
      <c r="B21" s="3244"/>
      <c r="C21" s="1637" t="s">
        <v>1358</v>
      </c>
      <c r="D21" s="950">
        <f ca="1">结果表!H112</f>
        <v>16909</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82" t="s">
        <v>2583</v>
      </c>
      <c r="D1" s="3583"/>
      <c r="E1" s="3583"/>
      <c r="F1" s="3583"/>
      <c r="G1" s="3583"/>
      <c r="H1" s="3583"/>
      <c r="I1" s="3583"/>
      <c r="J1" s="3583"/>
      <c r="K1" s="3583"/>
      <c r="L1" s="3583"/>
      <c r="M1" s="3583"/>
      <c r="N1" s="3583"/>
      <c r="O1" s="3583"/>
      <c r="P1" s="3583"/>
      <c r="Q1" s="3583"/>
      <c r="R1" s="3583"/>
      <c r="S1" s="3584"/>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9" t="s">
        <v>33</v>
      </c>
      <c r="D22" s="3580"/>
      <c r="E22" s="3580"/>
      <c r="F22" s="3580"/>
      <c r="G22" s="3580"/>
      <c r="H22" s="3580"/>
      <c r="I22" s="3580"/>
      <c r="J22" s="3580"/>
      <c r="K22" s="3580"/>
      <c r="L22" s="3580"/>
      <c r="M22" s="3580"/>
      <c r="N22" s="3580"/>
      <c r="O22" s="3580"/>
      <c r="P22" s="3580"/>
      <c r="Q22" s="3581"/>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45821</v>
      </c>
      <c r="C2" s="2" t="s">
        <v>133</v>
      </c>
      <c r="D2" s="205"/>
      <c r="E2" s="205"/>
      <c r="F2" s="205"/>
      <c r="G2" s="205"/>
    </row>
    <row r="3" spans="1:7" s="206" customFormat="1" ht="18" customHeight="1" thickBot="1">
      <c r="A3" s="209" t="s">
        <v>85</v>
      </c>
      <c r="B3" s="210">
        <f ca="1">ROUND(B2*10000/'数据-汇总表'!E3,0)</f>
        <v>26643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258</v>
      </c>
      <c r="D10" s="935">
        <f>'数据-汇总表'!E6</f>
        <v>17198.239999999998</v>
      </c>
      <c r="E10" s="231">
        <f>'数据-取费表'!B28</f>
        <v>150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344</v>
      </c>
      <c r="D19" s="939">
        <f>'数据-汇总表'!E3</f>
        <v>17198.239999999998</v>
      </c>
      <c r="E19" s="217">
        <f>'数据-取费表'!B31</f>
        <v>200</v>
      </c>
      <c r="F19" s="237"/>
      <c r="G19" s="1" t="s">
        <v>861</v>
      </c>
    </row>
    <row r="20" spans="1:7" s="220" customFormat="1" ht="13.5" customHeight="1">
      <c r="A20" s="866" t="s">
        <v>844</v>
      </c>
      <c r="B20" s="216" t="s">
        <v>104</v>
      </c>
      <c r="C20" s="238">
        <f>ROUND((C5+C19)*F20,0)</f>
        <v>419</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1792</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29</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4275</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4275</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29766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14081</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12899</v>
      </c>
      <c r="D34" s="223"/>
      <c r="E34" s="226"/>
      <c r="F34" s="263">
        <f>IF('数据-取费表'!B24=0,1,'数据-取费表'!N16)</f>
        <v>1</v>
      </c>
      <c r="G34" s="225" t="s">
        <v>116</v>
      </c>
    </row>
    <row r="35" spans="1:7" ht="13.5" customHeight="1">
      <c r="A35" s="869" t="s">
        <v>615</v>
      </c>
      <c r="B35" s="221" t="s">
        <v>60</v>
      </c>
      <c r="C35" s="226">
        <f>ROUND(C34*F35,0)</f>
        <v>645</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344</v>
      </c>
      <c r="D37" s="223">
        <f>'数据-汇总表'!E3</f>
        <v>17198.239999999998</v>
      </c>
      <c r="E37" s="255">
        <f>'数据-取费表'!B35</f>
        <v>200</v>
      </c>
      <c r="F37" s="265"/>
      <c r="G37" s="267" t="s">
        <v>119</v>
      </c>
    </row>
    <row r="38" spans="1:7" ht="13.5" customHeight="1">
      <c r="A38" s="869" t="s">
        <v>618</v>
      </c>
      <c r="B38" s="221" t="s">
        <v>63</v>
      </c>
      <c r="C38" s="226">
        <f>ROUND(C34*F38,0)</f>
        <v>193</v>
      </c>
      <c r="D38" s="226"/>
      <c r="E38" s="226"/>
      <c r="F38" s="265">
        <f>'数据-取费表'!B36</f>
        <v>1.4999999999999999E-2</v>
      </c>
      <c r="G38" s="225" t="s">
        <v>117</v>
      </c>
    </row>
    <row r="39" spans="1:7" s="220" customFormat="1" ht="13.5" customHeight="1">
      <c r="A39" s="866" t="s">
        <v>602</v>
      </c>
      <c r="B39" s="216" t="s">
        <v>104</v>
      </c>
      <c r="C39" s="238">
        <f>ROUND(C33*F20,0)</f>
        <v>282</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596</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584</v>
      </c>
      <c r="D42" s="244"/>
      <c r="E42" s="244"/>
      <c r="F42" s="245"/>
      <c r="G42" s="3430" t="s">
        <v>121</v>
      </c>
    </row>
    <row r="43" spans="1:7" ht="13.5" customHeight="1">
      <c r="A43" s="869" t="s">
        <v>611</v>
      </c>
      <c r="B43" s="221" t="s">
        <v>851</v>
      </c>
      <c r="C43" s="244">
        <f ca="1">ROUND(IF('数据-取费表'!B22&lt;=1,C39*F22*'数据-取费表'!B21/2,C39*(POWER((1+F22),'数据-取费表'!B21/2)-1)),0)</f>
        <v>12</v>
      </c>
      <c r="D43" s="244"/>
      <c r="E43" s="244"/>
      <c r="F43" s="245"/>
      <c r="G43" s="3431"/>
    </row>
    <row r="44" spans="1:7" ht="13.5" customHeight="1">
      <c r="A44" s="869" t="s">
        <v>612</v>
      </c>
      <c r="B44" s="221" t="s">
        <v>853</v>
      </c>
      <c r="C44" s="244">
        <f ca="1">ROUND(IF('数据-取费表'!B22&lt;=1,C40*F22*'数据-取费表'!B21/2,C40*(POWER((1+F22),'数据-取费表'!B21/2)-1)),4)</f>
        <v>8.0000000000000004E-4</v>
      </c>
      <c r="D44" s="244"/>
      <c r="E44" s="244"/>
      <c r="F44" s="245"/>
      <c r="G44" s="3432"/>
    </row>
    <row r="45" spans="1:7" s="220" customFormat="1" ht="13.5" customHeight="1">
      <c r="A45" s="866" t="s">
        <v>605</v>
      </c>
      <c r="B45" s="250" t="s">
        <v>112</v>
      </c>
      <c r="C45" s="251">
        <f>C46</f>
        <v>2873</v>
      </c>
      <c r="D45" s="241">
        <f>C47</f>
        <v>4.0000000000000001E-3</v>
      </c>
      <c r="E45" s="242" t="s">
        <v>129</v>
      </c>
      <c r="F45" s="252"/>
      <c r="G45" s="253" t="s">
        <v>859</v>
      </c>
    </row>
    <row r="46" spans="1:7" s="220" customFormat="1" ht="13.5" customHeight="1">
      <c r="A46" s="869" t="s">
        <v>613</v>
      </c>
      <c r="B46" s="254" t="s">
        <v>852</v>
      </c>
      <c r="C46" s="255">
        <f>ROUND((C33+C39)*F27,0)</f>
        <v>2873</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19343</v>
      </c>
      <c r="D49" s="238"/>
      <c r="E49" s="238"/>
      <c r="F49" s="270"/>
      <c r="G49" s="240" t="s">
        <v>860</v>
      </c>
    </row>
    <row r="50" spans="1:7" s="264" customFormat="1" ht="24">
      <c r="A50" s="866" t="s">
        <v>608</v>
      </c>
      <c r="B50" s="216" t="s">
        <v>124</v>
      </c>
      <c r="C50" s="238"/>
      <c r="D50" s="238"/>
      <c r="E50" s="238"/>
      <c r="F50" s="270">
        <f>IF('数据-取费表'!B24=0,'数据-取费表'!N16,1)</f>
        <v>0.83</v>
      </c>
      <c r="G50" s="253" t="s">
        <v>125</v>
      </c>
    </row>
    <row r="51" spans="1:7" ht="16.5" customHeight="1">
      <c r="A51" s="866" t="s">
        <v>609</v>
      </c>
      <c r="B51" s="216" t="s">
        <v>132</v>
      </c>
      <c r="C51" s="238">
        <f ca="1">ROUND(C49*F50,0)</f>
        <v>16055</v>
      </c>
      <c r="D51" s="238"/>
      <c r="E51" s="238"/>
      <c r="F51" s="270"/>
      <c r="G51" s="240" t="s">
        <v>64</v>
      </c>
    </row>
    <row r="52" spans="1:7" s="214" customFormat="1" ht="16.5" thickBot="1">
      <c r="A52" s="271" t="s">
        <v>65</v>
      </c>
      <c r="B52" s="272"/>
      <c r="C52" s="273">
        <f ca="1">C31+C51</f>
        <v>45821</v>
      </c>
      <c r="D52" s="272"/>
      <c r="E52" s="272"/>
      <c r="F52" s="272"/>
      <c r="G52" s="274"/>
    </row>
    <row r="55" spans="1:7" ht="15">
      <c r="B55" s="276" t="s">
        <v>66</v>
      </c>
      <c r="C55" s="277"/>
    </row>
    <row r="56" spans="1:7">
      <c r="B56" s="279" t="s">
        <v>67</v>
      </c>
      <c r="C56" s="280">
        <f ca="1">ROUND(C51/C52,3)</f>
        <v>0.35</v>
      </c>
    </row>
    <row r="57" spans="1:7">
      <c r="B57" s="279" t="s">
        <v>68</v>
      </c>
      <c r="C57" s="281">
        <f ca="1">1-C56</f>
        <v>0.65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5" t="s">
        <v>156</v>
      </c>
      <c r="B1" s="3585"/>
      <c r="C1" s="3585"/>
      <c r="D1" s="3585"/>
      <c r="E1" s="3585"/>
      <c r="F1" s="358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6" t="s">
        <v>169</v>
      </c>
      <c r="B2" s="3586"/>
      <c r="C2" s="3586"/>
      <c r="D2" s="3586"/>
      <c r="E2" s="3586"/>
      <c r="F2" s="358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7"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8"/>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5" t="s">
        <v>658</v>
      </c>
      <c r="B1" s="3585"/>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32" sqref="H32"/>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44804</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0">
        <v>44795</v>
      </c>
      <c r="D13" s="3001">
        <v>3.65</v>
      </c>
      <c r="E13" s="3001">
        <f>D13</f>
        <v>3.65</v>
      </c>
      <c r="F13" s="3001">
        <f>D13</f>
        <v>3.65</v>
      </c>
      <c r="G13" s="3001">
        <f>D13</f>
        <v>3.65</v>
      </c>
      <c r="H13" s="3001">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7">
        <v>44701</v>
      </c>
      <c r="D14" s="2996">
        <v>3.7</v>
      </c>
      <c r="E14" s="2996">
        <v>3.7</v>
      </c>
      <c r="F14" s="2996">
        <v>3.7</v>
      </c>
      <c r="G14" s="2996">
        <v>3.7</v>
      </c>
      <c r="H14" s="2996">
        <v>4.45</v>
      </c>
      <c r="I14" s="3001"/>
      <c r="J14" s="3001"/>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5"/>
      <c r="C15" s="2997">
        <v>44581</v>
      </c>
      <c r="D15" s="2996">
        <v>3.7</v>
      </c>
      <c r="E15" s="2996">
        <f>D15</f>
        <v>3.7</v>
      </c>
      <c r="F15" s="2996">
        <f>D15</f>
        <v>3.7</v>
      </c>
      <c r="G15" s="2996">
        <f>D15</f>
        <v>3.7</v>
      </c>
      <c r="H15" s="2996">
        <v>4.5999999999999996</v>
      </c>
      <c r="I15" s="3001"/>
      <c r="J15" s="3001"/>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6"/>
      <c r="C16" s="2997">
        <v>44550</v>
      </c>
      <c r="D16" s="2996">
        <v>3.8</v>
      </c>
      <c r="E16" s="2996">
        <f>D16</f>
        <v>3.8</v>
      </c>
      <c r="F16" s="2996">
        <f>D16</f>
        <v>3.8</v>
      </c>
      <c r="G16" s="2996">
        <f>D16</f>
        <v>3.8</v>
      </c>
      <c r="H16" s="2996">
        <v>4.6500000000000004</v>
      </c>
      <c r="I16" s="2996"/>
      <c r="J16" s="3001"/>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6"/>
      <c r="C17" s="2997">
        <v>43941</v>
      </c>
      <c r="D17" s="2996">
        <v>3.85</v>
      </c>
      <c r="E17" s="2996">
        <v>3.85</v>
      </c>
      <c r="F17" s="2996">
        <v>3.85</v>
      </c>
      <c r="G17" s="2996">
        <v>3.85</v>
      </c>
      <c r="H17" s="2996">
        <v>4.6500000000000004</v>
      </c>
      <c r="I17" s="2996"/>
      <c r="J17" s="2996"/>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6"/>
      <c r="C18" s="2997">
        <v>43881</v>
      </c>
      <c r="D18" s="2996">
        <v>4.05</v>
      </c>
      <c r="E18" s="2996">
        <v>4.05</v>
      </c>
      <c r="F18" s="2996">
        <v>4.05</v>
      </c>
      <c r="G18" s="2996">
        <v>4.05</v>
      </c>
      <c r="H18" s="2996">
        <v>4.75</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5"/>
      <c r="B19" s="2996"/>
      <c r="C19" s="2997">
        <v>43789</v>
      </c>
      <c r="D19" s="2996">
        <v>4.1500000000000004</v>
      </c>
      <c r="E19" s="2996">
        <v>4.1500000000000004</v>
      </c>
      <c r="F19" s="2996">
        <v>4.1500000000000004</v>
      </c>
      <c r="G19" s="2996">
        <v>4.1500000000000004</v>
      </c>
      <c r="H19" s="2996">
        <v>4.8</v>
      </c>
      <c r="I19" s="2996"/>
      <c r="J19" s="2996"/>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6"/>
      <c r="C20" s="2997">
        <v>43728</v>
      </c>
      <c r="D20" s="2996">
        <v>4.2</v>
      </c>
      <c r="E20" s="2996">
        <v>4.2</v>
      </c>
      <c r="F20" s="2996">
        <v>4.2</v>
      </c>
      <c r="G20" s="2996">
        <v>4.2</v>
      </c>
      <c r="H20" s="2996">
        <v>4.8499999999999996</v>
      </c>
      <c r="I20" s="2996"/>
      <c r="J20" s="2996"/>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5" t="s">
        <v>2814</v>
      </c>
      <c r="C21" s="2998">
        <v>43697</v>
      </c>
      <c r="D21" s="2999">
        <v>4.25</v>
      </c>
      <c r="E21" s="2999">
        <v>4.25</v>
      </c>
      <c r="F21" s="2999">
        <v>4.25</v>
      </c>
      <c r="G21" s="2999">
        <v>4.25</v>
      </c>
      <c r="H21" s="2999">
        <v>4.8499999999999996</v>
      </c>
      <c r="I21" s="2999"/>
      <c r="J21" s="2999"/>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2"/>
      <c r="B22" s="3003"/>
      <c r="C22" s="3004">
        <v>42301</v>
      </c>
      <c r="D22" s="3005">
        <v>4.3499999999999996</v>
      </c>
      <c r="E22" s="3005">
        <v>4.3499999999999996</v>
      </c>
      <c r="F22" s="3005">
        <v>4.75</v>
      </c>
      <c r="G22" s="3005">
        <v>4.75</v>
      </c>
      <c r="H22" s="3005">
        <v>4.9000000000000004</v>
      </c>
      <c r="I22" s="3005"/>
      <c r="J22" s="3005"/>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42"/>
  <sheetViews>
    <sheetView zoomScaleNormal="100" workbookViewId="0">
      <selection activeCell="AE18" sqref="AE18"/>
    </sheetView>
  </sheetViews>
  <sheetFormatPr defaultColWidth="9" defaultRowHeight="12"/>
  <cols>
    <col min="1" max="2" width="9" style="3222"/>
    <col min="3" max="3" width="14" style="3222" customWidth="1"/>
    <col min="4" max="4" width="0" style="3222" hidden="1" customWidth="1"/>
    <col min="5" max="8" width="9" style="3222"/>
    <col min="9" max="10" width="9.125" style="3222" bestFit="1" customWidth="1"/>
    <col min="11" max="12" width="9" style="3222"/>
    <col min="13" max="13" width="14.625" style="3222" customWidth="1"/>
    <col min="14" max="16" width="9" style="3222"/>
    <col min="17" max="17" width="9.125" style="3222" hidden="1" customWidth="1"/>
    <col min="18" max="20" width="0" style="3222" hidden="1" customWidth="1"/>
    <col min="21" max="24" width="9.125" style="3222" hidden="1" customWidth="1"/>
    <col min="25" max="27" width="10.25" style="3222" hidden="1" customWidth="1"/>
    <col min="28" max="28" width="10.25" style="3222" bestFit="1" customWidth="1"/>
    <col min="29" max="30" width="9" style="3222"/>
    <col min="31" max="31" width="18.25" style="3222" customWidth="1"/>
    <col min="32" max="32" width="0" style="3222" hidden="1" customWidth="1"/>
    <col min="33" max="34" width="9.125" style="3222" hidden="1" customWidth="1"/>
    <col min="35" max="35" width="0" style="3222" hidden="1" customWidth="1"/>
    <col min="36" max="36" width="9.125" style="3222" bestFit="1" customWidth="1"/>
    <col min="37" max="37" width="9.125" style="3222" hidden="1" customWidth="1"/>
    <col min="38" max="38" width="9.125" style="3222" bestFit="1" customWidth="1"/>
    <col min="39" max="39" width="9.125" style="3222" hidden="1" customWidth="1"/>
    <col min="40" max="40" width="9.125" style="3222" bestFit="1" customWidth="1"/>
    <col min="41" max="42" width="0" style="3222" hidden="1" customWidth="1"/>
    <col min="43" max="44" width="9.125" style="3222" bestFit="1" customWidth="1"/>
    <col min="45" max="16384" width="9" style="3222"/>
  </cols>
  <sheetData>
    <row r="1" spans="1:50">
      <c r="A1" s="3589" t="s">
        <v>3189</v>
      </c>
      <c r="B1" s="3589" t="s">
        <v>3190</v>
      </c>
      <c r="C1" s="3589" t="s">
        <v>3191</v>
      </c>
      <c r="D1" s="3589" t="s">
        <v>3192</v>
      </c>
      <c r="E1" s="3589" t="s">
        <v>3193</v>
      </c>
      <c r="F1" s="3589" t="s">
        <v>3194</v>
      </c>
      <c r="G1" s="3589" t="s">
        <v>3195</v>
      </c>
      <c r="H1" s="3589" t="s">
        <v>3196</v>
      </c>
      <c r="I1" s="3589" t="s">
        <v>3197</v>
      </c>
      <c r="J1" s="3589" t="s">
        <v>3198</v>
      </c>
      <c r="K1" s="3589" t="s">
        <v>3199</v>
      </c>
      <c r="L1" s="3589" t="s">
        <v>3200</v>
      </c>
      <c r="M1" s="3589" t="s">
        <v>3201</v>
      </c>
      <c r="N1" s="3589" t="s">
        <v>3202</v>
      </c>
      <c r="O1" s="3589" t="s">
        <v>3203</v>
      </c>
      <c r="P1" s="3589" t="s">
        <v>3204</v>
      </c>
      <c r="Q1" s="3589" t="s">
        <v>3205</v>
      </c>
      <c r="R1" s="3589" t="s">
        <v>3206</v>
      </c>
      <c r="S1" s="3589" t="s">
        <v>3207</v>
      </c>
      <c r="T1" s="3589" t="s">
        <v>3208</v>
      </c>
      <c r="U1" s="3589" t="s">
        <v>3209</v>
      </c>
      <c r="V1" s="3589" t="s">
        <v>3210</v>
      </c>
      <c r="W1" s="3589" t="s">
        <v>3211</v>
      </c>
      <c r="X1" s="3589" t="s">
        <v>3212</v>
      </c>
      <c r="Y1" s="3589" t="s">
        <v>3213</v>
      </c>
      <c r="Z1" s="3589" t="s">
        <v>3214</v>
      </c>
      <c r="AA1" s="3589" t="s">
        <v>3215</v>
      </c>
      <c r="AB1" s="3589" t="s">
        <v>3216</v>
      </c>
      <c r="AC1" s="3589" t="s">
        <v>3217</v>
      </c>
      <c r="AD1" s="3589" t="s">
        <v>3218</v>
      </c>
      <c r="AE1" s="3589" t="s">
        <v>3219</v>
      </c>
      <c r="AF1" s="3589" t="s">
        <v>3220</v>
      </c>
      <c r="AG1" s="3589" t="s">
        <v>3221</v>
      </c>
      <c r="AH1" s="3589" t="s">
        <v>3222</v>
      </c>
      <c r="AI1" s="3589" t="s">
        <v>3223</v>
      </c>
      <c r="AJ1" s="3589" t="s">
        <v>3224</v>
      </c>
      <c r="AK1" s="3589" t="s">
        <v>3225</v>
      </c>
      <c r="AL1" s="3589" t="s">
        <v>3226</v>
      </c>
      <c r="AM1" s="3589" t="s">
        <v>3227</v>
      </c>
      <c r="AN1" s="3589" t="s">
        <v>3228</v>
      </c>
      <c r="AO1" s="3589" t="s">
        <v>3229</v>
      </c>
      <c r="AP1" s="3589" t="s">
        <v>3230</v>
      </c>
      <c r="AQ1" s="3589" t="s">
        <v>3231</v>
      </c>
      <c r="AR1" s="3589" t="s">
        <v>3232</v>
      </c>
      <c r="AS1" s="3589" t="s">
        <v>3233</v>
      </c>
      <c r="AT1" s="3589" t="s">
        <v>3234</v>
      </c>
      <c r="AU1" s="3589" t="s">
        <v>3235</v>
      </c>
      <c r="AV1" s="3589" t="s">
        <v>3236</v>
      </c>
      <c r="AW1" s="3589" t="s">
        <v>3237</v>
      </c>
      <c r="AX1" s="3589" t="s">
        <v>3238</v>
      </c>
    </row>
    <row r="2" spans="1:50">
      <c r="A2" s="3589" t="s">
        <v>3239</v>
      </c>
      <c r="B2" s="3589" t="s">
        <v>3240</v>
      </c>
      <c r="C2" s="3589" t="s">
        <v>3241</v>
      </c>
      <c r="D2" s="3589" t="s">
        <v>3242</v>
      </c>
      <c r="E2" s="3589" t="s">
        <v>3243</v>
      </c>
      <c r="F2" s="3589" t="s">
        <v>3244</v>
      </c>
      <c r="G2" s="3589" t="s">
        <v>3245</v>
      </c>
      <c r="H2" s="3589" t="s">
        <v>3246</v>
      </c>
      <c r="I2" s="3589">
        <v>10598.08</v>
      </c>
      <c r="J2" s="3589">
        <v>24375.58</v>
      </c>
      <c r="K2" s="3589" t="s">
        <v>3247</v>
      </c>
      <c r="L2" s="3589" t="s">
        <v>3248</v>
      </c>
      <c r="M2" s="3589" t="s">
        <v>3249</v>
      </c>
      <c r="N2" s="3589" t="s">
        <v>3250</v>
      </c>
      <c r="O2" s="3589" t="s">
        <v>3251</v>
      </c>
      <c r="P2" s="3589" t="s">
        <v>3244</v>
      </c>
      <c r="Q2" s="3589" t="s">
        <v>3252</v>
      </c>
      <c r="R2" s="3589" t="s">
        <v>3244</v>
      </c>
      <c r="S2" s="3589" t="s">
        <v>3244</v>
      </c>
      <c r="T2" s="3589" t="s">
        <v>3244</v>
      </c>
      <c r="U2" s="3589" t="s">
        <v>3244</v>
      </c>
      <c r="V2" s="3589" t="s">
        <v>3244</v>
      </c>
      <c r="W2" s="3589">
        <v>0</v>
      </c>
      <c r="X2" s="3589">
        <v>0</v>
      </c>
      <c r="Y2" s="3590">
        <v>44747.000497685185</v>
      </c>
      <c r="Z2" s="3590">
        <v>44768.000497685185</v>
      </c>
      <c r="AA2" s="3590">
        <v>44777.000497685185</v>
      </c>
      <c r="AB2" s="3590">
        <v>44777.000497685185</v>
      </c>
      <c r="AC2" s="3589" t="s">
        <v>3253</v>
      </c>
      <c r="AD2" s="3589" t="s">
        <v>3254</v>
      </c>
      <c r="AE2" s="3589" t="s">
        <v>3255</v>
      </c>
      <c r="AF2" s="3589" t="s">
        <v>3244</v>
      </c>
      <c r="AG2" s="3589">
        <v>8535</v>
      </c>
      <c r="AH2" s="3589">
        <v>2000</v>
      </c>
      <c r="AI2" s="3589" t="s">
        <v>3256</v>
      </c>
      <c r="AJ2" s="3589">
        <v>8535</v>
      </c>
      <c r="AK2" s="3589">
        <v>536.89</v>
      </c>
      <c r="AL2" s="3589">
        <v>536.89</v>
      </c>
      <c r="AM2" s="3589">
        <v>3501</v>
      </c>
      <c r="AN2" s="3589">
        <v>3501</v>
      </c>
      <c r="AO2" s="3589" t="s">
        <v>3244</v>
      </c>
      <c r="AP2" s="3589" t="s">
        <v>3244</v>
      </c>
      <c r="AQ2" s="3589">
        <v>0</v>
      </c>
      <c r="AR2" s="3589" t="s">
        <v>3257</v>
      </c>
      <c r="AS2" s="3589" t="s">
        <v>3251</v>
      </c>
      <c r="AT2" s="3589" t="s">
        <v>3244</v>
      </c>
      <c r="AU2" s="3589" t="s">
        <v>3251</v>
      </c>
      <c r="AV2" s="3589" t="s">
        <v>3244</v>
      </c>
      <c r="AW2" s="3589" t="s">
        <v>3244</v>
      </c>
      <c r="AX2" s="3589" t="s">
        <v>3244</v>
      </c>
    </row>
    <row r="3" spans="1:50">
      <c r="A3" s="3589" t="s">
        <v>3258</v>
      </c>
      <c r="B3" s="3589" t="s">
        <v>3240</v>
      </c>
      <c r="C3" s="3589" t="s">
        <v>3259</v>
      </c>
      <c r="D3" s="3589" t="s">
        <v>3242</v>
      </c>
      <c r="E3" s="3589" t="s">
        <v>3243</v>
      </c>
      <c r="F3" s="3589" t="s">
        <v>3260</v>
      </c>
      <c r="G3" s="3589" t="s">
        <v>3261</v>
      </c>
      <c r="H3" s="3589" t="s">
        <v>3246</v>
      </c>
      <c r="I3" s="3589">
        <v>18008.84</v>
      </c>
      <c r="J3" s="3589">
        <v>54026.52</v>
      </c>
      <c r="K3" s="3589" t="s">
        <v>3262</v>
      </c>
      <c r="L3" s="3589" t="s">
        <v>3248</v>
      </c>
      <c r="M3" s="3589" t="s">
        <v>3249</v>
      </c>
      <c r="N3" s="3589" t="s">
        <v>3250</v>
      </c>
      <c r="O3" s="3589" t="s">
        <v>3251</v>
      </c>
      <c r="P3" s="3589" t="s">
        <v>3263</v>
      </c>
      <c r="Q3" s="3589" t="s">
        <v>3264</v>
      </c>
      <c r="R3" s="3589" t="s">
        <v>3244</v>
      </c>
      <c r="S3" s="3589" t="s">
        <v>3244</v>
      </c>
      <c r="T3" s="3589" t="s">
        <v>3244</v>
      </c>
      <c r="U3" s="3589" t="s">
        <v>3244</v>
      </c>
      <c r="V3" s="3589" t="s">
        <v>3244</v>
      </c>
      <c r="W3" s="3589">
        <v>0</v>
      </c>
      <c r="X3" s="3589">
        <v>0</v>
      </c>
      <c r="Y3" s="3590">
        <v>44742.000497685185</v>
      </c>
      <c r="Z3" s="3590">
        <v>44764.000497685185</v>
      </c>
      <c r="AA3" s="3590">
        <v>44775.000497685185</v>
      </c>
      <c r="AB3" s="3590">
        <v>44775.000497685185</v>
      </c>
      <c r="AC3" s="3589" t="s">
        <v>3265</v>
      </c>
      <c r="AD3" s="3589" t="s">
        <v>3254</v>
      </c>
      <c r="AE3" s="3589" t="s">
        <v>3266</v>
      </c>
      <c r="AF3" s="3589" t="s">
        <v>3244</v>
      </c>
      <c r="AG3" s="3589">
        <v>6500</v>
      </c>
      <c r="AH3" s="3589">
        <v>1300</v>
      </c>
      <c r="AI3" s="3589" t="s">
        <v>3267</v>
      </c>
      <c r="AJ3" s="3589">
        <v>6500</v>
      </c>
      <c r="AK3" s="3589">
        <v>240.62</v>
      </c>
      <c r="AL3" s="3589">
        <v>240.62</v>
      </c>
      <c r="AM3" s="3589">
        <v>1203</v>
      </c>
      <c r="AN3" s="3589">
        <v>1203</v>
      </c>
      <c r="AO3" s="3589" t="s">
        <v>3244</v>
      </c>
      <c r="AP3" s="3589" t="s">
        <v>3244</v>
      </c>
      <c r="AQ3" s="3589">
        <v>0</v>
      </c>
      <c r="AR3" s="3589" t="s">
        <v>3257</v>
      </c>
      <c r="AS3" s="3589" t="s">
        <v>3251</v>
      </c>
      <c r="AT3" s="3589" t="s">
        <v>3244</v>
      </c>
      <c r="AU3" s="3589" t="s">
        <v>3251</v>
      </c>
      <c r="AV3" s="3589" t="s">
        <v>3244</v>
      </c>
      <c r="AW3" s="3589" t="s">
        <v>3244</v>
      </c>
      <c r="AX3" s="3589" t="s">
        <v>3244</v>
      </c>
    </row>
    <row r="4" spans="1:50" s="3224" customFormat="1">
      <c r="A4" s="3601" t="s">
        <v>3268</v>
      </c>
      <c r="B4" s="3601" t="s">
        <v>3240</v>
      </c>
      <c r="C4" s="3601" t="s">
        <v>3269</v>
      </c>
      <c r="D4" s="3601" t="s">
        <v>3242</v>
      </c>
      <c r="E4" s="3601" t="s">
        <v>3243</v>
      </c>
      <c r="F4" s="3601" t="s">
        <v>3270</v>
      </c>
      <c r="G4" s="3601" t="s">
        <v>3271</v>
      </c>
      <c r="H4" s="3601" t="s">
        <v>3246</v>
      </c>
      <c r="I4" s="3601">
        <v>14164.84</v>
      </c>
      <c r="J4" s="3601">
        <v>25496.71</v>
      </c>
      <c r="K4" s="3601" t="s">
        <v>3272</v>
      </c>
      <c r="L4" s="3601" t="s">
        <v>3248</v>
      </c>
      <c r="M4" s="3601" t="s">
        <v>3249</v>
      </c>
      <c r="N4" s="3601" t="s">
        <v>3250</v>
      </c>
      <c r="O4" s="3601" t="s">
        <v>3251</v>
      </c>
      <c r="P4" s="3601" t="s">
        <v>3273</v>
      </c>
      <c r="Q4" s="3601" t="s">
        <v>3252</v>
      </c>
      <c r="R4" s="3601" t="s">
        <v>3244</v>
      </c>
      <c r="S4" s="3601" t="s">
        <v>3244</v>
      </c>
      <c r="T4" s="3601" t="s">
        <v>3244</v>
      </c>
      <c r="U4" s="3601" t="s">
        <v>3244</v>
      </c>
      <c r="V4" s="3601" t="s">
        <v>3244</v>
      </c>
      <c r="W4" s="3601">
        <v>0</v>
      </c>
      <c r="X4" s="3601">
        <v>0</v>
      </c>
      <c r="Y4" s="3602">
        <v>44672.000497685185</v>
      </c>
      <c r="Z4" s="3602">
        <v>44694.000497685185</v>
      </c>
      <c r="AA4" s="3602">
        <v>44705.000497685185</v>
      </c>
      <c r="AB4" s="3602">
        <v>44705.000497685185</v>
      </c>
      <c r="AC4" s="3601" t="s">
        <v>3274</v>
      </c>
      <c r="AD4" s="3601" t="s">
        <v>3254</v>
      </c>
      <c r="AE4" s="3601" t="s">
        <v>3275</v>
      </c>
      <c r="AF4" s="3601" t="s">
        <v>3244</v>
      </c>
      <c r="AG4" s="3601">
        <v>4110</v>
      </c>
      <c r="AH4" s="3601">
        <v>822</v>
      </c>
      <c r="AI4" s="3601" t="s">
        <v>3276</v>
      </c>
      <c r="AJ4" s="3601">
        <v>4110</v>
      </c>
      <c r="AK4" s="3601">
        <v>193.44</v>
      </c>
      <c r="AL4" s="3601">
        <v>193.44</v>
      </c>
      <c r="AM4" s="3601">
        <v>1612</v>
      </c>
      <c r="AN4" s="3601">
        <v>1612</v>
      </c>
      <c r="AO4" s="3601" t="s">
        <v>3244</v>
      </c>
      <c r="AP4" s="3601" t="s">
        <v>3244</v>
      </c>
      <c r="AQ4" s="3601">
        <v>0</v>
      </c>
      <c r="AR4" s="3601" t="s">
        <v>3257</v>
      </c>
      <c r="AS4" s="3601" t="s">
        <v>3251</v>
      </c>
      <c r="AT4" s="3601" t="s">
        <v>3244</v>
      </c>
      <c r="AU4" s="3601" t="s">
        <v>3251</v>
      </c>
      <c r="AV4" s="3601" t="s">
        <v>3244</v>
      </c>
      <c r="AW4" s="3601" t="s">
        <v>3244</v>
      </c>
      <c r="AX4" s="3601" t="s">
        <v>3244</v>
      </c>
    </row>
    <row r="5" spans="1:50" s="3228" customFormat="1">
      <c r="A5" s="3599" t="s">
        <v>3277</v>
      </c>
      <c r="B5" s="3599" t="s">
        <v>3240</v>
      </c>
      <c r="C5" s="3599" t="s">
        <v>3278</v>
      </c>
      <c r="D5" s="3599" t="s">
        <v>3242</v>
      </c>
      <c r="E5" s="3599" t="s">
        <v>3243</v>
      </c>
      <c r="F5" s="3599" t="s">
        <v>3260</v>
      </c>
      <c r="G5" s="3599" t="s">
        <v>3279</v>
      </c>
      <c r="H5" s="3599" t="s">
        <v>3246</v>
      </c>
      <c r="I5" s="3599">
        <v>26226.52</v>
      </c>
      <c r="J5" s="3599">
        <v>78679.56</v>
      </c>
      <c r="K5" s="3599" t="s">
        <v>3262</v>
      </c>
      <c r="L5" s="3599" t="s">
        <v>3248</v>
      </c>
      <c r="M5" s="3599" t="s">
        <v>3249</v>
      </c>
      <c r="N5" s="3599" t="s">
        <v>3250</v>
      </c>
      <c r="O5" s="3599" t="s">
        <v>3251</v>
      </c>
      <c r="P5" s="3599" t="s">
        <v>3263</v>
      </c>
      <c r="Q5" s="3599" t="s">
        <v>3280</v>
      </c>
      <c r="R5" s="3599" t="s">
        <v>3244</v>
      </c>
      <c r="S5" s="3599" t="s">
        <v>3244</v>
      </c>
      <c r="T5" s="3599" t="s">
        <v>3244</v>
      </c>
      <c r="U5" s="3599" t="s">
        <v>3244</v>
      </c>
      <c r="V5" s="3599" t="s">
        <v>3244</v>
      </c>
      <c r="W5" s="3599">
        <v>0</v>
      </c>
      <c r="X5" s="3599">
        <v>0</v>
      </c>
      <c r="Y5" s="3600">
        <v>44672.000497685185</v>
      </c>
      <c r="Z5" s="3600">
        <v>44694.000497685185</v>
      </c>
      <c r="AA5" s="3600">
        <v>44705.000497685185</v>
      </c>
      <c r="AB5" s="3600">
        <v>44705.000497685185</v>
      </c>
      <c r="AC5" s="3599" t="s">
        <v>3274</v>
      </c>
      <c r="AD5" s="3599" t="s">
        <v>3254</v>
      </c>
      <c r="AE5" s="3599" t="s">
        <v>3281</v>
      </c>
      <c r="AF5" s="3599" t="s">
        <v>3244</v>
      </c>
      <c r="AG5" s="3599">
        <v>9440</v>
      </c>
      <c r="AH5" s="3599">
        <v>1888</v>
      </c>
      <c r="AI5" s="3599" t="s">
        <v>3276</v>
      </c>
      <c r="AJ5" s="3599">
        <v>9440</v>
      </c>
      <c r="AK5" s="3599">
        <v>239.96</v>
      </c>
      <c r="AL5" s="3599">
        <v>239.96</v>
      </c>
      <c r="AM5" s="3599">
        <v>1200</v>
      </c>
      <c r="AN5" s="3599">
        <v>1200</v>
      </c>
      <c r="AO5" s="3599" t="s">
        <v>3244</v>
      </c>
      <c r="AP5" s="3599" t="s">
        <v>3244</v>
      </c>
      <c r="AQ5" s="3599">
        <v>0</v>
      </c>
      <c r="AR5" s="3599" t="s">
        <v>3257</v>
      </c>
      <c r="AS5" s="3599" t="s">
        <v>3251</v>
      </c>
      <c r="AT5" s="3599" t="s">
        <v>3244</v>
      </c>
      <c r="AU5" s="3599" t="s">
        <v>3251</v>
      </c>
      <c r="AV5" s="3599" t="s">
        <v>3244</v>
      </c>
      <c r="AW5" s="3599" t="s">
        <v>3244</v>
      </c>
      <c r="AX5" s="3599" t="s">
        <v>3244</v>
      </c>
    </row>
    <row r="6" spans="1:50">
      <c r="A6" s="3589" t="s">
        <v>3282</v>
      </c>
      <c r="B6" s="3589" t="s">
        <v>3240</v>
      </c>
      <c r="C6" s="3589" t="s">
        <v>3283</v>
      </c>
      <c r="D6" s="3589" t="s">
        <v>3242</v>
      </c>
      <c r="E6" s="3589" t="s">
        <v>3243</v>
      </c>
      <c r="F6" s="3589" t="s">
        <v>3260</v>
      </c>
      <c r="G6" s="3589" t="s">
        <v>3284</v>
      </c>
      <c r="H6" s="3589" t="s">
        <v>3246</v>
      </c>
      <c r="I6" s="3589">
        <v>20308.900000000001</v>
      </c>
      <c r="J6" s="3589">
        <v>60926.7</v>
      </c>
      <c r="K6" s="3589" t="s">
        <v>3262</v>
      </c>
      <c r="L6" s="3589" t="s">
        <v>3248</v>
      </c>
      <c r="M6" s="3589" t="s">
        <v>3249</v>
      </c>
      <c r="N6" s="3589" t="s">
        <v>3250</v>
      </c>
      <c r="O6" s="3589" t="s">
        <v>3251</v>
      </c>
      <c r="P6" s="3589" t="s">
        <v>3263</v>
      </c>
      <c r="Q6" s="3589" t="s">
        <v>3280</v>
      </c>
      <c r="R6" s="3589" t="s">
        <v>3244</v>
      </c>
      <c r="S6" s="3589" t="s">
        <v>3244</v>
      </c>
      <c r="T6" s="3589" t="s">
        <v>3244</v>
      </c>
      <c r="U6" s="3589" t="s">
        <v>3244</v>
      </c>
      <c r="V6" s="3589" t="s">
        <v>3244</v>
      </c>
      <c r="W6" s="3589">
        <v>0</v>
      </c>
      <c r="X6" s="3589">
        <v>0</v>
      </c>
      <c r="Y6" s="3590">
        <v>44635.000497685185</v>
      </c>
      <c r="Z6" s="3590">
        <v>44657.000497685185</v>
      </c>
      <c r="AA6" s="3590">
        <v>44666.000497685185</v>
      </c>
      <c r="AB6" s="3590">
        <v>44666.000497685185</v>
      </c>
      <c r="AC6" s="3589" t="s">
        <v>3285</v>
      </c>
      <c r="AD6" s="3589" t="s">
        <v>3254</v>
      </c>
      <c r="AE6" s="3589" t="s">
        <v>3286</v>
      </c>
      <c r="AF6" s="3589" t="s">
        <v>3244</v>
      </c>
      <c r="AG6" s="3589">
        <v>3460</v>
      </c>
      <c r="AH6" s="3589">
        <v>692</v>
      </c>
      <c r="AI6" s="3589" t="s">
        <v>3287</v>
      </c>
      <c r="AJ6" s="3589">
        <v>3460</v>
      </c>
      <c r="AK6" s="3589">
        <v>113.58</v>
      </c>
      <c r="AL6" s="3589">
        <v>113.58</v>
      </c>
      <c r="AM6" s="3589">
        <v>568</v>
      </c>
      <c r="AN6" s="3589">
        <v>568</v>
      </c>
      <c r="AO6" s="3589" t="s">
        <v>3244</v>
      </c>
      <c r="AP6" s="3589" t="s">
        <v>3244</v>
      </c>
      <c r="AQ6" s="3589">
        <v>0</v>
      </c>
      <c r="AR6" s="3589" t="s">
        <v>3257</v>
      </c>
      <c r="AS6" s="3589" t="s">
        <v>3251</v>
      </c>
      <c r="AT6" s="3589" t="s">
        <v>3244</v>
      </c>
      <c r="AU6" s="3589" t="s">
        <v>3251</v>
      </c>
      <c r="AV6" s="3589" t="s">
        <v>3244</v>
      </c>
      <c r="AW6" s="3589" t="s">
        <v>3244</v>
      </c>
      <c r="AX6" s="3589" t="s">
        <v>3244</v>
      </c>
    </row>
    <row r="7" spans="1:50" s="3229" customFormat="1">
      <c r="A7" s="3597" t="s">
        <v>3288</v>
      </c>
      <c r="B7" s="3597" t="s">
        <v>3240</v>
      </c>
      <c r="C7" s="3597" t="s">
        <v>3289</v>
      </c>
      <c r="D7" s="3597" t="s">
        <v>3242</v>
      </c>
      <c r="E7" s="3597" t="s">
        <v>3243</v>
      </c>
      <c r="F7" s="3597" t="s">
        <v>3260</v>
      </c>
      <c r="G7" s="3597" t="s">
        <v>3290</v>
      </c>
      <c r="H7" s="3597" t="s">
        <v>3246</v>
      </c>
      <c r="I7" s="3597">
        <v>9817.9</v>
      </c>
      <c r="J7" s="3597">
        <v>17672.22</v>
      </c>
      <c r="K7" s="3597" t="s">
        <v>3272</v>
      </c>
      <c r="L7" s="3597" t="s">
        <v>3248</v>
      </c>
      <c r="M7" s="3597" t="s">
        <v>3291</v>
      </c>
      <c r="N7" s="3597" t="s">
        <v>3250</v>
      </c>
      <c r="O7" s="3597" t="s">
        <v>3251</v>
      </c>
      <c r="P7" s="3597" t="s">
        <v>3263</v>
      </c>
      <c r="Q7" s="3597" t="s">
        <v>3292</v>
      </c>
      <c r="R7" s="3597" t="s">
        <v>3244</v>
      </c>
      <c r="S7" s="3597" t="s">
        <v>3244</v>
      </c>
      <c r="T7" s="3597" t="s">
        <v>3244</v>
      </c>
      <c r="U7" s="3597">
        <v>0</v>
      </c>
      <c r="V7" s="3597">
        <v>0</v>
      </c>
      <c r="W7" s="3597">
        <v>0</v>
      </c>
      <c r="X7" s="3597">
        <v>0</v>
      </c>
      <c r="Y7" s="3598">
        <v>44077.000497685185</v>
      </c>
      <c r="Z7" s="3598">
        <v>44096.000497685185</v>
      </c>
      <c r="AA7" s="3598">
        <v>44114.000497685185</v>
      </c>
      <c r="AB7" s="3598">
        <v>44114.000497685185</v>
      </c>
      <c r="AC7" s="3597" t="s">
        <v>3293</v>
      </c>
      <c r="AD7" s="3597" t="s">
        <v>3254</v>
      </c>
      <c r="AE7" s="3597" t="s">
        <v>3294</v>
      </c>
      <c r="AF7" s="3597" t="s">
        <v>3244</v>
      </c>
      <c r="AG7" s="3597">
        <v>1515</v>
      </c>
      <c r="AH7" s="3597">
        <v>300</v>
      </c>
      <c r="AI7" s="3597" t="s">
        <v>3295</v>
      </c>
      <c r="AJ7" s="3597">
        <v>2215</v>
      </c>
      <c r="AK7" s="3597">
        <v>102.87</v>
      </c>
      <c r="AL7" s="3597">
        <v>150.41</v>
      </c>
      <c r="AM7" s="3597">
        <v>857</v>
      </c>
      <c r="AN7" s="3597">
        <v>1253</v>
      </c>
      <c r="AO7" s="3597" t="s">
        <v>3244</v>
      </c>
      <c r="AP7" s="3597" t="s">
        <v>3244</v>
      </c>
      <c r="AQ7" s="3597">
        <v>46.2</v>
      </c>
      <c r="AR7" s="3597">
        <v>50</v>
      </c>
      <c r="AS7" s="3597" t="s">
        <v>3251</v>
      </c>
      <c r="AT7" s="3597" t="s">
        <v>3244</v>
      </c>
      <c r="AU7" s="3597" t="s">
        <v>3251</v>
      </c>
      <c r="AV7" s="3597" t="s">
        <v>3244</v>
      </c>
      <c r="AW7" s="3597" t="s">
        <v>3244</v>
      </c>
      <c r="AX7" s="3597" t="s">
        <v>3244</v>
      </c>
    </row>
    <row r="8" spans="1:50">
      <c r="A8" s="3589" t="s">
        <v>3296</v>
      </c>
      <c r="B8" s="3589" t="s">
        <v>3240</v>
      </c>
      <c r="C8" s="3589" t="s">
        <v>3297</v>
      </c>
      <c r="D8" s="3589" t="s">
        <v>3242</v>
      </c>
      <c r="E8" s="3589" t="s">
        <v>3243</v>
      </c>
      <c r="F8" s="3589" t="s">
        <v>3298</v>
      </c>
      <c r="G8" s="3589" t="s">
        <v>3299</v>
      </c>
      <c r="H8" s="3589" t="s">
        <v>3246</v>
      </c>
      <c r="I8" s="3589">
        <v>15769.95</v>
      </c>
      <c r="J8" s="3589">
        <v>17346.95</v>
      </c>
      <c r="K8" s="3589" t="s">
        <v>3300</v>
      </c>
      <c r="L8" s="3589" t="s">
        <v>3248</v>
      </c>
      <c r="M8" s="3589" t="s">
        <v>3301</v>
      </c>
      <c r="N8" s="3589" t="s">
        <v>3250</v>
      </c>
      <c r="O8" s="3589" t="s">
        <v>3251</v>
      </c>
      <c r="P8" s="3589" t="s">
        <v>3302</v>
      </c>
      <c r="Q8" s="3589" t="s">
        <v>3303</v>
      </c>
      <c r="R8" s="3589" t="s">
        <v>3244</v>
      </c>
      <c r="S8" s="3589" t="s">
        <v>3244</v>
      </c>
      <c r="T8" s="3589" t="s">
        <v>3244</v>
      </c>
      <c r="U8" s="3589">
        <v>0</v>
      </c>
      <c r="V8" s="3589">
        <v>0</v>
      </c>
      <c r="W8" s="3589">
        <v>0</v>
      </c>
      <c r="X8" s="3589">
        <v>0</v>
      </c>
      <c r="Y8" s="3590">
        <v>43982.000497685185</v>
      </c>
      <c r="Z8" s="3590">
        <v>44005.000497685185</v>
      </c>
      <c r="AA8" s="3590">
        <v>44015.000497685185</v>
      </c>
      <c r="AB8" s="3590">
        <v>44015.000497685185</v>
      </c>
      <c r="AC8" s="3589" t="s">
        <v>3304</v>
      </c>
      <c r="AD8" s="3589" t="s">
        <v>3254</v>
      </c>
      <c r="AE8" s="3589" t="s">
        <v>3305</v>
      </c>
      <c r="AF8" s="3589" t="s">
        <v>3244</v>
      </c>
      <c r="AG8" s="3589">
        <v>4500</v>
      </c>
      <c r="AH8" s="3589">
        <v>900</v>
      </c>
      <c r="AI8" s="3589" t="s">
        <v>3306</v>
      </c>
      <c r="AJ8" s="3589">
        <v>4500</v>
      </c>
      <c r="AK8" s="3589">
        <v>190.24</v>
      </c>
      <c r="AL8" s="3589">
        <v>190.24</v>
      </c>
      <c r="AM8" s="3589">
        <v>2594</v>
      </c>
      <c r="AN8" s="3589">
        <v>2594</v>
      </c>
      <c r="AO8" s="3589" t="s">
        <v>3244</v>
      </c>
      <c r="AP8" s="3589" t="s">
        <v>3244</v>
      </c>
      <c r="AQ8" s="3589">
        <v>0</v>
      </c>
      <c r="AR8" s="3589">
        <v>50</v>
      </c>
      <c r="AS8" s="3589" t="s">
        <v>3251</v>
      </c>
      <c r="AT8" s="3589" t="s">
        <v>3244</v>
      </c>
      <c r="AU8" s="3589" t="s">
        <v>3251</v>
      </c>
      <c r="AV8" s="3589" t="s">
        <v>3244</v>
      </c>
      <c r="AW8" s="3589" t="s">
        <v>3244</v>
      </c>
      <c r="AX8" s="3589" t="s">
        <v>3244</v>
      </c>
    </row>
    <row r="9" spans="1:50">
      <c r="A9" s="3589" t="s">
        <v>3307</v>
      </c>
      <c r="B9" s="3589" t="s">
        <v>3240</v>
      </c>
      <c r="C9" s="3589" t="s">
        <v>3308</v>
      </c>
      <c r="D9" s="3589" t="s">
        <v>3242</v>
      </c>
      <c r="E9" s="3589" t="s">
        <v>3243</v>
      </c>
      <c r="F9" s="3589" t="s">
        <v>3298</v>
      </c>
      <c r="G9" s="3589" t="s">
        <v>3309</v>
      </c>
      <c r="H9" s="3589" t="s">
        <v>3246</v>
      </c>
      <c r="I9" s="3589">
        <v>50676.160000000003</v>
      </c>
      <c r="J9" s="3589">
        <v>53209.97</v>
      </c>
      <c r="K9" s="3589" t="s">
        <v>3310</v>
      </c>
      <c r="L9" s="3589" t="s">
        <v>3248</v>
      </c>
      <c r="M9" s="3589" t="s">
        <v>3301</v>
      </c>
      <c r="N9" s="3589" t="s">
        <v>3250</v>
      </c>
      <c r="O9" s="3589" t="s">
        <v>3251</v>
      </c>
      <c r="P9" s="3589" t="s">
        <v>3311</v>
      </c>
      <c r="Q9" s="3589" t="s">
        <v>3312</v>
      </c>
      <c r="R9" s="3589" t="s">
        <v>3244</v>
      </c>
      <c r="S9" s="3589" t="s">
        <v>3244</v>
      </c>
      <c r="T9" s="3589" t="s">
        <v>3244</v>
      </c>
      <c r="U9" s="3589">
        <v>0</v>
      </c>
      <c r="V9" s="3589">
        <v>0</v>
      </c>
      <c r="W9" s="3589">
        <v>0</v>
      </c>
      <c r="X9" s="3589">
        <v>0</v>
      </c>
      <c r="Y9" s="3590">
        <v>43916.000497685185</v>
      </c>
      <c r="Z9" s="3590">
        <v>43941.000497685185</v>
      </c>
      <c r="AA9" s="3590">
        <v>43950.000497685185</v>
      </c>
      <c r="AB9" s="3590">
        <v>43950.000497685185</v>
      </c>
      <c r="AC9" s="3589" t="s">
        <v>3313</v>
      </c>
      <c r="AD9" s="3589" t="s">
        <v>3254</v>
      </c>
      <c r="AE9" s="3589" t="s">
        <v>3314</v>
      </c>
      <c r="AF9" s="3589" t="s">
        <v>3315</v>
      </c>
      <c r="AG9" s="3589">
        <v>11600</v>
      </c>
      <c r="AH9" s="3589">
        <v>2320</v>
      </c>
      <c r="AI9" s="3589" t="s">
        <v>3316</v>
      </c>
      <c r="AJ9" s="3589">
        <v>11600</v>
      </c>
      <c r="AK9" s="3589">
        <v>152.6</v>
      </c>
      <c r="AL9" s="3589">
        <v>152.6</v>
      </c>
      <c r="AM9" s="3589">
        <v>2180</v>
      </c>
      <c r="AN9" s="3589">
        <v>2180</v>
      </c>
      <c r="AO9" s="3589" t="s">
        <v>3244</v>
      </c>
      <c r="AP9" s="3589" t="s">
        <v>3244</v>
      </c>
      <c r="AQ9" s="3589">
        <v>0</v>
      </c>
      <c r="AR9" s="3589">
        <v>50</v>
      </c>
      <c r="AS9" s="3589" t="s">
        <v>3251</v>
      </c>
      <c r="AT9" s="3589" t="s">
        <v>3244</v>
      </c>
      <c r="AU9" s="3589" t="s">
        <v>3251</v>
      </c>
      <c r="AV9" s="3589" t="s">
        <v>3244</v>
      </c>
      <c r="AW9" s="3589" t="s">
        <v>3244</v>
      </c>
      <c r="AX9" s="3589" t="s">
        <v>3244</v>
      </c>
    </row>
    <row r="10" spans="1:50">
      <c r="A10" s="3589" t="s">
        <v>3317</v>
      </c>
      <c r="B10" s="3589" t="s">
        <v>3240</v>
      </c>
      <c r="C10" s="3589" t="s">
        <v>3318</v>
      </c>
      <c r="D10" s="3589" t="s">
        <v>3242</v>
      </c>
      <c r="E10" s="3589" t="s">
        <v>3243</v>
      </c>
      <c r="F10" s="3589" t="s">
        <v>3298</v>
      </c>
      <c r="G10" s="3589" t="s">
        <v>3319</v>
      </c>
      <c r="H10" s="3589" t="s">
        <v>3246</v>
      </c>
      <c r="I10" s="3589">
        <v>13160.33</v>
      </c>
      <c r="J10" s="3589">
        <v>16450.41</v>
      </c>
      <c r="K10" s="3589" t="s">
        <v>3320</v>
      </c>
      <c r="L10" s="3589" t="s">
        <v>3248</v>
      </c>
      <c r="M10" s="3589" t="s">
        <v>3301</v>
      </c>
      <c r="N10" s="3589" t="s">
        <v>3250</v>
      </c>
      <c r="O10" s="3589" t="s">
        <v>3251</v>
      </c>
      <c r="P10" s="3589" t="s">
        <v>3321</v>
      </c>
      <c r="Q10" s="3589" t="s">
        <v>3312</v>
      </c>
      <c r="R10" s="3589" t="s">
        <v>3244</v>
      </c>
      <c r="S10" s="3589" t="s">
        <v>3244</v>
      </c>
      <c r="T10" s="3589" t="s">
        <v>3244</v>
      </c>
      <c r="U10" s="3589">
        <v>0</v>
      </c>
      <c r="V10" s="3589">
        <v>0</v>
      </c>
      <c r="W10" s="3589">
        <v>0</v>
      </c>
      <c r="X10" s="3589">
        <v>0</v>
      </c>
      <c r="Y10" s="3590">
        <v>43798.000497685185</v>
      </c>
      <c r="Z10" s="3590">
        <v>43819.000497685185</v>
      </c>
      <c r="AA10" s="3590">
        <v>43830.000497685185</v>
      </c>
      <c r="AB10" s="3590">
        <v>43830.000497685185</v>
      </c>
      <c r="AC10" s="3589" t="s">
        <v>3322</v>
      </c>
      <c r="AD10" s="3589" t="s">
        <v>3254</v>
      </c>
      <c r="AE10" s="3589" t="s">
        <v>3323</v>
      </c>
      <c r="AF10" s="3589" t="s">
        <v>3244</v>
      </c>
      <c r="AG10" s="3589">
        <v>3000</v>
      </c>
      <c r="AH10" s="3589">
        <v>600</v>
      </c>
      <c r="AI10" s="3589" t="s">
        <v>3324</v>
      </c>
      <c r="AJ10" s="3589">
        <v>3000</v>
      </c>
      <c r="AK10" s="3589">
        <v>151.97</v>
      </c>
      <c r="AL10" s="3589">
        <v>151.97</v>
      </c>
      <c r="AM10" s="3589">
        <v>1824</v>
      </c>
      <c r="AN10" s="3589">
        <v>1824</v>
      </c>
      <c r="AO10" s="3589" t="s">
        <v>3244</v>
      </c>
      <c r="AP10" s="3589" t="s">
        <v>3244</v>
      </c>
      <c r="AQ10" s="3589">
        <v>0</v>
      </c>
      <c r="AR10" s="3589">
        <v>50</v>
      </c>
      <c r="AS10" s="3589" t="s">
        <v>3251</v>
      </c>
      <c r="AT10" s="3589" t="s">
        <v>3244</v>
      </c>
      <c r="AU10" s="3589" t="s">
        <v>3251</v>
      </c>
      <c r="AV10" s="3589" t="s">
        <v>3244</v>
      </c>
      <c r="AW10" s="3589" t="s">
        <v>3244</v>
      </c>
      <c r="AX10" s="3589" t="s">
        <v>3244</v>
      </c>
    </row>
    <row r="11" spans="1:50" s="3231" customFormat="1">
      <c r="A11" s="3595" t="s">
        <v>3325</v>
      </c>
      <c r="B11" s="3595" t="s">
        <v>3240</v>
      </c>
      <c r="C11" s="3595" t="s">
        <v>3326</v>
      </c>
      <c r="D11" s="3595" t="s">
        <v>3242</v>
      </c>
      <c r="E11" s="3595" t="s">
        <v>3243</v>
      </c>
      <c r="F11" s="3595" t="s">
        <v>3327</v>
      </c>
      <c r="G11" s="3595" t="s">
        <v>3328</v>
      </c>
      <c r="H11" s="3595" t="s">
        <v>3246</v>
      </c>
      <c r="I11" s="3595">
        <v>23161.34</v>
      </c>
      <c r="J11" s="3595">
        <v>46322.68</v>
      </c>
      <c r="K11" s="3595" t="s">
        <v>3329</v>
      </c>
      <c r="L11" s="3595" t="s">
        <v>3248</v>
      </c>
      <c r="M11" s="3595" t="s">
        <v>3330</v>
      </c>
      <c r="N11" s="3595" t="s">
        <v>3250</v>
      </c>
      <c r="O11" s="3595" t="s">
        <v>3251</v>
      </c>
      <c r="P11" s="3595" t="s">
        <v>3321</v>
      </c>
      <c r="Q11" s="3595" t="s">
        <v>3252</v>
      </c>
      <c r="R11" s="3595" t="s">
        <v>3244</v>
      </c>
      <c r="S11" s="3595" t="s">
        <v>3244</v>
      </c>
      <c r="T11" s="3595" t="s">
        <v>3244</v>
      </c>
      <c r="U11" s="3595">
        <v>0</v>
      </c>
      <c r="V11" s="3595">
        <v>0</v>
      </c>
      <c r="W11" s="3595">
        <v>0</v>
      </c>
      <c r="X11" s="3595">
        <v>0</v>
      </c>
      <c r="Y11" s="3596">
        <v>43655.000497685185</v>
      </c>
      <c r="Z11" s="3596">
        <v>43675.000497685185</v>
      </c>
      <c r="AA11" s="3596">
        <v>43684.000497685185</v>
      </c>
      <c r="AB11" s="3596">
        <v>43684.000497685185</v>
      </c>
      <c r="AC11" s="3595" t="s">
        <v>3331</v>
      </c>
      <c r="AD11" s="3595" t="s">
        <v>3254</v>
      </c>
      <c r="AE11" s="3595" t="s">
        <v>3332</v>
      </c>
      <c r="AF11" s="3595" t="s">
        <v>3244</v>
      </c>
      <c r="AG11" s="3595">
        <v>5250</v>
      </c>
      <c r="AH11" s="3595">
        <v>1050</v>
      </c>
      <c r="AI11" s="3595" t="s">
        <v>3333</v>
      </c>
      <c r="AJ11" s="3595">
        <v>5250</v>
      </c>
      <c r="AK11" s="3595">
        <v>151.11000000000001</v>
      </c>
      <c r="AL11" s="3595">
        <v>151.11000000000001</v>
      </c>
      <c r="AM11" s="3595">
        <v>1133</v>
      </c>
      <c r="AN11" s="3595">
        <v>1133</v>
      </c>
      <c r="AO11" s="3595" t="s">
        <v>3244</v>
      </c>
      <c r="AP11" s="3595" t="s">
        <v>3244</v>
      </c>
      <c r="AQ11" s="3595">
        <v>0</v>
      </c>
      <c r="AR11" s="3595">
        <v>50</v>
      </c>
      <c r="AS11" s="3595" t="s">
        <v>3251</v>
      </c>
      <c r="AT11" s="3595" t="s">
        <v>3244</v>
      </c>
      <c r="AU11" s="3595" t="s">
        <v>3251</v>
      </c>
      <c r="AV11" s="3595" t="s">
        <v>3244</v>
      </c>
      <c r="AW11" s="3595" t="s">
        <v>3244</v>
      </c>
      <c r="AX11" s="3595" t="s">
        <v>3244</v>
      </c>
    </row>
    <row r="12" spans="1:50" s="3230" customFormat="1">
      <c r="A12" s="3593" t="s">
        <v>3334</v>
      </c>
      <c r="B12" s="3593" t="s">
        <v>3240</v>
      </c>
      <c r="C12" s="3593" t="s">
        <v>3335</v>
      </c>
      <c r="D12" s="3593" t="s">
        <v>3242</v>
      </c>
      <c r="E12" s="3593" t="s">
        <v>3243</v>
      </c>
      <c r="F12" s="3593" t="s">
        <v>3260</v>
      </c>
      <c r="G12" s="3593" t="s">
        <v>3336</v>
      </c>
      <c r="H12" s="3593" t="s">
        <v>3246</v>
      </c>
      <c r="I12" s="3593">
        <v>33578.639999999999</v>
      </c>
      <c r="J12" s="3593">
        <v>43652.23</v>
      </c>
      <c r="K12" s="3593" t="s">
        <v>3337</v>
      </c>
      <c r="L12" s="3593" t="s">
        <v>3248</v>
      </c>
      <c r="M12" s="3593" t="s">
        <v>3291</v>
      </c>
      <c r="N12" s="3593" t="s">
        <v>3250</v>
      </c>
      <c r="O12" s="3593" t="s">
        <v>3251</v>
      </c>
      <c r="P12" s="3593" t="s">
        <v>3273</v>
      </c>
      <c r="Q12" s="3593">
        <v>0</v>
      </c>
      <c r="R12" s="3593" t="s">
        <v>3244</v>
      </c>
      <c r="S12" s="3593" t="s">
        <v>3244</v>
      </c>
      <c r="T12" s="3593" t="s">
        <v>3244</v>
      </c>
      <c r="U12" s="3593">
        <v>0</v>
      </c>
      <c r="V12" s="3593">
        <v>0</v>
      </c>
      <c r="W12" s="3593">
        <v>0</v>
      </c>
      <c r="X12" s="3593">
        <v>0</v>
      </c>
      <c r="Y12" s="3594">
        <v>43448.000497685185</v>
      </c>
      <c r="Z12" s="3594">
        <v>43469.000497685185</v>
      </c>
      <c r="AA12" s="3594">
        <v>43481.000497685185</v>
      </c>
      <c r="AB12" s="3594">
        <v>43481.000497685185</v>
      </c>
      <c r="AC12" s="3593" t="s">
        <v>3338</v>
      </c>
      <c r="AD12" s="3593" t="s">
        <v>3254</v>
      </c>
      <c r="AE12" s="3593" t="s">
        <v>3339</v>
      </c>
      <c r="AF12" s="3593" t="s">
        <v>3244</v>
      </c>
      <c r="AG12" s="3593">
        <v>9100</v>
      </c>
      <c r="AH12" s="3593">
        <v>1820</v>
      </c>
      <c r="AI12" s="3593" t="s">
        <v>1058</v>
      </c>
      <c r="AJ12" s="3593">
        <v>9470</v>
      </c>
      <c r="AK12" s="3593">
        <v>180.67</v>
      </c>
      <c r="AL12" s="3593">
        <v>188.02</v>
      </c>
      <c r="AM12" s="3593">
        <v>2085</v>
      </c>
      <c r="AN12" s="3593">
        <v>2169</v>
      </c>
      <c r="AO12" s="3593" t="s">
        <v>3244</v>
      </c>
      <c r="AP12" s="3593" t="s">
        <v>3244</v>
      </c>
      <c r="AQ12" s="3593">
        <v>4.07</v>
      </c>
      <c r="AR12" s="3593">
        <v>50</v>
      </c>
      <c r="AS12" s="3593" t="s">
        <v>3251</v>
      </c>
      <c r="AT12" s="3593" t="s">
        <v>3244</v>
      </c>
      <c r="AU12" s="3593" t="s">
        <v>3251</v>
      </c>
      <c r="AV12" s="3593" t="s">
        <v>3244</v>
      </c>
      <c r="AW12" s="3593" t="s">
        <v>3244</v>
      </c>
      <c r="AX12" s="3593" t="s">
        <v>3244</v>
      </c>
    </row>
    <row r="13" spans="1:50">
      <c r="A13" s="3589" t="s">
        <v>3340</v>
      </c>
      <c r="B13" s="3589" t="s">
        <v>3240</v>
      </c>
      <c r="C13" s="3589" t="s">
        <v>3341</v>
      </c>
      <c r="D13" s="3589" t="s">
        <v>3242</v>
      </c>
      <c r="E13" s="3589" t="s">
        <v>3243</v>
      </c>
      <c r="F13" s="3589" t="s">
        <v>3342</v>
      </c>
      <c r="G13" s="3589" t="s">
        <v>3343</v>
      </c>
      <c r="H13" s="3589" t="s">
        <v>3246</v>
      </c>
      <c r="I13" s="3589">
        <v>3002.74</v>
      </c>
      <c r="J13" s="3589">
        <v>7506.85</v>
      </c>
      <c r="K13" s="3589" t="s">
        <v>3344</v>
      </c>
      <c r="L13" s="3589" t="s">
        <v>3248</v>
      </c>
      <c r="M13" s="3589" t="s">
        <v>3345</v>
      </c>
      <c r="N13" s="3589" t="s">
        <v>3250</v>
      </c>
      <c r="O13" s="3589" t="s">
        <v>3251</v>
      </c>
      <c r="P13" s="3589" t="s">
        <v>3346</v>
      </c>
      <c r="Q13" s="3589" t="s">
        <v>3347</v>
      </c>
      <c r="R13" s="3589" t="s">
        <v>3244</v>
      </c>
      <c r="S13" s="3589" t="s">
        <v>3244</v>
      </c>
      <c r="T13" s="3589" t="s">
        <v>3244</v>
      </c>
      <c r="U13" s="3589">
        <v>0</v>
      </c>
      <c r="V13" s="3589">
        <v>0</v>
      </c>
      <c r="W13" s="3589">
        <v>0</v>
      </c>
      <c r="X13" s="3589">
        <v>0</v>
      </c>
      <c r="Y13" s="3590">
        <v>42383.000497685185</v>
      </c>
      <c r="Z13" s="3590">
        <v>42402.000497685185</v>
      </c>
      <c r="AA13" s="3590">
        <v>42419.000497685185</v>
      </c>
      <c r="AB13" s="3590">
        <v>42419.000497685185</v>
      </c>
      <c r="AC13" s="3589" t="s">
        <v>3348</v>
      </c>
      <c r="AD13" s="3589" t="s">
        <v>3254</v>
      </c>
      <c r="AE13" s="3589" t="s">
        <v>3349</v>
      </c>
      <c r="AF13" s="3589" t="s">
        <v>3244</v>
      </c>
      <c r="AG13" s="3589">
        <v>185</v>
      </c>
      <c r="AH13" s="3589">
        <v>37</v>
      </c>
      <c r="AI13" s="3589" t="s">
        <v>1058</v>
      </c>
      <c r="AJ13" s="3589">
        <v>185</v>
      </c>
      <c r="AK13" s="3589">
        <v>41.07</v>
      </c>
      <c r="AL13" s="3589">
        <v>41.07</v>
      </c>
      <c r="AM13" s="3589">
        <v>246</v>
      </c>
      <c r="AN13" s="3589">
        <v>246</v>
      </c>
      <c r="AO13" s="3589" t="s">
        <v>3244</v>
      </c>
      <c r="AP13" s="3589" t="s">
        <v>3244</v>
      </c>
      <c r="AQ13" s="3589">
        <v>0</v>
      </c>
      <c r="AR13" s="3589">
        <v>50</v>
      </c>
      <c r="AS13" s="3589" t="s">
        <v>3251</v>
      </c>
      <c r="AT13" s="3589" t="s">
        <v>3244</v>
      </c>
      <c r="AU13" s="3589" t="s">
        <v>3251</v>
      </c>
      <c r="AV13" s="3589" t="s">
        <v>3244</v>
      </c>
      <c r="AW13" s="3589" t="s">
        <v>3244</v>
      </c>
      <c r="AX13" s="3589" t="s">
        <v>3244</v>
      </c>
    </row>
    <row r="14" spans="1:50">
      <c r="A14" s="3589" t="s">
        <v>3350</v>
      </c>
      <c r="B14" s="3589" t="s">
        <v>3240</v>
      </c>
      <c r="C14" s="3589" t="s">
        <v>3351</v>
      </c>
      <c r="D14" s="3589" t="s">
        <v>3242</v>
      </c>
      <c r="E14" s="3589" t="s">
        <v>3243</v>
      </c>
      <c r="F14" s="3589" t="s">
        <v>3342</v>
      </c>
      <c r="G14" s="3589" t="s">
        <v>3352</v>
      </c>
      <c r="H14" s="3589" t="s">
        <v>3246</v>
      </c>
      <c r="I14" s="3589">
        <v>33789.53</v>
      </c>
      <c r="J14" s="3589">
        <v>50684.3</v>
      </c>
      <c r="K14" s="3589" t="s">
        <v>3353</v>
      </c>
      <c r="L14" s="3589" t="s">
        <v>3248</v>
      </c>
      <c r="M14" s="3589" t="s">
        <v>3345</v>
      </c>
      <c r="N14" s="3589" t="s">
        <v>3250</v>
      </c>
      <c r="O14" s="3589" t="s">
        <v>3251</v>
      </c>
      <c r="P14" s="3589" t="s">
        <v>3311</v>
      </c>
      <c r="Q14" s="3589" t="s">
        <v>3252</v>
      </c>
      <c r="R14" s="3589" t="s">
        <v>3244</v>
      </c>
      <c r="S14" s="3589" t="s">
        <v>3244</v>
      </c>
      <c r="T14" s="3589" t="s">
        <v>3244</v>
      </c>
      <c r="U14" s="3589">
        <v>0</v>
      </c>
      <c r="V14" s="3589">
        <v>0</v>
      </c>
      <c r="W14" s="3589">
        <v>0</v>
      </c>
      <c r="X14" s="3589">
        <v>0</v>
      </c>
      <c r="Y14" s="3590">
        <v>42383.000497685185</v>
      </c>
      <c r="Z14" s="3590">
        <v>42402.000497685185</v>
      </c>
      <c r="AA14" s="3590">
        <v>42419.000497685185</v>
      </c>
      <c r="AB14" s="3590">
        <v>42419.000497685185</v>
      </c>
      <c r="AC14" s="3589" t="s">
        <v>3354</v>
      </c>
      <c r="AD14" s="3589" t="s">
        <v>3254</v>
      </c>
      <c r="AE14" s="3589" t="s">
        <v>3349</v>
      </c>
      <c r="AF14" s="3589" t="s">
        <v>3244</v>
      </c>
      <c r="AG14" s="3589">
        <v>2030</v>
      </c>
      <c r="AH14" s="3589">
        <v>406</v>
      </c>
      <c r="AI14" s="3589" t="s">
        <v>1058</v>
      </c>
      <c r="AJ14" s="3589">
        <v>2030</v>
      </c>
      <c r="AK14" s="3589">
        <v>40.049999999999997</v>
      </c>
      <c r="AL14" s="3589">
        <v>40.049999999999997</v>
      </c>
      <c r="AM14" s="3589">
        <v>401</v>
      </c>
      <c r="AN14" s="3589">
        <v>401</v>
      </c>
      <c r="AO14" s="3589" t="s">
        <v>3244</v>
      </c>
      <c r="AP14" s="3589" t="s">
        <v>3244</v>
      </c>
      <c r="AQ14" s="3589">
        <v>0</v>
      </c>
      <c r="AR14" s="3589">
        <v>50</v>
      </c>
      <c r="AS14" s="3589" t="s">
        <v>3251</v>
      </c>
      <c r="AT14" s="3589" t="s">
        <v>3244</v>
      </c>
      <c r="AU14" s="3589" t="s">
        <v>3251</v>
      </c>
      <c r="AV14" s="3589" t="s">
        <v>3244</v>
      </c>
      <c r="AW14" s="3589" t="s">
        <v>3244</v>
      </c>
      <c r="AX14" s="3589" t="s">
        <v>3244</v>
      </c>
    </row>
    <row r="15" spans="1:50">
      <c r="A15" s="3589" t="s">
        <v>3355</v>
      </c>
      <c r="B15" s="3589" t="s">
        <v>3240</v>
      </c>
      <c r="C15" s="3589" t="s">
        <v>3356</v>
      </c>
      <c r="D15" s="3589" t="s">
        <v>3242</v>
      </c>
      <c r="E15" s="3589" t="s">
        <v>3243</v>
      </c>
      <c r="F15" s="3589" t="s">
        <v>3342</v>
      </c>
      <c r="G15" s="3589" t="s">
        <v>3357</v>
      </c>
      <c r="H15" s="3589" t="s">
        <v>3246</v>
      </c>
      <c r="I15" s="3589">
        <v>5469.83</v>
      </c>
      <c r="J15" s="3589">
        <v>5469.83</v>
      </c>
      <c r="K15" s="3589" t="s">
        <v>3358</v>
      </c>
      <c r="L15" s="3589" t="s">
        <v>3248</v>
      </c>
      <c r="M15" s="3589" t="s">
        <v>3345</v>
      </c>
      <c r="N15" s="3589" t="s">
        <v>3250</v>
      </c>
      <c r="O15" s="3589" t="s">
        <v>3251</v>
      </c>
      <c r="P15" s="3589" t="s">
        <v>3346</v>
      </c>
      <c r="Q15" s="3589" t="s">
        <v>3252</v>
      </c>
      <c r="R15" s="3589" t="s">
        <v>3244</v>
      </c>
      <c r="S15" s="3589" t="s">
        <v>3244</v>
      </c>
      <c r="T15" s="3589" t="s">
        <v>3244</v>
      </c>
      <c r="U15" s="3589">
        <v>0</v>
      </c>
      <c r="V15" s="3589">
        <v>0</v>
      </c>
      <c r="W15" s="3589">
        <v>0</v>
      </c>
      <c r="X15" s="3589">
        <v>0</v>
      </c>
      <c r="Y15" s="3590">
        <v>42383.000497685185</v>
      </c>
      <c r="Z15" s="3590">
        <v>42402.000497685185</v>
      </c>
      <c r="AA15" s="3590">
        <v>42419.000497685185</v>
      </c>
      <c r="AB15" s="3590">
        <v>42419.000497685185</v>
      </c>
      <c r="AC15" s="3589" t="s">
        <v>3359</v>
      </c>
      <c r="AD15" s="3589" t="s">
        <v>3254</v>
      </c>
      <c r="AE15" s="3589" t="s">
        <v>3349</v>
      </c>
      <c r="AF15" s="3589" t="s">
        <v>3244</v>
      </c>
      <c r="AG15" s="3589">
        <v>330</v>
      </c>
      <c r="AH15" s="3589">
        <v>66</v>
      </c>
      <c r="AI15" s="3589" t="s">
        <v>1058</v>
      </c>
      <c r="AJ15" s="3589">
        <v>330</v>
      </c>
      <c r="AK15" s="3589">
        <v>40.22</v>
      </c>
      <c r="AL15" s="3589">
        <v>40.22</v>
      </c>
      <c r="AM15" s="3589">
        <v>603</v>
      </c>
      <c r="AN15" s="3589">
        <v>603</v>
      </c>
      <c r="AO15" s="3589" t="s">
        <v>3244</v>
      </c>
      <c r="AP15" s="3589" t="s">
        <v>3244</v>
      </c>
      <c r="AQ15" s="3589">
        <v>0</v>
      </c>
      <c r="AR15" s="3589">
        <v>50</v>
      </c>
      <c r="AS15" s="3589" t="s">
        <v>3251</v>
      </c>
      <c r="AT15" s="3589" t="s">
        <v>3244</v>
      </c>
      <c r="AU15" s="3589" t="s">
        <v>3251</v>
      </c>
      <c r="AV15" s="3589" t="s">
        <v>3244</v>
      </c>
      <c r="AW15" s="3589" t="s">
        <v>3244</v>
      </c>
      <c r="AX15" s="3589" t="s">
        <v>3244</v>
      </c>
    </row>
    <row r="16" spans="1:50">
      <c r="A16" s="3589" t="s">
        <v>3360</v>
      </c>
      <c r="B16" s="3589" t="s">
        <v>3240</v>
      </c>
      <c r="C16" s="3589" t="s">
        <v>3361</v>
      </c>
      <c r="D16" s="3589" t="s">
        <v>3242</v>
      </c>
      <c r="E16" s="3589" t="s">
        <v>3243</v>
      </c>
      <c r="F16" s="3589" t="s">
        <v>3342</v>
      </c>
      <c r="G16" s="3589" t="s">
        <v>3343</v>
      </c>
      <c r="H16" s="3589" t="s">
        <v>3246</v>
      </c>
      <c r="I16" s="3589">
        <v>1819.24</v>
      </c>
      <c r="J16" s="3589">
        <v>3638.48</v>
      </c>
      <c r="K16" s="3589" t="s">
        <v>3362</v>
      </c>
      <c r="L16" s="3589" t="s">
        <v>3248</v>
      </c>
      <c r="M16" s="3589" t="s">
        <v>3345</v>
      </c>
      <c r="N16" s="3589" t="s">
        <v>3250</v>
      </c>
      <c r="O16" s="3589" t="s">
        <v>3251</v>
      </c>
      <c r="P16" s="3589" t="s">
        <v>3346</v>
      </c>
      <c r="Q16" s="3589" t="s">
        <v>3252</v>
      </c>
      <c r="R16" s="3589" t="s">
        <v>3244</v>
      </c>
      <c r="S16" s="3589" t="s">
        <v>3244</v>
      </c>
      <c r="T16" s="3589" t="s">
        <v>3244</v>
      </c>
      <c r="U16" s="3589">
        <v>0</v>
      </c>
      <c r="V16" s="3589">
        <v>0</v>
      </c>
      <c r="W16" s="3589">
        <v>0</v>
      </c>
      <c r="X16" s="3589">
        <v>0</v>
      </c>
      <c r="Y16" s="3590">
        <v>42383.000497685185</v>
      </c>
      <c r="Z16" s="3590">
        <v>42402.000497685185</v>
      </c>
      <c r="AA16" s="3590">
        <v>42419.000497685185</v>
      </c>
      <c r="AB16" s="3590">
        <v>42419.000497685185</v>
      </c>
      <c r="AC16" s="3589" t="s">
        <v>3363</v>
      </c>
      <c r="AD16" s="3589" t="s">
        <v>3254</v>
      </c>
      <c r="AE16" s="3589" t="s">
        <v>3349</v>
      </c>
      <c r="AF16" s="3589" t="s">
        <v>3244</v>
      </c>
      <c r="AG16" s="3589">
        <v>110</v>
      </c>
      <c r="AH16" s="3589">
        <v>22</v>
      </c>
      <c r="AI16" s="3589" t="s">
        <v>1058</v>
      </c>
      <c r="AJ16" s="3589">
        <v>110</v>
      </c>
      <c r="AK16" s="3589">
        <v>40.31</v>
      </c>
      <c r="AL16" s="3589">
        <v>40.31</v>
      </c>
      <c r="AM16" s="3589">
        <v>302</v>
      </c>
      <c r="AN16" s="3589">
        <v>302</v>
      </c>
      <c r="AO16" s="3589" t="s">
        <v>3244</v>
      </c>
      <c r="AP16" s="3589" t="s">
        <v>3244</v>
      </c>
      <c r="AQ16" s="3589">
        <v>0</v>
      </c>
      <c r="AR16" s="3589">
        <v>50</v>
      </c>
      <c r="AS16" s="3589" t="s">
        <v>3251</v>
      </c>
      <c r="AT16" s="3589" t="s">
        <v>3244</v>
      </c>
      <c r="AU16" s="3589" t="s">
        <v>3251</v>
      </c>
      <c r="AV16" s="3589" t="s">
        <v>3244</v>
      </c>
      <c r="AW16" s="3589" t="s">
        <v>3244</v>
      </c>
      <c r="AX16" s="3589" t="s">
        <v>3244</v>
      </c>
    </row>
    <row r="17" spans="1:50">
      <c r="A17" s="3589" t="s">
        <v>3364</v>
      </c>
      <c r="B17" s="3589" t="s">
        <v>3240</v>
      </c>
      <c r="C17" s="3589" t="s">
        <v>3365</v>
      </c>
      <c r="D17" s="3589" t="s">
        <v>3242</v>
      </c>
      <c r="E17" s="3589" t="s">
        <v>3243</v>
      </c>
      <c r="F17" s="3589" t="s">
        <v>3366</v>
      </c>
      <c r="G17" s="3589" t="s">
        <v>3367</v>
      </c>
      <c r="H17" s="3589" t="s">
        <v>3246</v>
      </c>
      <c r="I17" s="3589">
        <v>39374.080000000002</v>
      </c>
      <c r="J17" s="3589">
        <v>102372.61</v>
      </c>
      <c r="K17" s="3589" t="s">
        <v>3368</v>
      </c>
      <c r="L17" s="3589" t="s">
        <v>3248</v>
      </c>
      <c r="M17" s="3589" t="s">
        <v>3291</v>
      </c>
      <c r="N17" s="3589" t="s">
        <v>3250</v>
      </c>
      <c r="O17" s="3589" t="s">
        <v>3251</v>
      </c>
      <c r="P17" s="3589" t="s">
        <v>3346</v>
      </c>
      <c r="Q17" s="3589" t="s">
        <v>3369</v>
      </c>
      <c r="R17" s="3589" t="s">
        <v>3244</v>
      </c>
      <c r="S17" s="3589" t="s">
        <v>3244</v>
      </c>
      <c r="T17" s="3589" t="s">
        <v>3244</v>
      </c>
      <c r="U17" s="3589" t="s">
        <v>3244</v>
      </c>
      <c r="V17" s="3589" t="s">
        <v>3244</v>
      </c>
      <c r="W17" s="3589">
        <v>0</v>
      </c>
      <c r="X17" s="3589">
        <v>0</v>
      </c>
      <c r="Y17" s="3590">
        <v>42319.000497685185</v>
      </c>
      <c r="Z17" s="3590">
        <v>42339.000497685185</v>
      </c>
      <c r="AA17" s="3590">
        <v>42349.000497685185</v>
      </c>
      <c r="AB17" s="3590">
        <v>42349.000497685185</v>
      </c>
      <c r="AC17" s="3589" t="s">
        <v>3370</v>
      </c>
      <c r="AD17" s="3589" t="s">
        <v>3254</v>
      </c>
      <c r="AE17" s="3589" t="s">
        <v>3371</v>
      </c>
      <c r="AF17" s="3589" t="s">
        <v>3244</v>
      </c>
      <c r="AG17" s="3589">
        <v>2535</v>
      </c>
      <c r="AH17" s="3589">
        <v>507</v>
      </c>
      <c r="AI17" s="3589" t="s">
        <v>1058</v>
      </c>
      <c r="AJ17" s="3589">
        <v>2535</v>
      </c>
      <c r="AK17" s="3589">
        <v>42.92</v>
      </c>
      <c r="AL17" s="3589">
        <v>42.92</v>
      </c>
      <c r="AM17" s="3589">
        <v>248</v>
      </c>
      <c r="AN17" s="3589">
        <v>248</v>
      </c>
      <c r="AO17" s="3589" t="s">
        <v>3244</v>
      </c>
      <c r="AP17" s="3589" t="s">
        <v>3244</v>
      </c>
      <c r="AQ17" s="3589">
        <v>0</v>
      </c>
      <c r="AR17" s="3589">
        <v>50</v>
      </c>
      <c r="AS17" s="3589" t="s">
        <v>3251</v>
      </c>
      <c r="AT17" s="3589" t="s">
        <v>3244</v>
      </c>
      <c r="AU17" s="3589" t="s">
        <v>3251</v>
      </c>
      <c r="AV17" s="3589" t="s">
        <v>3244</v>
      </c>
      <c r="AW17" s="3589" t="s">
        <v>3244</v>
      </c>
      <c r="AX17" s="3589" t="s">
        <v>3244</v>
      </c>
    </row>
    <row r="18" spans="1:50">
      <c r="A18" s="3589" t="s">
        <v>3372</v>
      </c>
      <c r="B18" s="3589" t="s">
        <v>3240</v>
      </c>
      <c r="C18" s="3589" t="s">
        <v>3373</v>
      </c>
      <c r="D18" s="3589" t="s">
        <v>3242</v>
      </c>
      <c r="E18" s="3589" t="s">
        <v>3243</v>
      </c>
      <c r="F18" s="3589" t="s">
        <v>3366</v>
      </c>
      <c r="G18" s="3589" t="s">
        <v>3374</v>
      </c>
      <c r="H18" s="3589" t="s">
        <v>3246</v>
      </c>
      <c r="I18" s="3589">
        <v>93147.05</v>
      </c>
      <c r="J18" s="3589">
        <v>204923.51</v>
      </c>
      <c r="K18" s="3589" t="s">
        <v>3375</v>
      </c>
      <c r="L18" s="3589" t="s">
        <v>3248</v>
      </c>
      <c r="M18" s="3589" t="s">
        <v>3291</v>
      </c>
      <c r="N18" s="3589" t="s">
        <v>3250</v>
      </c>
      <c r="O18" s="3589" t="s">
        <v>3251</v>
      </c>
      <c r="P18" s="3589" t="s">
        <v>3311</v>
      </c>
      <c r="Q18" s="3589" t="s">
        <v>3376</v>
      </c>
      <c r="R18" s="3589" t="s">
        <v>3244</v>
      </c>
      <c r="S18" s="3589" t="s">
        <v>3244</v>
      </c>
      <c r="T18" s="3589" t="s">
        <v>3244</v>
      </c>
      <c r="U18" s="3589" t="s">
        <v>3244</v>
      </c>
      <c r="V18" s="3589" t="s">
        <v>3244</v>
      </c>
      <c r="W18" s="3589">
        <v>0</v>
      </c>
      <c r="X18" s="3589">
        <v>0</v>
      </c>
      <c r="Y18" s="3590">
        <v>42265.000497685185</v>
      </c>
      <c r="Z18" s="3590">
        <v>42286.000497685185</v>
      </c>
      <c r="AA18" s="3590">
        <v>42297.000497685185</v>
      </c>
      <c r="AB18" s="3590">
        <v>42297.000497685185</v>
      </c>
      <c r="AC18" s="3589" t="s">
        <v>3377</v>
      </c>
      <c r="AD18" s="3589" t="s">
        <v>3254</v>
      </c>
      <c r="AE18" s="3589" t="s">
        <v>3371</v>
      </c>
      <c r="AF18" s="3589" t="s">
        <v>3244</v>
      </c>
      <c r="AG18" s="3589">
        <v>5590</v>
      </c>
      <c r="AH18" s="3589">
        <v>1118</v>
      </c>
      <c r="AI18" s="3589" t="s">
        <v>1058</v>
      </c>
      <c r="AJ18" s="3589">
        <v>5590</v>
      </c>
      <c r="AK18" s="3589">
        <v>40.01</v>
      </c>
      <c r="AL18" s="3589">
        <v>40.01</v>
      </c>
      <c r="AM18" s="3589">
        <v>273</v>
      </c>
      <c r="AN18" s="3589">
        <v>273</v>
      </c>
      <c r="AO18" s="3589" t="s">
        <v>3244</v>
      </c>
      <c r="AP18" s="3589" t="s">
        <v>3244</v>
      </c>
      <c r="AQ18" s="3589">
        <v>0</v>
      </c>
      <c r="AR18" s="3589">
        <v>50</v>
      </c>
      <c r="AS18" s="3589" t="s">
        <v>3251</v>
      </c>
      <c r="AT18" s="3589" t="s">
        <v>3244</v>
      </c>
      <c r="AU18" s="3589" t="s">
        <v>3251</v>
      </c>
      <c r="AV18" s="3589" t="s">
        <v>3244</v>
      </c>
      <c r="AW18" s="3589" t="s">
        <v>3244</v>
      </c>
      <c r="AX18" s="3589" t="s">
        <v>3244</v>
      </c>
    </row>
    <row r="19" spans="1:50">
      <c r="A19" s="3589" t="s">
        <v>3378</v>
      </c>
      <c r="B19" s="3589" t="s">
        <v>3240</v>
      </c>
      <c r="C19" s="3589" t="s">
        <v>3379</v>
      </c>
      <c r="D19" s="3589" t="s">
        <v>3242</v>
      </c>
      <c r="E19" s="3589" t="s">
        <v>3243</v>
      </c>
      <c r="F19" s="3589" t="s">
        <v>3244</v>
      </c>
      <c r="G19" s="3589" t="s">
        <v>3380</v>
      </c>
      <c r="H19" s="3589" t="s">
        <v>3246</v>
      </c>
      <c r="I19" s="3589">
        <v>15087.53</v>
      </c>
      <c r="J19" s="3589">
        <v>30175.06</v>
      </c>
      <c r="K19" s="3589" t="s">
        <v>3381</v>
      </c>
      <c r="L19" s="3589" t="s">
        <v>3248</v>
      </c>
      <c r="M19" s="3589" t="s">
        <v>3291</v>
      </c>
      <c r="N19" s="3589" t="s">
        <v>3250</v>
      </c>
      <c r="O19" s="3589" t="s">
        <v>3251</v>
      </c>
      <c r="P19" s="3589" t="s">
        <v>3382</v>
      </c>
      <c r="Q19" s="3589" t="s">
        <v>3244</v>
      </c>
      <c r="R19" s="3589" t="s">
        <v>3244</v>
      </c>
      <c r="S19" s="3589" t="s">
        <v>3244</v>
      </c>
      <c r="T19" s="3589" t="s">
        <v>3244</v>
      </c>
      <c r="U19" s="3589">
        <v>0</v>
      </c>
      <c r="V19" s="3589">
        <v>0</v>
      </c>
      <c r="W19" s="3589">
        <v>0</v>
      </c>
      <c r="X19" s="3589">
        <v>0</v>
      </c>
      <c r="Y19" s="3590">
        <v>42153.000497685185</v>
      </c>
      <c r="Z19" s="3590">
        <v>42172.000497685185</v>
      </c>
      <c r="AA19" s="3590">
        <v>42185.000497685185</v>
      </c>
      <c r="AB19" s="3590">
        <v>42185.000497685185</v>
      </c>
      <c r="AC19" s="3589" t="s">
        <v>3383</v>
      </c>
      <c r="AD19" s="3589" t="s">
        <v>3254</v>
      </c>
      <c r="AE19" s="3589" t="s">
        <v>3384</v>
      </c>
      <c r="AF19" s="3589" t="s">
        <v>3385</v>
      </c>
      <c r="AG19" s="3589">
        <v>870</v>
      </c>
      <c r="AH19" s="3589">
        <v>174</v>
      </c>
      <c r="AI19" s="3589" t="s">
        <v>1058</v>
      </c>
      <c r="AJ19" s="3589">
        <v>870</v>
      </c>
      <c r="AK19" s="3589">
        <v>38.44</v>
      </c>
      <c r="AL19" s="3589">
        <v>38.44</v>
      </c>
      <c r="AM19" s="3589">
        <v>288</v>
      </c>
      <c r="AN19" s="3589">
        <v>288</v>
      </c>
      <c r="AO19" s="3589" t="s">
        <v>3244</v>
      </c>
      <c r="AP19" s="3589" t="s">
        <v>3244</v>
      </c>
      <c r="AQ19" s="3589">
        <v>0</v>
      </c>
      <c r="AR19" s="3589" t="s">
        <v>3257</v>
      </c>
      <c r="AS19" s="3589" t="s">
        <v>3251</v>
      </c>
      <c r="AT19" s="3589" t="s">
        <v>3244</v>
      </c>
      <c r="AU19" s="3589" t="s">
        <v>3251</v>
      </c>
      <c r="AV19" s="3589" t="s">
        <v>3244</v>
      </c>
      <c r="AW19" s="3589" t="s">
        <v>3244</v>
      </c>
      <c r="AX19" s="3589" t="s">
        <v>3244</v>
      </c>
    </row>
    <row r="20" spans="1:50">
      <c r="A20" s="3589" t="s">
        <v>3386</v>
      </c>
      <c r="B20" s="3589" t="s">
        <v>3240</v>
      </c>
      <c r="C20" s="3589" t="s">
        <v>3387</v>
      </c>
      <c r="D20" s="3589" t="s">
        <v>3242</v>
      </c>
      <c r="E20" s="3589" t="s">
        <v>3243</v>
      </c>
      <c r="F20" s="3589" t="s">
        <v>3244</v>
      </c>
      <c r="G20" s="3589" t="s">
        <v>3388</v>
      </c>
      <c r="H20" s="3589" t="s">
        <v>3246</v>
      </c>
      <c r="I20" s="3589">
        <v>195308</v>
      </c>
      <c r="J20" s="3589">
        <v>449208.5</v>
      </c>
      <c r="K20" s="3589" t="s">
        <v>3389</v>
      </c>
      <c r="L20" s="3589" t="s">
        <v>3248</v>
      </c>
      <c r="M20" s="3589" t="s">
        <v>3390</v>
      </c>
      <c r="N20" s="3589" t="s">
        <v>3250</v>
      </c>
      <c r="O20" s="3589" t="s">
        <v>3251</v>
      </c>
      <c r="P20" s="3589" t="s">
        <v>3391</v>
      </c>
      <c r="Q20" s="3589" t="s">
        <v>3244</v>
      </c>
      <c r="R20" s="3589" t="s">
        <v>3244</v>
      </c>
      <c r="S20" s="3589" t="s">
        <v>3244</v>
      </c>
      <c r="T20" s="3589" t="s">
        <v>3244</v>
      </c>
      <c r="U20" s="3589">
        <v>0</v>
      </c>
      <c r="V20" s="3589">
        <v>0</v>
      </c>
      <c r="W20" s="3589">
        <v>0</v>
      </c>
      <c r="X20" s="3589">
        <v>0</v>
      </c>
      <c r="Y20" s="3590">
        <v>42153.000497685185</v>
      </c>
      <c r="Z20" s="3590">
        <v>42172.000497685185</v>
      </c>
      <c r="AA20" s="3590">
        <v>42185.000497685185</v>
      </c>
      <c r="AB20" s="3590">
        <v>42185.000497685185</v>
      </c>
      <c r="AC20" s="3589" t="s">
        <v>3392</v>
      </c>
      <c r="AD20" s="3589" t="s">
        <v>3254</v>
      </c>
      <c r="AE20" s="3589" t="s">
        <v>3393</v>
      </c>
      <c r="AF20" s="3589" t="s">
        <v>3244</v>
      </c>
      <c r="AG20" s="3589">
        <v>36330</v>
      </c>
      <c r="AH20" s="3589">
        <v>7300</v>
      </c>
      <c r="AI20" s="3589" t="s">
        <v>1058</v>
      </c>
      <c r="AJ20" s="3589">
        <v>36330</v>
      </c>
      <c r="AK20" s="3589">
        <v>124.01</v>
      </c>
      <c r="AL20" s="3589">
        <v>124.01</v>
      </c>
      <c r="AM20" s="3589">
        <v>809</v>
      </c>
      <c r="AN20" s="3589">
        <v>809</v>
      </c>
      <c r="AO20" s="3589" t="s">
        <v>3244</v>
      </c>
      <c r="AP20" s="3589" t="s">
        <v>3244</v>
      </c>
      <c r="AQ20" s="3589">
        <v>0</v>
      </c>
      <c r="AR20" s="3589" t="s">
        <v>3257</v>
      </c>
      <c r="AS20" s="3589" t="s">
        <v>3251</v>
      </c>
      <c r="AT20" s="3589" t="s">
        <v>3244</v>
      </c>
      <c r="AU20" s="3589" t="s">
        <v>3251</v>
      </c>
      <c r="AV20" s="3589" t="s">
        <v>3244</v>
      </c>
      <c r="AW20" s="3589" t="s">
        <v>3244</v>
      </c>
      <c r="AX20" s="3589" t="s">
        <v>3244</v>
      </c>
    </row>
    <row r="21" spans="1:50">
      <c r="A21" s="3589" t="s">
        <v>3394</v>
      </c>
      <c r="B21" s="3589" t="s">
        <v>3240</v>
      </c>
      <c r="C21" s="3589" t="s">
        <v>3395</v>
      </c>
      <c r="D21" s="3589" t="s">
        <v>3242</v>
      </c>
      <c r="E21" s="3589" t="s">
        <v>3243</v>
      </c>
      <c r="F21" s="3589" t="s">
        <v>3244</v>
      </c>
      <c r="G21" s="3589" t="s">
        <v>3396</v>
      </c>
      <c r="H21" s="3589" t="s">
        <v>3246</v>
      </c>
      <c r="I21" s="3589">
        <v>34881.72</v>
      </c>
      <c r="J21" s="3589">
        <v>62438.28</v>
      </c>
      <c r="K21" s="3589" t="s">
        <v>3397</v>
      </c>
      <c r="L21" s="3589" t="s">
        <v>3248</v>
      </c>
      <c r="M21" s="3589" t="s">
        <v>3398</v>
      </c>
      <c r="N21" s="3589" t="s">
        <v>3250</v>
      </c>
      <c r="O21" s="3589" t="s">
        <v>3251</v>
      </c>
      <c r="P21" s="3589" t="s">
        <v>3244</v>
      </c>
      <c r="Q21" s="3589" t="s">
        <v>3244</v>
      </c>
      <c r="R21" s="3589" t="s">
        <v>3244</v>
      </c>
      <c r="S21" s="3589" t="s">
        <v>3244</v>
      </c>
      <c r="T21" s="3589" t="s">
        <v>3244</v>
      </c>
      <c r="U21" s="3589">
        <v>0</v>
      </c>
      <c r="V21" s="3589">
        <v>0</v>
      </c>
      <c r="W21" s="3589">
        <v>0</v>
      </c>
      <c r="X21" s="3589">
        <v>0</v>
      </c>
      <c r="Y21" s="3590">
        <v>41850.000497685185</v>
      </c>
      <c r="Z21" s="3590">
        <v>41870.000497685185</v>
      </c>
      <c r="AA21" s="3590">
        <v>41880.000497685185</v>
      </c>
      <c r="AB21" s="3590">
        <v>41880.000497685185</v>
      </c>
      <c r="AC21" s="3589" t="s">
        <v>3399</v>
      </c>
      <c r="AD21" s="3589" t="s">
        <v>3254</v>
      </c>
      <c r="AE21" s="3589" t="s">
        <v>3400</v>
      </c>
      <c r="AF21" s="3589" t="s">
        <v>3244</v>
      </c>
      <c r="AG21" s="3589">
        <v>7500</v>
      </c>
      <c r="AH21" s="3589">
        <v>1500</v>
      </c>
      <c r="AI21" s="3589" t="s">
        <v>1058</v>
      </c>
      <c r="AJ21" s="3589">
        <v>7500</v>
      </c>
      <c r="AK21" s="3589">
        <v>143.34</v>
      </c>
      <c r="AL21" s="3589">
        <v>143.34</v>
      </c>
      <c r="AM21" s="3589">
        <v>1201</v>
      </c>
      <c r="AN21" s="3589">
        <v>1201</v>
      </c>
      <c r="AO21" s="3589" t="s">
        <v>3244</v>
      </c>
      <c r="AP21" s="3589" t="s">
        <v>3244</v>
      </c>
      <c r="AQ21" s="3589">
        <v>0</v>
      </c>
      <c r="AR21" s="3589" t="s">
        <v>3257</v>
      </c>
      <c r="AS21" s="3589" t="s">
        <v>3251</v>
      </c>
      <c r="AT21" s="3589" t="s">
        <v>3244</v>
      </c>
      <c r="AU21" s="3589" t="s">
        <v>3251</v>
      </c>
      <c r="AV21" s="3589" t="s">
        <v>3244</v>
      </c>
      <c r="AW21" s="3589" t="s">
        <v>3244</v>
      </c>
      <c r="AX21" s="3589" t="s">
        <v>3244</v>
      </c>
    </row>
    <row r="22" spans="1:50">
      <c r="A22" s="3589" t="s">
        <v>3401</v>
      </c>
      <c r="B22" s="3589" t="s">
        <v>3240</v>
      </c>
      <c r="C22" s="3589" t="s">
        <v>3402</v>
      </c>
      <c r="D22" s="3589" t="s">
        <v>3242</v>
      </c>
      <c r="E22" s="3589" t="s">
        <v>3243</v>
      </c>
      <c r="F22" s="3589" t="s">
        <v>3244</v>
      </c>
      <c r="G22" s="3589" t="s">
        <v>3403</v>
      </c>
      <c r="H22" s="3589" t="s">
        <v>3246</v>
      </c>
      <c r="I22" s="3589">
        <v>16032.84</v>
      </c>
      <c r="J22" s="3589">
        <v>24049.26</v>
      </c>
      <c r="K22" s="3589" t="s">
        <v>3404</v>
      </c>
      <c r="L22" s="3589" t="s">
        <v>3248</v>
      </c>
      <c r="M22" s="3589" t="s">
        <v>3405</v>
      </c>
      <c r="N22" s="3589" t="s">
        <v>3250</v>
      </c>
      <c r="O22" s="3589" t="s">
        <v>3251</v>
      </c>
      <c r="P22" s="3589" t="s">
        <v>3406</v>
      </c>
      <c r="Q22" s="3589" t="s">
        <v>3407</v>
      </c>
      <c r="R22" s="3589" t="s">
        <v>3244</v>
      </c>
      <c r="S22" s="3589" t="s">
        <v>3244</v>
      </c>
      <c r="T22" s="3589" t="s">
        <v>3244</v>
      </c>
      <c r="U22" s="3589">
        <v>0</v>
      </c>
      <c r="V22" s="3589">
        <v>0</v>
      </c>
      <c r="W22" s="3589">
        <v>0</v>
      </c>
      <c r="X22" s="3589">
        <v>0</v>
      </c>
      <c r="Y22" s="3590">
        <v>41803.000497685185</v>
      </c>
      <c r="Z22" s="3590">
        <v>41824.000497685185</v>
      </c>
      <c r="AA22" s="3590">
        <v>41835.000497685185</v>
      </c>
      <c r="AB22" s="3590">
        <v>41835.000497685185</v>
      </c>
      <c r="AC22" s="3589" t="s">
        <v>3408</v>
      </c>
      <c r="AD22" s="3589" t="s">
        <v>3254</v>
      </c>
      <c r="AE22" s="3589" t="s">
        <v>3409</v>
      </c>
      <c r="AF22" s="3589" t="s">
        <v>3244</v>
      </c>
      <c r="AG22" s="3589">
        <v>2143</v>
      </c>
      <c r="AH22" s="3589">
        <v>430</v>
      </c>
      <c r="AI22" s="3589" t="s">
        <v>1058</v>
      </c>
      <c r="AJ22" s="3589">
        <v>2143</v>
      </c>
      <c r="AK22" s="3589">
        <v>89.11</v>
      </c>
      <c r="AL22" s="3589">
        <v>89.11</v>
      </c>
      <c r="AM22" s="3589">
        <v>891</v>
      </c>
      <c r="AN22" s="3589">
        <v>891</v>
      </c>
      <c r="AO22" s="3589" t="s">
        <v>3244</v>
      </c>
      <c r="AP22" s="3589" t="s">
        <v>3244</v>
      </c>
      <c r="AQ22" s="3589">
        <v>0</v>
      </c>
      <c r="AR22" s="3589">
        <v>50</v>
      </c>
      <c r="AS22" s="3589" t="s">
        <v>3251</v>
      </c>
      <c r="AT22" s="3589" t="s">
        <v>3244</v>
      </c>
      <c r="AU22" s="3589" t="s">
        <v>3251</v>
      </c>
      <c r="AV22" s="3589" t="s">
        <v>3244</v>
      </c>
      <c r="AW22" s="3589" t="s">
        <v>3244</v>
      </c>
      <c r="AX22" s="3589" t="s">
        <v>3244</v>
      </c>
    </row>
    <row r="23" spans="1:50">
      <c r="A23" s="3589" t="s">
        <v>3410</v>
      </c>
      <c r="B23" s="3589" t="s">
        <v>3240</v>
      </c>
      <c r="C23" s="3589" t="s">
        <v>3411</v>
      </c>
      <c r="D23" s="3589" t="s">
        <v>3242</v>
      </c>
      <c r="E23" s="3589" t="s">
        <v>3243</v>
      </c>
      <c r="F23" s="3589" t="s">
        <v>3244</v>
      </c>
      <c r="G23" s="3589" t="s">
        <v>3412</v>
      </c>
      <c r="H23" s="3589" t="s">
        <v>3246</v>
      </c>
      <c r="I23" s="3589">
        <v>4919.2700000000004</v>
      </c>
      <c r="J23" s="3589">
        <v>7378.91</v>
      </c>
      <c r="K23" s="3589" t="s">
        <v>3413</v>
      </c>
      <c r="L23" s="3589" t="s">
        <v>3248</v>
      </c>
      <c r="M23" s="3589" t="s">
        <v>3390</v>
      </c>
      <c r="N23" s="3589" t="s">
        <v>3250</v>
      </c>
      <c r="O23" s="3589" t="s">
        <v>3251</v>
      </c>
      <c r="P23" s="3589" t="s">
        <v>3273</v>
      </c>
      <c r="Q23" s="3589" t="s">
        <v>3244</v>
      </c>
      <c r="R23" s="3589" t="s">
        <v>3244</v>
      </c>
      <c r="S23" s="3589" t="s">
        <v>3244</v>
      </c>
      <c r="T23" s="3589" t="s">
        <v>3244</v>
      </c>
      <c r="U23" s="3589">
        <v>0</v>
      </c>
      <c r="V23" s="3589">
        <v>0</v>
      </c>
      <c r="W23" s="3589">
        <v>0</v>
      </c>
      <c r="X23" s="3589">
        <v>0</v>
      </c>
      <c r="Y23" s="3590">
        <v>41605.000497685185</v>
      </c>
      <c r="Z23" s="3590">
        <v>41625.000497685185</v>
      </c>
      <c r="AA23" s="3590">
        <v>41635.000497685185</v>
      </c>
      <c r="AB23" s="3590">
        <v>41635.000497685185</v>
      </c>
      <c r="AC23" s="3589" t="s">
        <v>3414</v>
      </c>
      <c r="AD23" s="3589" t="s">
        <v>3254</v>
      </c>
      <c r="AE23" s="3589" t="s">
        <v>3415</v>
      </c>
      <c r="AF23" s="3589" t="s">
        <v>3244</v>
      </c>
      <c r="AG23" s="3589">
        <v>330</v>
      </c>
      <c r="AH23" s="3589">
        <v>66</v>
      </c>
      <c r="AI23" s="3589" t="s">
        <v>1058</v>
      </c>
      <c r="AJ23" s="3589">
        <v>330</v>
      </c>
      <c r="AK23" s="3589">
        <v>44.72</v>
      </c>
      <c r="AL23" s="3589">
        <v>44.72</v>
      </c>
      <c r="AM23" s="3589">
        <v>447</v>
      </c>
      <c r="AN23" s="3589">
        <v>447</v>
      </c>
      <c r="AO23" s="3589" t="s">
        <v>3244</v>
      </c>
      <c r="AP23" s="3589" t="s">
        <v>3244</v>
      </c>
      <c r="AQ23" s="3589">
        <v>0</v>
      </c>
      <c r="AR23" s="3589" t="s">
        <v>3257</v>
      </c>
      <c r="AS23" s="3589" t="s">
        <v>3251</v>
      </c>
      <c r="AT23" s="3589" t="s">
        <v>3244</v>
      </c>
      <c r="AU23" s="3589" t="s">
        <v>3251</v>
      </c>
      <c r="AV23" s="3589" t="s">
        <v>3244</v>
      </c>
      <c r="AW23" s="3589" t="s">
        <v>3244</v>
      </c>
      <c r="AX23" s="3589" t="s">
        <v>3244</v>
      </c>
    </row>
    <row r="24" spans="1:50">
      <c r="A24" s="3589" t="s">
        <v>3416</v>
      </c>
      <c r="B24" s="3589" t="s">
        <v>3240</v>
      </c>
      <c r="C24" s="3589" t="s">
        <v>3417</v>
      </c>
      <c r="D24" s="3589" t="s">
        <v>3242</v>
      </c>
      <c r="E24" s="3589" t="s">
        <v>3243</v>
      </c>
      <c r="F24" s="3589" t="s">
        <v>3244</v>
      </c>
      <c r="G24" s="3589" t="s">
        <v>3418</v>
      </c>
      <c r="H24" s="3589" t="s">
        <v>3246</v>
      </c>
      <c r="I24" s="3589">
        <v>17272.580000000002</v>
      </c>
      <c r="J24" s="3589">
        <v>77726.61</v>
      </c>
      <c r="K24" s="3589" t="s">
        <v>3419</v>
      </c>
      <c r="L24" s="3589" t="s">
        <v>3248</v>
      </c>
      <c r="M24" s="3589" t="s">
        <v>3390</v>
      </c>
      <c r="N24" s="3589" t="s">
        <v>3250</v>
      </c>
      <c r="O24" s="3589" t="s">
        <v>3251</v>
      </c>
      <c r="P24" s="3589" t="s">
        <v>3263</v>
      </c>
      <c r="Q24" s="3589" t="s">
        <v>3244</v>
      </c>
      <c r="R24" s="3589" t="s">
        <v>3244</v>
      </c>
      <c r="S24" s="3589" t="s">
        <v>3244</v>
      </c>
      <c r="T24" s="3589" t="s">
        <v>3244</v>
      </c>
      <c r="U24" s="3589">
        <v>0</v>
      </c>
      <c r="V24" s="3589">
        <v>0</v>
      </c>
      <c r="W24" s="3589">
        <v>0</v>
      </c>
      <c r="X24" s="3589">
        <v>0</v>
      </c>
      <c r="Y24" s="3590">
        <v>41605.000497685185</v>
      </c>
      <c r="Z24" s="3590">
        <v>41625.000497685185</v>
      </c>
      <c r="AA24" s="3590">
        <v>41635.000497685185</v>
      </c>
      <c r="AB24" s="3590">
        <v>41635.000497685185</v>
      </c>
      <c r="AC24" s="3589" t="s">
        <v>3414</v>
      </c>
      <c r="AD24" s="3589" t="s">
        <v>3254</v>
      </c>
      <c r="AE24" s="3589" t="s">
        <v>3371</v>
      </c>
      <c r="AF24" s="3589" t="s">
        <v>3244</v>
      </c>
      <c r="AG24" s="3589">
        <v>1840</v>
      </c>
      <c r="AH24" s="3589">
        <v>370</v>
      </c>
      <c r="AI24" s="3589" t="s">
        <v>1058</v>
      </c>
      <c r="AJ24" s="3589">
        <v>1840</v>
      </c>
      <c r="AK24" s="3589">
        <v>71.02</v>
      </c>
      <c r="AL24" s="3589">
        <v>71.02</v>
      </c>
      <c r="AM24" s="3589">
        <v>237</v>
      </c>
      <c r="AN24" s="3589">
        <v>237</v>
      </c>
      <c r="AO24" s="3589" t="s">
        <v>3244</v>
      </c>
      <c r="AP24" s="3589" t="s">
        <v>3244</v>
      </c>
      <c r="AQ24" s="3589">
        <v>0</v>
      </c>
      <c r="AR24" s="3589" t="s">
        <v>3257</v>
      </c>
      <c r="AS24" s="3589" t="s">
        <v>3251</v>
      </c>
      <c r="AT24" s="3589" t="s">
        <v>3244</v>
      </c>
      <c r="AU24" s="3589" t="s">
        <v>3251</v>
      </c>
      <c r="AV24" s="3589" t="s">
        <v>3244</v>
      </c>
      <c r="AW24" s="3589" t="s">
        <v>3244</v>
      </c>
      <c r="AX24" s="3589" t="s">
        <v>3244</v>
      </c>
    </row>
    <row r="25" spans="1:50">
      <c r="A25" s="3589" t="s">
        <v>3420</v>
      </c>
      <c r="B25" s="3589" t="s">
        <v>3240</v>
      </c>
      <c r="C25" s="3589" t="s">
        <v>3421</v>
      </c>
      <c r="D25" s="3589" t="s">
        <v>3242</v>
      </c>
      <c r="E25" s="3589" t="s">
        <v>3243</v>
      </c>
      <c r="F25" s="3589" t="s">
        <v>3244</v>
      </c>
      <c r="G25" s="3589" t="s">
        <v>3422</v>
      </c>
      <c r="H25" s="3589" t="s">
        <v>3246</v>
      </c>
      <c r="I25" s="3589">
        <v>23913.59</v>
      </c>
      <c r="J25" s="3589">
        <v>59783.98</v>
      </c>
      <c r="K25" s="3589" t="s">
        <v>3423</v>
      </c>
      <c r="L25" s="3589" t="s">
        <v>3248</v>
      </c>
      <c r="M25" s="3589" t="s">
        <v>3390</v>
      </c>
      <c r="N25" s="3589" t="s">
        <v>3250</v>
      </c>
      <c r="O25" s="3589" t="s">
        <v>3251</v>
      </c>
      <c r="P25" s="3589" t="s">
        <v>3321</v>
      </c>
      <c r="Q25" s="3589" t="s">
        <v>3244</v>
      </c>
      <c r="R25" s="3589" t="s">
        <v>3244</v>
      </c>
      <c r="S25" s="3589" t="s">
        <v>3244</v>
      </c>
      <c r="T25" s="3589" t="s">
        <v>3244</v>
      </c>
      <c r="U25" s="3589">
        <v>0</v>
      </c>
      <c r="V25" s="3589">
        <v>0</v>
      </c>
      <c r="W25" s="3589">
        <v>0</v>
      </c>
      <c r="X25" s="3589">
        <v>0</v>
      </c>
      <c r="Y25" s="3590">
        <v>41605.000497685185</v>
      </c>
      <c r="Z25" s="3590">
        <v>41625.000497685185</v>
      </c>
      <c r="AA25" s="3590">
        <v>41635.000497685185</v>
      </c>
      <c r="AB25" s="3590">
        <v>41635.000497685185</v>
      </c>
      <c r="AC25" s="3589" t="s">
        <v>3414</v>
      </c>
      <c r="AD25" s="3589" t="s">
        <v>3254</v>
      </c>
      <c r="AE25" s="3589" t="s">
        <v>3424</v>
      </c>
      <c r="AF25" s="3589" t="s">
        <v>3244</v>
      </c>
      <c r="AG25" s="3589">
        <v>3745</v>
      </c>
      <c r="AH25" s="3589">
        <v>750</v>
      </c>
      <c r="AI25" s="3589" t="s">
        <v>1058</v>
      </c>
      <c r="AJ25" s="3589">
        <v>3745</v>
      </c>
      <c r="AK25" s="3589">
        <v>104.4</v>
      </c>
      <c r="AL25" s="3589">
        <v>104.4</v>
      </c>
      <c r="AM25" s="3589">
        <v>626</v>
      </c>
      <c r="AN25" s="3589">
        <v>626</v>
      </c>
      <c r="AO25" s="3589" t="s">
        <v>3244</v>
      </c>
      <c r="AP25" s="3589" t="s">
        <v>3244</v>
      </c>
      <c r="AQ25" s="3589">
        <v>0</v>
      </c>
      <c r="AR25" s="3589" t="s">
        <v>3257</v>
      </c>
      <c r="AS25" s="3589" t="s">
        <v>3251</v>
      </c>
      <c r="AT25" s="3589" t="s">
        <v>3244</v>
      </c>
      <c r="AU25" s="3589" t="s">
        <v>3251</v>
      </c>
      <c r="AV25" s="3589" t="s">
        <v>3244</v>
      </c>
      <c r="AW25" s="3589" t="s">
        <v>3244</v>
      </c>
      <c r="AX25" s="3589" t="s">
        <v>3244</v>
      </c>
    </row>
    <row r="26" spans="1:50" s="3223" customFormat="1">
      <c r="A26" s="3591" t="s">
        <v>3425</v>
      </c>
      <c r="B26" s="3591" t="s">
        <v>3240</v>
      </c>
      <c r="C26" s="3591" t="s">
        <v>3426</v>
      </c>
      <c r="D26" s="3591" t="s">
        <v>3242</v>
      </c>
      <c r="E26" s="3591" t="s">
        <v>3243</v>
      </c>
      <c r="F26" s="3591" t="s">
        <v>3270</v>
      </c>
      <c r="G26" s="3591" t="s">
        <v>3427</v>
      </c>
      <c r="H26" s="3591" t="s">
        <v>3246</v>
      </c>
      <c r="I26" s="3591">
        <v>45832.62</v>
      </c>
      <c r="J26" s="3591">
        <v>174164</v>
      </c>
      <c r="K26" s="3591" t="s">
        <v>3428</v>
      </c>
      <c r="L26" s="3591" t="s">
        <v>3248</v>
      </c>
      <c r="M26" s="3591" t="s">
        <v>3405</v>
      </c>
      <c r="N26" s="3591" t="s">
        <v>3250</v>
      </c>
      <c r="O26" s="3591" t="s">
        <v>3251</v>
      </c>
      <c r="P26" s="3591" t="s">
        <v>3311</v>
      </c>
      <c r="Q26" s="3591" t="s">
        <v>3244</v>
      </c>
      <c r="R26" s="3591" t="s">
        <v>3244</v>
      </c>
      <c r="S26" s="3591" t="s">
        <v>3244</v>
      </c>
      <c r="T26" s="3591" t="s">
        <v>3244</v>
      </c>
      <c r="U26" s="3591">
        <v>0</v>
      </c>
      <c r="V26" s="3591">
        <v>0</v>
      </c>
      <c r="W26" s="3591">
        <v>0</v>
      </c>
      <c r="X26" s="3591">
        <v>0</v>
      </c>
      <c r="Y26" s="3592">
        <v>41565.000497685185</v>
      </c>
      <c r="Z26" s="3592">
        <v>41586.000497685185</v>
      </c>
      <c r="AA26" s="3592">
        <v>41597.000497685185</v>
      </c>
      <c r="AB26" s="3592">
        <v>41597.000497685185</v>
      </c>
      <c r="AC26" s="3591" t="s">
        <v>3429</v>
      </c>
      <c r="AD26" s="3591" t="s">
        <v>3254</v>
      </c>
      <c r="AE26" s="3591" t="s">
        <v>3430</v>
      </c>
      <c r="AF26" s="3591" t="s">
        <v>3244</v>
      </c>
      <c r="AG26" s="3591">
        <v>2486</v>
      </c>
      <c r="AH26" s="3591">
        <v>498</v>
      </c>
      <c r="AI26" s="3591" t="s">
        <v>1058</v>
      </c>
      <c r="AJ26" s="3591">
        <v>2486</v>
      </c>
      <c r="AK26" s="3591">
        <v>36.159999999999997</v>
      </c>
      <c r="AL26" s="3591">
        <v>36.159999999999997</v>
      </c>
      <c r="AM26" s="3591">
        <v>143</v>
      </c>
      <c r="AN26" s="3591">
        <v>143</v>
      </c>
      <c r="AO26" s="3591" t="s">
        <v>3244</v>
      </c>
      <c r="AP26" s="3591" t="s">
        <v>3244</v>
      </c>
      <c r="AQ26" s="3591">
        <v>0</v>
      </c>
      <c r="AR26" s="3591" t="s">
        <v>3257</v>
      </c>
      <c r="AS26" s="3591" t="s">
        <v>3251</v>
      </c>
      <c r="AT26" s="3591" t="s">
        <v>3244</v>
      </c>
      <c r="AU26" s="3591" t="s">
        <v>3251</v>
      </c>
      <c r="AV26" s="3591" t="s">
        <v>3244</v>
      </c>
      <c r="AW26" s="3591" t="s">
        <v>3244</v>
      </c>
      <c r="AX26" s="3591" t="s">
        <v>3244</v>
      </c>
    </row>
    <row r="27" spans="1:50" s="3223" customFormat="1">
      <c r="A27" s="3591" t="s">
        <v>3431</v>
      </c>
      <c r="B27" s="3591" t="s">
        <v>3240</v>
      </c>
      <c r="C27" s="3591" t="s">
        <v>3432</v>
      </c>
      <c r="D27" s="3591" t="s">
        <v>3242</v>
      </c>
      <c r="E27" s="3591" t="s">
        <v>3243</v>
      </c>
      <c r="F27" s="3591" t="s">
        <v>3270</v>
      </c>
      <c r="G27" s="3591" t="s">
        <v>3433</v>
      </c>
      <c r="H27" s="3591" t="s">
        <v>3246</v>
      </c>
      <c r="I27" s="3591">
        <v>33287.410000000003</v>
      </c>
      <c r="J27" s="3591">
        <v>143135.9</v>
      </c>
      <c r="K27" s="3591" t="s">
        <v>3434</v>
      </c>
      <c r="L27" s="3591" t="s">
        <v>3248</v>
      </c>
      <c r="M27" s="3591" t="s">
        <v>3405</v>
      </c>
      <c r="N27" s="3591" t="s">
        <v>3250</v>
      </c>
      <c r="O27" s="3591" t="s">
        <v>3251</v>
      </c>
      <c r="P27" s="3591" t="s">
        <v>3311</v>
      </c>
      <c r="Q27" s="3591" t="s">
        <v>3244</v>
      </c>
      <c r="R27" s="3591" t="s">
        <v>3244</v>
      </c>
      <c r="S27" s="3591" t="s">
        <v>3244</v>
      </c>
      <c r="T27" s="3591" t="s">
        <v>3244</v>
      </c>
      <c r="U27" s="3591">
        <v>0</v>
      </c>
      <c r="V27" s="3591">
        <v>0</v>
      </c>
      <c r="W27" s="3591">
        <v>0</v>
      </c>
      <c r="X27" s="3591">
        <v>0</v>
      </c>
      <c r="Y27" s="3592">
        <v>41547.000497685185</v>
      </c>
      <c r="Z27" s="3592">
        <v>41568.000497685185</v>
      </c>
      <c r="AA27" s="3592">
        <v>41578.000497685185</v>
      </c>
      <c r="AB27" s="3592">
        <v>41578.000497685185</v>
      </c>
      <c r="AC27" s="3591" t="s">
        <v>3435</v>
      </c>
      <c r="AD27" s="3591" t="s">
        <v>3254</v>
      </c>
      <c r="AE27" s="3591" t="s">
        <v>3430</v>
      </c>
      <c r="AF27" s="3591" t="s">
        <v>3244</v>
      </c>
      <c r="AG27" s="3591">
        <v>2482</v>
      </c>
      <c r="AH27" s="3591">
        <v>500</v>
      </c>
      <c r="AI27" s="3591" t="s">
        <v>1058</v>
      </c>
      <c r="AJ27" s="3591">
        <v>2482</v>
      </c>
      <c r="AK27" s="3591">
        <v>49.71</v>
      </c>
      <c r="AL27" s="3591">
        <v>49.71</v>
      </c>
      <c r="AM27" s="3591">
        <v>173</v>
      </c>
      <c r="AN27" s="3591">
        <v>173</v>
      </c>
      <c r="AO27" s="3591" t="s">
        <v>3244</v>
      </c>
      <c r="AP27" s="3591" t="s">
        <v>3244</v>
      </c>
      <c r="AQ27" s="3591">
        <v>0</v>
      </c>
      <c r="AR27" s="3591" t="s">
        <v>3257</v>
      </c>
      <c r="AS27" s="3591" t="s">
        <v>3251</v>
      </c>
      <c r="AT27" s="3591" t="s">
        <v>3244</v>
      </c>
      <c r="AU27" s="3591" t="s">
        <v>3251</v>
      </c>
      <c r="AV27" s="3591" t="s">
        <v>3244</v>
      </c>
      <c r="AW27" s="3591" t="s">
        <v>3244</v>
      </c>
      <c r="AX27" s="3591" t="s">
        <v>3244</v>
      </c>
    </row>
    <row r="28" spans="1:50">
      <c r="A28" s="3589" t="s">
        <v>3436</v>
      </c>
      <c r="B28" s="3589" t="s">
        <v>3240</v>
      </c>
      <c r="C28" s="3589" t="s">
        <v>3437</v>
      </c>
      <c r="D28" s="3589" t="s">
        <v>3242</v>
      </c>
      <c r="E28" s="3589" t="s">
        <v>3243</v>
      </c>
      <c r="F28" s="3589" t="s">
        <v>3438</v>
      </c>
      <c r="G28" s="3589" t="s">
        <v>3439</v>
      </c>
      <c r="H28" s="3589" t="s">
        <v>3246</v>
      </c>
      <c r="I28" s="3589">
        <v>3955.6</v>
      </c>
      <c r="J28" s="3589">
        <v>1977.8</v>
      </c>
      <c r="K28" s="3589" t="s">
        <v>3440</v>
      </c>
      <c r="L28" s="3589" t="s">
        <v>3248</v>
      </c>
      <c r="M28" s="3589" t="s">
        <v>3441</v>
      </c>
      <c r="N28" s="3589" t="s">
        <v>3250</v>
      </c>
      <c r="O28" s="3589" t="s">
        <v>3251</v>
      </c>
      <c r="P28" s="3589" t="s">
        <v>3244</v>
      </c>
      <c r="Q28" s="3589" t="s">
        <v>3442</v>
      </c>
      <c r="R28" s="3589" t="s">
        <v>3244</v>
      </c>
      <c r="S28" s="3589" t="s">
        <v>3244</v>
      </c>
      <c r="T28" s="3589" t="s">
        <v>3244</v>
      </c>
      <c r="U28" s="3589" t="s">
        <v>3244</v>
      </c>
      <c r="V28" s="3589">
        <v>0</v>
      </c>
      <c r="W28" s="3589">
        <v>0</v>
      </c>
      <c r="X28" s="3589">
        <v>0</v>
      </c>
      <c r="Y28" s="3590">
        <v>41367.000497685185</v>
      </c>
      <c r="Z28" s="3590">
        <v>41389.000497685185</v>
      </c>
      <c r="AA28" s="3590">
        <v>41403.000497685185</v>
      </c>
      <c r="AB28" s="3590">
        <v>41403.000497685185</v>
      </c>
      <c r="AC28" s="3589" t="s">
        <v>3443</v>
      </c>
      <c r="AD28" s="3589" t="s">
        <v>3254</v>
      </c>
      <c r="AE28" s="3589" t="s">
        <v>3444</v>
      </c>
      <c r="AF28" s="3589" t="s">
        <v>3244</v>
      </c>
      <c r="AG28" s="3589">
        <v>3500</v>
      </c>
      <c r="AH28" s="3589">
        <v>700</v>
      </c>
      <c r="AI28" s="3589" t="s">
        <v>1058</v>
      </c>
      <c r="AJ28" s="3589">
        <v>3500</v>
      </c>
      <c r="AK28" s="3589">
        <v>589.88</v>
      </c>
      <c r="AL28" s="3589">
        <v>589.88</v>
      </c>
      <c r="AM28" s="3589">
        <v>17696</v>
      </c>
      <c r="AN28" s="3589">
        <v>17696</v>
      </c>
      <c r="AO28" s="3589" t="s">
        <v>3244</v>
      </c>
      <c r="AP28" s="3589" t="s">
        <v>3244</v>
      </c>
      <c r="AQ28" s="3589">
        <v>0</v>
      </c>
      <c r="AR28" s="3589">
        <v>40</v>
      </c>
      <c r="AS28" s="3589" t="s">
        <v>3251</v>
      </c>
      <c r="AT28" s="3589" t="s">
        <v>3244</v>
      </c>
      <c r="AU28" s="3589" t="s">
        <v>3251</v>
      </c>
      <c r="AV28" s="3589" t="s">
        <v>3244</v>
      </c>
      <c r="AW28" s="3589" t="s">
        <v>3244</v>
      </c>
      <c r="AX28" s="3589" t="s">
        <v>3244</v>
      </c>
    </row>
    <row r="29" spans="1:50">
      <c r="A29" s="3589" t="s">
        <v>3445</v>
      </c>
      <c r="B29" s="3589" t="s">
        <v>3240</v>
      </c>
      <c r="C29" s="3589" t="s">
        <v>3446</v>
      </c>
      <c r="D29" s="3589" t="s">
        <v>3242</v>
      </c>
      <c r="E29" s="3589" t="s">
        <v>3243</v>
      </c>
      <c r="F29" s="3589" t="s">
        <v>3298</v>
      </c>
      <c r="G29" s="3589" t="s">
        <v>3447</v>
      </c>
      <c r="H29" s="3589" t="s">
        <v>3246</v>
      </c>
      <c r="I29" s="3589">
        <v>73005.3</v>
      </c>
      <c r="J29" s="3589">
        <v>109508</v>
      </c>
      <c r="K29" s="3589" t="s">
        <v>3448</v>
      </c>
      <c r="L29" s="3589" t="s">
        <v>3248</v>
      </c>
      <c r="M29" s="3589" t="s">
        <v>3291</v>
      </c>
      <c r="N29" s="3589" t="s">
        <v>3250</v>
      </c>
      <c r="O29" s="3589" t="s">
        <v>3251</v>
      </c>
      <c r="P29" s="3589" t="s">
        <v>3311</v>
      </c>
      <c r="Q29" s="3589" t="s">
        <v>3407</v>
      </c>
      <c r="R29" s="3589" t="s">
        <v>3244</v>
      </c>
      <c r="S29" s="3589" t="s">
        <v>3244</v>
      </c>
      <c r="T29" s="3589" t="s">
        <v>3244</v>
      </c>
      <c r="U29" s="3589" t="s">
        <v>3244</v>
      </c>
      <c r="V29" s="3589">
        <v>0</v>
      </c>
      <c r="W29" s="3589">
        <v>0</v>
      </c>
      <c r="X29" s="3589">
        <v>0</v>
      </c>
      <c r="Y29" s="3590">
        <v>41362.000497685185</v>
      </c>
      <c r="Z29" s="3590">
        <v>41383.000497685185</v>
      </c>
      <c r="AA29" s="3590">
        <v>41394.000497685185</v>
      </c>
      <c r="AB29" s="3590">
        <v>41394.000497685185</v>
      </c>
      <c r="AC29" s="3589" t="s">
        <v>3449</v>
      </c>
      <c r="AD29" s="3589" t="s">
        <v>3254</v>
      </c>
      <c r="AE29" s="3589" t="s">
        <v>3450</v>
      </c>
      <c r="AF29" s="3589" t="s">
        <v>3244</v>
      </c>
      <c r="AG29" s="3589">
        <v>8972</v>
      </c>
      <c r="AH29" s="3589">
        <v>1795</v>
      </c>
      <c r="AI29" s="3589" t="s">
        <v>1058</v>
      </c>
      <c r="AJ29" s="3589">
        <v>8972</v>
      </c>
      <c r="AK29" s="3589">
        <v>81.93</v>
      </c>
      <c r="AL29" s="3589">
        <v>81.93</v>
      </c>
      <c r="AM29" s="3589">
        <v>819</v>
      </c>
      <c r="AN29" s="3589">
        <v>819</v>
      </c>
      <c r="AO29" s="3589" t="s">
        <v>3244</v>
      </c>
      <c r="AP29" s="3589" t="s">
        <v>3244</v>
      </c>
      <c r="AQ29" s="3589">
        <v>0</v>
      </c>
      <c r="AR29" s="3589">
        <v>50</v>
      </c>
      <c r="AS29" s="3589" t="s">
        <v>3251</v>
      </c>
      <c r="AT29" s="3589" t="s">
        <v>3244</v>
      </c>
      <c r="AU29" s="3589" t="s">
        <v>3251</v>
      </c>
      <c r="AV29" s="3589" t="s">
        <v>3244</v>
      </c>
      <c r="AW29" s="3589" t="s">
        <v>3244</v>
      </c>
      <c r="AX29" s="3589" t="s">
        <v>3244</v>
      </c>
    </row>
    <row r="30" spans="1:50">
      <c r="A30" s="3589" t="s">
        <v>3451</v>
      </c>
      <c r="B30" s="3589" t="s">
        <v>3240</v>
      </c>
      <c r="C30" s="3589" t="s">
        <v>3452</v>
      </c>
      <c r="D30" s="3589" t="s">
        <v>3242</v>
      </c>
      <c r="E30" s="3589" t="s">
        <v>3243</v>
      </c>
      <c r="F30" s="3589" t="s">
        <v>3244</v>
      </c>
      <c r="G30" s="3589" t="s">
        <v>3453</v>
      </c>
      <c r="H30" s="3589" t="s">
        <v>3246</v>
      </c>
      <c r="I30" s="3589">
        <v>37138</v>
      </c>
      <c r="J30" s="3589">
        <v>111414</v>
      </c>
      <c r="K30" s="3589" t="s">
        <v>3454</v>
      </c>
      <c r="L30" s="3589" t="s">
        <v>3248</v>
      </c>
      <c r="M30" s="3589" t="s">
        <v>3291</v>
      </c>
      <c r="N30" s="3589" t="s">
        <v>3250</v>
      </c>
      <c r="O30" s="3589" t="s">
        <v>3251</v>
      </c>
      <c r="P30" s="3589" t="s">
        <v>3321</v>
      </c>
      <c r="Q30" s="3589" t="s">
        <v>3455</v>
      </c>
      <c r="R30" s="3589" t="s">
        <v>3244</v>
      </c>
      <c r="S30" s="3589" t="s">
        <v>3244</v>
      </c>
      <c r="T30" s="3589" t="s">
        <v>3244</v>
      </c>
      <c r="U30" s="3589" t="s">
        <v>3244</v>
      </c>
      <c r="V30" s="3589" t="s">
        <v>3244</v>
      </c>
      <c r="W30" s="3589">
        <v>0</v>
      </c>
      <c r="X30" s="3589">
        <v>0</v>
      </c>
      <c r="Y30" s="3590">
        <v>41234.000497685185</v>
      </c>
      <c r="Z30" s="3590">
        <v>41254.000497685185</v>
      </c>
      <c r="AA30" s="3590">
        <v>41264.000497685185</v>
      </c>
      <c r="AB30" s="3590">
        <v>41264.000497685185</v>
      </c>
      <c r="AC30" s="3589" t="s">
        <v>3456</v>
      </c>
      <c r="AD30" s="3589" t="s">
        <v>3254</v>
      </c>
      <c r="AE30" s="3589" t="s">
        <v>3457</v>
      </c>
      <c r="AF30" s="3589" t="s">
        <v>3244</v>
      </c>
      <c r="AG30" s="3589">
        <v>3177</v>
      </c>
      <c r="AH30" s="3589">
        <v>640</v>
      </c>
      <c r="AI30" s="3589" t="s">
        <v>1058</v>
      </c>
      <c r="AJ30" s="3589">
        <v>3177</v>
      </c>
      <c r="AK30" s="3589">
        <v>57.03</v>
      </c>
      <c r="AL30" s="3589">
        <v>57.03</v>
      </c>
      <c r="AM30" s="3589">
        <v>285</v>
      </c>
      <c r="AN30" s="3589">
        <v>285</v>
      </c>
      <c r="AO30" s="3589" t="s">
        <v>3244</v>
      </c>
      <c r="AP30" s="3589" t="s">
        <v>3244</v>
      </c>
      <c r="AQ30" s="3589">
        <v>0</v>
      </c>
      <c r="AR30" s="3589">
        <v>50</v>
      </c>
      <c r="AS30" s="3589" t="s">
        <v>3251</v>
      </c>
      <c r="AT30" s="3589" t="s">
        <v>3244</v>
      </c>
      <c r="AU30" s="3589" t="s">
        <v>3251</v>
      </c>
      <c r="AV30" s="3589" t="s">
        <v>3244</v>
      </c>
      <c r="AW30" s="3589" t="s">
        <v>3244</v>
      </c>
      <c r="AX30" s="3589" t="s">
        <v>3244</v>
      </c>
    </row>
    <row r="31" spans="1:50">
      <c r="A31" s="3589" t="s">
        <v>3458</v>
      </c>
      <c r="B31" s="3589" t="s">
        <v>3240</v>
      </c>
      <c r="C31" s="3589" t="s">
        <v>3459</v>
      </c>
      <c r="D31" s="3589" t="s">
        <v>3242</v>
      </c>
      <c r="E31" s="3589" t="s">
        <v>3243</v>
      </c>
      <c r="F31" s="3589" t="s">
        <v>3244</v>
      </c>
      <c r="G31" s="3589" t="s">
        <v>3460</v>
      </c>
      <c r="H31" s="3589" t="s">
        <v>3246</v>
      </c>
      <c r="I31" s="3589">
        <v>431533.2</v>
      </c>
      <c r="J31" s="3589" t="s">
        <v>3244</v>
      </c>
      <c r="K31" s="3589" t="s">
        <v>3244</v>
      </c>
      <c r="L31" s="3589" t="s">
        <v>3248</v>
      </c>
      <c r="M31" s="3589" t="s">
        <v>3461</v>
      </c>
      <c r="N31" s="3589" t="s">
        <v>3250</v>
      </c>
      <c r="O31" s="3589" t="s">
        <v>3251</v>
      </c>
      <c r="P31" s="3589" t="s">
        <v>3244</v>
      </c>
      <c r="Q31" s="3589" t="s">
        <v>3244</v>
      </c>
      <c r="R31" s="3589" t="s">
        <v>3244</v>
      </c>
      <c r="S31" s="3589" t="s">
        <v>3244</v>
      </c>
      <c r="T31" s="3589" t="s">
        <v>3244</v>
      </c>
      <c r="U31" s="3589" t="s">
        <v>3244</v>
      </c>
      <c r="V31" s="3589" t="s">
        <v>3244</v>
      </c>
      <c r="W31" s="3589">
        <v>0</v>
      </c>
      <c r="X31" s="3589">
        <v>0</v>
      </c>
      <c r="Y31" s="3590">
        <v>41234.000497685185</v>
      </c>
      <c r="Z31" s="3590">
        <v>41254.000497685185</v>
      </c>
      <c r="AA31" s="3590">
        <v>41264.000497685185</v>
      </c>
      <c r="AB31" s="3590">
        <v>41264.000497685185</v>
      </c>
      <c r="AC31" s="3589" t="s">
        <v>3462</v>
      </c>
      <c r="AD31" s="3589" t="s">
        <v>3254</v>
      </c>
      <c r="AE31" s="3589" t="s">
        <v>3463</v>
      </c>
      <c r="AF31" s="3589" t="s">
        <v>3244</v>
      </c>
      <c r="AG31" s="3589">
        <v>14500</v>
      </c>
      <c r="AH31" s="3589">
        <v>2900</v>
      </c>
      <c r="AI31" s="3589" t="s">
        <v>1058</v>
      </c>
      <c r="AJ31" s="3589">
        <v>14500</v>
      </c>
      <c r="AK31" s="3589">
        <v>22.4</v>
      </c>
      <c r="AL31" s="3589">
        <v>22.4</v>
      </c>
      <c r="AM31" s="3589" t="s">
        <v>3244</v>
      </c>
      <c r="AN31" s="3589" t="s">
        <v>3244</v>
      </c>
      <c r="AO31" s="3589" t="s">
        <v>3244</v>
      </c>
      <c r="AP31" s="3589" t="s">
        <v>3244</v>
      </c>
      <c r="AQ31" s="3589">
        <v>0</v>
      </c>
      <c r="AR31" s="3589">
        <v>50</v>
      </c>
      <c r="AS31" s="3589" t="s">
        <v>3251</v>
      </c>
      <c r="AT31" s="3589" t="s">
        <v>3244</v>
      </c>
      <c r="AU31" s="3589" t="s">
        <v>3251</v>
      </c>
      <c r="AV31" s="3589" t="s">
        <v>3244</v>
      </c>
      <c r="AW31" s="3589" t="s">
        <v>3244</v>
      </c>
      <c r="AX31" s="3589" t="s">
        <v>3244</v>
      </c>
    </row>
    <row r="32" spans="1:50">
      <c r="A32" s="3589" t="s">
        <v>3464</v>
      </c>
      <c r="B32" s="3589" t="s">
        <v>3240</v>
      </c>
      <c r="C32" s="3589" t="s">
        <v>3465</v>
      </c>
      <c r="D32" s="3589" t="s">
        <v>3242</v>
      </c>
      <c r="E32" s="3589" t="s">
        <v>3243</v>
      </c>
      <c r="F32" s="3589" t="s">
        <v>3244</v>
      </c>
      <c r="G32" s="3589" t="s">
        <v>3466</v>
      </c>
      <c r="H32" s="3589" t="s">
        <v>3246</v>
      </c>
      <c r="I32" s="3589">
        <v>38979.9</v>
      </c>
      <c r="J32" s="3589">
        <v>155919.6</v>
      </c>
      <c r="K32" s="3589" t="s">
        <v>3467</v>
      </c>
      <c r="L32" s="3589" t="s">
        <v>3248</v>
      </c>
      <c r="M32" s="3589" t="s">
        <v>3291</v>
      </c>
      <c r="N32" s="3589" t="s">
        <v>3250</v>
      </c>
      <c r="O32" s="3589" t="s">
        <v>3251</v>
      </c>
      <c r="P32" s="3589" t="s">
        <v>3263</v>
      </c>
      <c r="Q32" s="3589" t="s">
        <v>3280</v>
      </c>
      <c r="R32" s="3589" t="s">
        <v>3244</v>
      </c>
      <c r="S32" s="3589" t="s">
        <v>3244</v>
      </c>
      <c r="T32" s="3589" t="s">
        <v>3244</v>
      </c>
      <c r="U32" s="3589" t="s">
        <v>3244</v>
      </c>
      <c r="V32" s="3589" t="s">
        <v>3244</v>
      </c>
      <c r="W32" s="3589">
        <v>0</v>
      </c>
      <c r="X32" s="3589">
        <v>0</v>
      </c>
      <c r="Y32" s="3590">
        <v>41234.000497685185</v>
      </c>
      <c r="Z32" s="3590">
        <v>41254.000497685185</v>
      </c>
      <c r="AA32" s="3590">
        <v>41264.000497685185</v>
      </c>
      <c r="AB32" s="3590">
        <v>41264.000497685185</v>
      </c>
      <c r="AC32" s="3589" t="s">
        <v>3468</v>
      </c>
      <c r="AD32" s="3589" t="s">
        <v>3254</v>
      </c>
      <c r="AE32" s="3589" t="s">
        <v>3469</v>
      </c>
      <c r="AF32" s="3589" t="s">
        <v>3244</v>
      </c>
      <c r="AG32" s="3589">
        <v>7122</v>
      </c>
      <c r="AH32" s="3589">
        <v>1425</v>
      </c>
      <c r="AI32" s="3589" t="s">
        <v>1058</v>
      </c>
      <c r="AJ32" s="3589">
        <v>7122</v>
      </c>
      <c r="AK32" s="3589">
        <v>121.81</v>
      </c>
      <c r="AL32" s="3589">
        <v>121.81</v>
      </c>
      <c r="AM32" s="3589">
        <v>457</v>
      </c>
      <c r="AN32" s="3589">
        <v>457</v>
      </c>
      <c r="AO32" s="3589" t="s">
        <v>3244</v>
      </c>
      <c r="AP32" s="3589" t="s">
        <v>3244</v>
      </c>
      <c r="AQ32" s="3589">
        <v>0</v>
      </c>
      <c r="AR32" s="3589">
        <v>50</v>
      </c>
      <c r="AS32" s="3589" t="s">
        <v>3251</v>
      </c>
      <c r="AT32" s="3589" t="s">
        <v>3244</v>
      </c>
      <c r="AU32" s="3589" t="s">
        <v>3251</v>
      </c>
      <c r="AV32" s="3589" t="s">
        <v>3244</v>
      </c>
      <c r="AW32" s="3589" t="s">
        <v>3244</v>
      </c>
      <c r="AX32" s="3589" t="s">
        <v>3244</v>
      </c>
    </row>
    <row r="33" spans="1:50">
      <c r="A33" s="3589" t="s">
        <v>3470</v>
      </c>
      <c r="B33" s="3589" t="s">
        <v>3240</v>
      </c>
      <c r="C33" s="3589" t="s">
        <v>3471</v>
      </c>
      <c r="D33" s="3589" t="s">
        <v>3242</v>
      </c>
      <c r="E33" s="3589" t="s">
        <v>3243</v>
      </c>
      <c r="F33" s="3589" t="s">
        <v>3244</v>
      </c>
      <c r="G33" s="3589" t="s">
        <v>3472</v>
      </c>
      <c r="H33" s="3589" t="s">
        <v>3246</v>
      </c>
      <c r="I33" s="3589">
        <v>1078138</v>
      </c>
      <c r="J33" s="3589" t="s">
        <v>3244</v>
      </c>
      <c r="K33" s="3589" t="s">
        <v>3244</v>
      </c>
      <c r="L33" s="3589" t="s">
        <v>3248</v>
      </c>
      <c r="M33" s="3589" t="s">
        <v>3461</v>
      </c>
      <c r="N33" s="3589" t="s">
        <v>3250</v>
      </c>
      <c r="O33" s="3589" t="s">
        <v>3251</v>
      </c>
      <c r="P33" s="3589" t="s">
        <v>3244</v>
      </c>
      <c r="Q33" s="3589" t="s">
        <v>3244</v>
      </c>
      <c r="R33" s="3589" t="s">
        <v>3244</v>
      </c>
      <c r="S33" s="3589" t="s">
        <v>3244</v>
      </c>
      <c r="T33" s="3589" t="s">
        <v>3244</v>
      </c>
      <c r="U33" s="3589" t="s">
        <v>3244</v>
      </c>
      <c r="V33" s="3589" t="s">
        <v>3244</v>
      </c>
      <c r="W33" s="3589">
        <v>0</v>
      </c>
      <c r="X33" s="3589">
        <v>0</v>
      </c>
      <c r="Y33" s="3590">
        <v>41234.000497685185</v>
      </c>
      <c r="Z33" s="3590">
        <v>41254.000497685185</v>
      </c>
      <c r="AA33" s="3590">
        <v>41264.000497685185</v>
      </c>
      <c r="AB33" s="3590">
        <v>41264.000497685185</v>
      </c>
      <c r="AC33" s="3589" t="s">
        <v>3473</v>
      </c>
      <c r="AD33" s="3589" t="s">
        <v>3254</v>
      </c>
      <c r="AE33" s="3589" t="s">
        <v>3463</v>
      </c>
      <c r="AF33" s="3589" t="s">
        <v>3244</v>
      </c>
      <c r="AG33" s="3589">
        <v>36230</v>
      </c>
      <c r="AH33" s="3589">
        <v>7246</v>
      </c>
      <c r="AI33" s="3589" t="s">
        <v>1058</v>
      </c>
      <c r="AJ33" s="3589">
        <v>36230</v>
      </c>
      <c r="AK33" s="3589">
        <v>22.4</v>
      </c>
      <c r="AL33" s="3589">
        <v>22.4</v>
      </c>
      <c r="AM33" s="3589" t="s">
        <v>3244</v>
      </c>
      <c r="AN33" s="3589" t="s">
        <v>3244</v>
      </c>
      <c r="AO33" s="3589" t="s">
        <v>3244</v>
      </c>
      <c r="AP33" s="3589" t="s">
        <v>3244</v>
      </c>
      <c r="AQ33" s="3589">
        <v>0</v>
      </c>
      <c r="AR33" s="3589">
        <v>50</v>
      </c>
      <c r="AS33" s="3589" t="s">
        <v>3251</v>
      </c>
      <c r="AT33" s="3589" t="s">
        <v>3244</v>
      </c>
      <c r="AU33" s="3589" t="s">
        <v>3251</v>
      </c>
      <c r="AV33" s="3589" t="s">
        <v>3244</v>
      </c>
      <c r="AW33" s="3589" t="s">
        <v>3244</v>
      </c>
      <c r="AX33" s="3589" t="s">
        <v>3244</v>
      </c>
    </row>
    <row r="34" spans="1:50">
      <c r="A34" s="3589" t="s">
        <v>3474</v>
      </c>
      <c r="B34" s="3589" t="s">
        <v>3240</v>
      </c>
      <c r="C34" s="3589" t="s">
        <v>3475</v>
      </c>
      <c r="D34" s="3589" t="s">
        <v>3242</v>
      </c>
      <c r="E34" s="3589" t="s">
        <v>3243</v>
      </c>
      <c r="F34" s="3589" t="s">
        <v>3244</v>
      </c>
      <c r="G34" s="3589" t="s">
        <v>3476</v>
      </c>
      <c r="H34" s="3589" t="s">
        <v>3246</v>
      </c>
      <c r="I34" s="3589">
        <v>23090.1</v>
      </c>
      <c r="J34" s="3589">
        <v>115450.5</v>
      </c>
      <c r="K34" s="3589" t="s">
        <v>3477</v>
      </c>
      <c r="L34" s="3589" t="s">
        <v>3248</v>
      </c>
      <c r="M34" s="3589" t="s">
        <v>3478</v>
      </c>
      <c r="N34" s="3589" t="s">
        <v>3250</v>
      </c>
      <c r="O34" s="3589" t="s">
        <v>3251</v>
      </c>
      <c r="P34" s="3589" t="s">
        <v>3479</v>
      </c>
      <c r="Q34" s="3589" t="s">
        <v>3244</v>
      </c>
      <c r="R34" s="3589" t="s">
        <v>3244</v>
      </c>
      <c r="S34" s="3589" t="s">
        <v>3244</v>
      </c>
      <c r="T34" s="3589" t="s">
        <v>3244</v>
      </c>
      <c r="U34" s="3589">
        <v>0</v>
      </c>
      <c r="V34" s="3589">
        <v>0</v>
      </c>
      <c r="W34" s="3589">
        <v>0</v>
      </c>
      <c r="X34" s="3589">
        <v>0</v>
      </c>
      <c r="Y34" s="3589" t="s">
        <v>3244</v>
      </c>
      <c r="Z34" s="3590">
        <v>41193.000497685185</v>
      </c>
      <c r="AA34" s="3590">
        <v>41206.000497685185</v>
      </c>
      <c r="AB34" s="3590">
        <v>41206.000497685185</v>
      </c>
      <c r="AC34" s="3589" t="s">
        <v>3244</v>
      </c>
      <c r="AD34" s="3589" t="s">
        <v>3254</v>
      </c>
      <c r="AE34" s="3589" t="s">
        <v>3371</v>
      </c>
      <c r="AF34" s="3589" t="s">
        <v>3244</v>
      </c>
      <c r="AG34" s="3589">
        <v>2460</v>
      </c>
      <c r="AH34" s="3589">
        <v>500</v>
      </c>
      <c r="AI34" s="3589" t="s">
        <v>1058</v>
      </c>
      <c r="AJ34" s="3589">
        <v>2460</v>
      </c>
      <c r="AK34" s="3589">
        <v>71.03</v>
      </c>
      <c r="AL34" s="3589">
        <v>71.03</v>
      </c>
      <c r="AM34" s="3589">
        <v>213</v>
      </c>
      <c r="AN34" s="3589">
        <v>213</v>
      </c>
      <c r="AO34" s="3589" t="s">
        <v>3244</v>
      </c>
      <c r="AP34" s="3589" t="s">
        <v>3244</v>
      </c>
      <c r="AQ34" s="3589">
        <v>0</v>
      </c>
      <c r="AR34" s="3589">
        <v>50</v>
      </c>
      <c r="AS34" s="3589" t="s">
        <v>3251</v>
      </c>
      <c r="AT34" s="3589" t="s">
        <v>3244</v>
      </c>
      <c r="AU34" s="3589" t="s">
        <v>3251</v>
      </c>
      <c r="AV34" s="3589" t="s">
        <v>3244</v>
      </c>
      <c r="AW34" s="3589" t="s">
        <v>3244</v>
      </c>
      <c r="AX34" s="3589" t="s">
        <v>3244</v>
      </c>
    </row>
    <row r="35" spans="1:50">
      <c r="A35" s="3589" t="s">
        <v>3480</v>
      </c>
      <c r="B35" s="3589" t="s">
        <v>3240</v>
      </c>
      <c r="C35" s="3589" t="s">
        <v>3481</v>
      </c>
      <c r="D35" s="3589" t="s">
        <v>3242</v>
      </c>
      <c r="E35" s="3589" t="s">
        <v>3243</v>
      </c>
      <c r="F35" s="3589" t="s">
        <v>3244</v>
      </c>
      <c r="G35" s="3589" t="s">
        <v>3482</v>
      </c>
      <c r="H35" s="3589" t="s">
        <v>3246</v>
      </c>
      <c r="I35" s="3589">
        <v>4664</v>
      </c>
      <c r="J35" s="3589">
        <v>1865.6</v>
      </c>
      <c r="K35" s="3589" t="s">
        <v>3483</v>
      </c>
      <c r="L35" s="3589" t="s">
        <v>3248</v>
      </c>
      <c r="M35" s="3589" t="s">
        <v>3441</v>
      </c>
      <c r="N35" s="3589" t="s">
        <v>3250</v>
      </c>
      <c r="O35" s="3589" t="s">
        <v>3251</v>
      </c>
      <c r="P35" s="3589" t="s">
        <v>3244</v>
      </c>
      <c r="Q35" s="3589" t="s">
        <v>3252</v>
      </c>
      <c r="R35" s="3589" t="s">
        <v>3244</v>
      </c>
      <c r="S35" s="3589" t="s">
        <v>3244</v>
      </c>
      <c r="T35" s="3589" t="s">
        <v>3244</v>
      </c>
      <c r="U35" s="3589" t="s">
        <v>3244</v>
      </c>
      <c r="V35" s="3589" t="s">
        <v>3244</v>
      </c>
      <c r="W35" s="3589">
        <v>0</v>
      </c>
      <c r="X35" s="3589">
        <v>0</v>
      </c>
      <c r="Y35" s="3589" t="s">
        <v>3244</v>
      </c>
      <c r="Z35" s="3590">
        <v>41108.000497685185</v>
      </c>
      <c r="AA35" s="3590">
        <v>41121.000497685185</v>
      </c>
      <c r="AB35" s="3590">
        <v>41121.000497685185</v>
      </c>
      <c r="AC35" s="3589" t="s">
        <v>3244</v>
      </c>
      <c r="AD35" s="3589" t="s">
        <v>3254</v>
      </c>
      <c r="AE35" s="3589" t="s">
        <v>3484</v>
      </c>
      <c r="AF35" s="3589" t="s">
        <v>3244</v>
      </c>
      <c r="AG35" s="3589">
        <v>3530</v>
      </c>
      <c r="AH35" s="3589">
        <v>750</v>
      </c>
      <c r="AI35" s="3589" t="s">
        <v>1058</v>
      </c>
      <c r="AJ35" s="3589">
        <v>3530</v>
      </c>
      <c r="AK35" s="3589">
        <v>504.57</v>
      </c>
      <c r="AL35" s="3589">
        <v>504.57</v>
      </c>
      <c r="AM35" s="3589">
        <v>18922</v>
      </c>
      <c r="AN35" s="3589">
        <v>18922</v>
      </c>
      <c r="AO35" s="3589" t="s">
        <v>3244</v>
      </c>
      <c r="AP35" s="3589" t="s">
        <v>3244</v>
      </c>
      <c r="AQ35" s="3589">
        <v>0</v>
      </c>
      <c r="AR35" s="3589">
        <v>40</v>
      </c>
      <c r="AS35" s="3589" t="s">
        <v>3251</v>
      </c>
      <c r="AT35" s="3589" t="s">
        <v>3244</v>
      </c>
      <c r="AU35" s="3589" t="s">
        <v>3251</v>
      </c>
      <c r="AV35" s="3589" t="s">
        <v>3244</v>
      </c>
      <c r="AW35" s="3589" t="s">
        <v>3244</v>
      </c>
      <c r="AX35" s="3589" t="s">
        <v>3244</v>
      </c>
    </row>
    <row r="36" spans="1:50">
      <c r="A36" s="3589" t="s">
        <v>3485</v>
      </c>
      <c r="B36" s="3589" t="s">
        <v>3240</v>
      </c>
      <c r="C36" s="3589" t="s">
        <v>3486</v>
      </c>
      <c r="D36" s="3589" t="s">
        <v>3242</v>
      </c>
      <c r="E36" s="3589" t="s">
        <v>3243</v>
      </c>
      <c r="F36" s="3589" t="s">
        <v>3487</v>
      </c>
      <c r="G36" s="3589" t="s">
        <v>3488</v>
      </c>
      <c r="H36" s="3589" t="s">
        <v>3246</v>
      </c>
      <c r="I36" s="3589">
        <v>3355.3</v>
      </c>
      <c r="J36" s="3589">
        <v>1342.12</v>
      </c>
      <c r="K36" s="3589" t="s">
        <v>3483</v>
      </c>
      <c r="L36" s="3589" t="s">
        <v>3248</v>
      </c>
      <c r="M36" s="3589" t="s">
        <v>3441</v>
      </c>
      <c r="N36" s="3589" t="s">
        <v>3250</v>
      </c>
      <c r="O36" s="3589" t="s">
        <v>3251</v>
      </c>
      <c r="P36" s="3589" t="s">
        <v>3244</v>
      </c>
      <c r="Q36" s="3589" t="s">
        <v>3252</v>
      </c>
      <c r="R36" s="3589" t="s">
        <v>3244</v>
      </c>
      <c r="S36" s="3589" t="s">
        <v>3244</v>
      </c>
      <c r="T36" s="3589" t="s">
        <v>3244</v>
      </c>
      <c r="U36" s="3589" t="s">
        <v>3244</v>
      </c>
      <c r="V36" s="3589" t="s">
        <v>3244</v>
      </c>
      <c r="W36" s="3589">
        <v>0</v>
      </c>
      <c r="X36" s="3589">
        <v>0</v>
      </c>
      <c r="Y36" s="3589" t="s">
        <v>3244</v>
      </c>
      <c r="Z36" s="3590">
        <v>41079.000497685185</v>
      </c>
      <c r="AA36" s="3590">
        <v>41089.000497685185</v>
      </c>
      <c r="AB36" s="3590">
        <v>41089.000497685185</v>
      </c>
      <c r="AC36" s="3589" t="s">
        <v>3244</v>
      </c>
      <c r="AD36" s="3589" t="s">
        <v>3254</v>
      </c>
      <c r="AE36" s="3589" t="s">
        <v>3444</v>
      </c>
      <c r="AF36" s="3589" t="s">
        <v>3244</v>
      </c>
      <c r="AG36" s="3589">
        <v>2350</v>
      </c>
      <c r="AH36" s="3589">
        <v>500</v>
      </c>
      <c r="AI36" s="3589" t="s">
        <v>1058</v>
      </c>
      <c r="AJ36" s="3589">
        <v>2350</v>
      </c>
      <c r="AK36" s="3589">
        <v>466.92</v>
      </c>
      <c r="AL36" s="3589">
        <v>466.92</v>
      </c>
      <c r="AM36" s="3589">
        <v>17510</v>
      </c>
      <c r="AN36" s="3589">
        <v>17510</v>
      </c>
      <c r="AO36" s="3589" t="s">
        <v>3244</v>
      </c>
      <c r="AP36" s="3589" t="s">
        <v>3244</v>
      </c>
      <c r="AQ36" s="3589">
        <v>0</v>
      </c>
      <c r="AR36" s="3589">
        <v>40</v>
      </c>
      <c r="AS36" s="3589" t="s">
        <v>3251</v>
      </c>
      <c r="AT36" s="3589" t="s">
        <v>3244</v>
      </c>
      <c r="AU36" s="3589" t="s">
        <v>3251</v>
      </c>
      <c r="AV36" s="3589" t="s">
        <v>3244</v>
      </c>
      <c r="AW36" s="3589" t="s">
        <v>3244</v>
      </c>
      <c r="AX36" s="3589" t="s">
        <v>3244</v>
      </c>
    </row>
    <row r="37" spans="1:50">
      <c r="A37" s="3589" t="s">
        <v>3489</v>
      </c>
      <c r="B37" s="3589" t="s">
        <v>3240</v>
      </c>
      <c r="C37" s="3589" t="s">
        <v>3490</v>
      </c>
      <c r="D37" s="3589" t="s">
        <v>3242</v>
      </c>
      <c r="E37" s="3589" t="s">
        <v>3243</v>
      </c>
      <c r="F37" s="3589" t="s">
        <v>3244</v>
      </c>
      <c r="G37" s="3589" t="s">
        <v>3491</v>
      </c>
      <c r="H37" s="3589" t="s">
        <v>3246</v>
      </c>
      <c r="I37" s="3589">
        <v>24420.400000000001</v>
      </c>
      <c r="J37" s="3589">
        <v>31746.52</v>
      </c>
      <c r="K37" s="3589" t="s">
        <v>3492</v>
      </c>
      <c r="L37" s="3589" t="s">
        <v>3248</v>
      </c>
      <c r="M37" s="3589" t="s">
        <v>3291</v>
      </c>
      <c r="N37" s="3589" t="s">
        <v>3250</v>
      </c>
      <c r="O37" s="3589" t="s">
        <v>3251</v>
      </c>
      <c r="P37" s="3589" t="s">
        <v>3311</v>
      </c>
      <c r="Q37" s="3589" t="s">
        <v>3244</v>
      </c>
      <c r="R37" s="3589" t="s">
        <v>3244</v>
      </c>
      <c r="S37" s="3589" t="s">
        <v>3244</v>
      </c>
      <c r="T37" s="3589" t="s">
        <v>3244</v>
      </c>
      <c r="U37" s="3589" t="s">
        <v>3244</v>
      </c>
      <c r="V37" s="3589" t="s">
        <v>3244</v>
      </c>
      <c r="W37" s="3589">
        <v>0</v>
      </c>
      <c r="X37" s="3589">
        <v>0</v>
      </c>
      <c r="Y37" s="3589" t="s">
        <v>3244</v>
      </c>
      <c r="Z37" s="3590">
        <v>40981.000497685185</v>
      </c>
      <c r="AA37" s="3590">
        <v>40991.000497685185</v>
      </c>
      <c r="AB37" s="3590">
        <v>40991.000497685185</v>
      </c>
      <c r="AC37" s="3589" t="s">
        <v>3244</v>
      </c>
      <c r="AD37" s="3589" t="s">
        <v>3254</v>
      </c>
      <c r="AE37" s="3589" t="s">
        <v>3493</v>
      </c>
      <c r="AF37" s="3589" t="s">
        <v>3244</v>
      </c>
      <c r="AG37" s="3589">
        <v>1100</v>
      </c>
      <c r="AH37" s="3589">
        <v>220</v>
      </c>
      <c r="AI37" s="3589" t="s">
        <v>1058</v>
      </c>
      <c r="AJ37" s="3589">
        <v>1100</v>
      </c>
      <c r="AK37" s="3589">
        <v>30.03</v>
      </c>
      <c r="AL37" s="3589">
        <v>30.03</v>
      </c>
      <c r="AM37" s="3589">
        <v>346</v>
      </c>
      <c r="AN37" s="3589">
        <v>346</v>
      </c>
      <c r="AO37" s="3589" t="s">
        <v>3244</v>
      </c>
      <c r="AP37" s="3589" t="s">
        <v>3244</v>
      </c>
      <c r="AQ37" s="3589">
        <v>0</v>
      </c>
      <c r="AR37" s="3589" t="s">
        <v>3257</v>
      </c>
      <c r="AS37" s="3589" t="s">
        <v>3251</v>
      </c>
      <c r="AT37" s="3589" t="s">
        <v>3244</v>
      </c>
      <c r="AU37" s="3589" t="s">
        <v>3251</v>
      </c>
      <c r="AV37" s="3589" t="s">
        <v>3244</v>
      </c>
      <c r="AW37" s="3589" t="s">
        <v>3244</v>
      </c>
      <c r="AX37" s="3589" t="s">
        <v>3244</v>
      </c>
    </row>
    <row r="38" spans="1:50">
      <c r="A38" s="3589" t="s">
        <v>3494</v>
      </c>
      <c r="B38" s="3589" t="s">
        <v>3240</v>
      </c>
      <c r="C38" s="3589" t="s">
        <v>3495</v>
      </c>
      <c r="D38" s="3589" t="s">
        <v>3242</v>
      </c>
      <c r="E38" s="3589" t="s">
        <v>3243</v>
      </c>
      <c r="F38" s="3589" t="s">
        <v>3244</v>
      </c>
      <c r="G38" s="3589" t="s">
        <v>3496</v>
      </c>
      <c r="H38" s="3589" t="s">
        <v>3246</v>
      </c>
      <c r="I38" s="3589">
        <v>53404.4</v>
      </c>
      <c r="J38" s="3589">
        <v>96127.92</v>
      </c>
      <c r="K38" s="3589" t="s">
        <v>3272</v>
      </c>
      <c r="L38" s="3589" t="s">
        <v>3248</v>
      </c>
      <c r="M38" s="3589" t="s">
        <v>3478</v>
      </c>
      <c r="N38" s="3589" t="s">
        <v>3250</v>
      </c>
      <c r="O38" s="3589" t="s">
        <v>3251</v>
      </c>
      <c r="P38" s="3589" t="s">
        <v>3311</v>
      </c>
      <c r="Q38" s="3589" t="s">
        <v>3244</v>
      </c>
      <c r="R38" s="3589" t="s">
        <v>3244</v>
      </c>
      <c r="S38" s="3589" t="s">
        <v>3244</v>
      </c>
      <c r="T38" s="3589" t="s">
        <v>3244</v>
      </c>
      <c r="U38" s="3589" t="s">
        <v>3244</v>
      </c>
      <c r="V38" s="3589" t="s">
        <v>3244</v>
      </c>
      <c r="W38" s="3589">
        <v>0</v>
      </c>
      <c r="X38" s="3589">
        <v>0</v>
      </c>
      <c r="Y38" s="3589" t="s">
        <v>3244</v>
      </c>
      <c r="Z38" s="3590">
        <v>40952.000497685185</v>
      </c>
      <c r="AA38" s="3590">
        <v>40962.000497685185</v>
      </c>
      <c r="AB38" s="3590">
        <v>40962.000497685185</v>
      </c>
      <c r="AC38" s="3589" t="s">
        <v>3244</v>
      </c>
      <c r="AD38" s="3589" t="s">
        <v>3254</v>
      </c>
      <c r="AE38" s="3589" t="s">
        <v>3497</v>
      </c>
      <c r="AF38" s="3589" t="s">
        <v>3244</v>
      </c>
      <c r="AG38" s="3589">
        <v>2450</v>
      </c>
      <c r="AH38" s="3589">
        <v>485</v>
      </c>
      <c r="AI38" s="3589" t="s">
        <v>1058</v>
      </c>
      <c r="AJ38" s="3589">
        <v>2450</v>
      </c>
      <c r="AK38" s="3589">
        <v>30.58</v>
      </c>
      <c r="AL38" s="3589">
        <v>30.58</v>
      </c>
      <c r="AM38" s="3589">
        <v>255</v>
      </c>
      <c r="AN38" s="3589">
        <v>255</v>
      </c>
      <c r="AO38" s="3589" t="s">
        <v>3244</v>
      </c>
      <c r="AP38" s="3589" t="s">
        <v>3244</v>
      </c>
      <c r="AQ38" s="3589">
        <v>0</v>
      </c>
      <c r="AR38" s="3589" t="s">
        <v>3257</v>
      </c>
      <c r="AS38" s="3589" t="s">
        <v>3251</v>
      </c>
      <c r="AT38" s="3589" t="s">
        <v>3244</v>
      </c>
      <c r="AU38" s="3589" t="s">
        <v>3251</v>
      </c>
      <c r="AV38" s="3589" t="s">
        <v>3244</v>
      </c>
      <c r="AW38" s="3589" t="s">
        <v>3244</v>
      </c>
      <c r="AX38" s="3589" t="s">
        <v>3244</v>
      </c>
    </row>
    <row r="39" spans="1:50">
      <c r="A39" s="3589" t="s">
        <v>3498</v>
      </c>
      <c r="B39" s="3589" t="s">
        <v>3240</v>
      </c>
      <c r="C39" s="3589" t="s">
        <v>3499</v>
      </c>
      <c r="D39" s="3589" t="s">
        <v>3242</v>
      </c>
      <c r="E39" s="3589" t="s">
        <v>3243</v>
      </c>
      <c r="F39" s="3589" t="s">
        <v>3260</v>
      </c>
      <c r="G39" s="3589" t="s">
        <v>3500</v>
      </c>
      <c r="H39" s="3589" t="s">
        <v>3246</v>
      </c>
      <c r="I39" s="3589">
        <v>53083.6</v>
      </c>
      <c r="J39" s="3589">
        <v>26541.8</v>
      </c>
      <c r="K39" s="3589" t="s">
        <v>3440</v>
      </c>
      <c r="L39" s="3589" t="s">
        <v>3248</v>
      </c>
      <c r="M39" s="3589" t="s">
        <v>3501</v>
      </c>
      <c r="N39" s="3589" t="s">
        <v>3250</v>
      </c>
      <c r="O39" s="3589" t="s">
        <v>3251</v>
      </c>
      <c r="P39" s="3589" t="s">
        <v>3244</v>
      </c>
      <c r="Q39" s="3589" t="s">
        <v>3244</v>
      </c>
      <c r="R39" s="3589" t="s">
        <v>3244</v>
      </c>
      <c r="S39" s="3589" t="s">
        <v>3244</v>
      </c>
      <c r="T39" s="3589" t="s">
        <v>3244</v>
      </c>
      <c r="U39" s="3589" t="s">
        <v>3244</v>
      </c>
      <c r="V39" s="3589" t="s">
        <v>3244</v>
      </c>
      <c r="W39" s="3589">
        <v>0</v>
      </c>
      <c r="X39" s="3589">
        <v>0</v>
      </c>
      <c r="Y39" s="3589" t="s">
        <v>3244</v>
      </c>
      <c r="Z39" s="3590">
        <v>40855.000497685185</v>
      </c>
      <c r="AA39" s="3590">
        <v>40864.000497685185</v>
      </c>
      <c r="AB39" s="3590">
        <v>40864.000497685185</v>
      </c>
      <c r="AC39" s="3589" t="s">
        <v>3244</v>
      </c>
      <c r="AD39" s="3589" t="s">
        <v>3254</v>
      </c>
      <c r="AE39" s="3589" t="s">
        <v>3400</v>
      </c>
      <c r="AF39" s="3589" t="s">
        <v>3244</v>
      </c>
      <c r="AG39" s="3589">
        <v>10600</v>
      </c>
      <c r="AH39" s="3589">
        <v>2200</v>
      </c>
      <c r="AI39" s="3589" t="s">
        <v>1058</v>
      </c>
      <c r="AJ39" s="3589">
        <v>10600</v>
      </c>
      <c r="AK39" s="3589">
        <v>133.12</v>
      </c>
      <c r="AL39" s="3589">
        <v>133.12</v>
      </c>
      <c r="AM39" s="3589">
        <v>3994</v>
      </c>
      <c r="AN39" s="3589">
        <v>3994</v>
      </c>
      <c r="AO39" s="3589" t="s">
        <v>3244</v>
      </c>
      <c r="AP39" s="3589" t="s">
        <v>3244</v>
      </c>
      <c r="AQ39" s="3589">
        <v>0</v>
      </c>
      <c r="AR39" s="3589" t="s">
        <v>3257</v>
      </c>
      <c r="AS39" s="3589" t="s">
        <v>3251</v>
      </c>
      <c r="AT39" s="3589" t="s">
        <v>3244</v>
      </c>
      <c r="AU39" s="3589" t="s">
        <v>3251</v>
      </c>
      <c r="AV39" s="3589" t="s">
        <v>3244</v>
      </c>
      <c r="AW39" s="3589" t="s">
        <v>3244</v>
      </c>
      <c r="AX39" s="3589" t="s">
        <v>3244</v>
      </c>
    </row>
    <row r="40" spans="1:50">
      <c r="A40" s="3589" t="s">
        <v>3502</v>
      </c>
      <c r="B40" s="3589" t="s">
        <v>3240</v>
      </c>
      <c r="C40" s="3589" t="s">
        <v>3503</v>
      </c>
      <c r="D40" s="3589" t="s">
        <v>3242</v>
      </c>
      <c r="E40" s="3589" t="s">
        <v>3243</v>
      </c>
      <c r="F40" s="3589" t="s">
        <v>3298</v>
      </c>
      <c r="G40" s="3589" t="s">
        <v>3504</v>
      </c>
      <c r="H40" s="3589" t="s">
        <v>3246</v>
      </c>
      <c r="I40" s="3589">
        <v>7951.2</v>
      </c>
      <c r="J40" s="3589">
        <v>11926.8</v>
      </c>
      <c r="K40" s="3589" t="s">
        <v>3505</v>
      </c>
      <c r="L40" s="3589" t="s">
        <v>3248</v>
      </c>
      <c r="M40" s="3589" t="s">
        <v>3506</v>
      </c>
      <c r="N40" s="3589" t="s">
        <v>3250</v>
      </c>
      <c r="O40" s="3589" t="s">
        <v>3251</v>
      </c>
      <c r="P40" s="3589" t="s">
        <v>3273</v>
      </c>
      <c r="Q40" s="3589" t="s">
        <v>3244</v>
      </c>
      <c r="R40" s="3589" t="s">
        <v>3244</v>
      </c>
      <c r="S40" s="3589" t="s">
        <v>3244</v>
      </c>
      <c r="T40" s="3589" t="s">
        <v>3244</v>
      </c>
      <c r="U40" s="3589" t="s">
        <v>3244</v>
      </c>
      <c r="V40" s="3589" t="s">
        <v>3244</v>
      </c>
      <c r="W40" s="3589">
        <v>0</v>
      </c>
      <c r="X40" s="3589">
        <v>0</v>
      </c>
      <c r="Y40" s="3589" t="s">
        <v>3244</v>
      </c>
      <c r="Z40" s="3590">
        <v>40836.000497685185</v>
      </c>
      <c r="AA40" s="3590">
        <v>40848.000497685185</v>
      </c>
      <c r="AB40" s="3590">
        <v>40848.000497685185</v>
      </c>
      <c r="AC40" s="3589" t="s">
        <v>3244</v>
      </c>
      <c r="AD40" s="3589" t="s">
        <v>3254</v>
      </c>
      <c r="AE40" s="3589" t="s">
        <v>3507</v>
      </c>
      <c r="AF40" s="3589" t="s">
        <v>3244</v>
      </c>
      <c r="AG40" s="3589">
        <v>535</v>
      </c>
      <c r="AH40" s="3589">
        <v>107</v>
      </c>
      <c r="AI40" s="3589" t="s">
        <v>1058</v>
      </c>
      <c r="AJ40" s="3589">
        <v>535</v>
      </c>
      <c r="AK40" s="3589">
        <v>44.86</v>
      </c>
      <c r="AL40" s="3589">
        <v>44.86</v>
      </c>
      <c r="AM40" s="3589">
        <v>449</v>
      </c>
      <c r="AN40" s="3589">
        <v>449</v>
      </c>
      <c r="AO40" s="3589" t="s">
        <v>3244</v>
      </c>
      <c r="AP40" s="3589" t="s">
        <v>3244</v>
      </c>
      <c r="AQ40" s="3589">
        <v>0</v>
      </c>
      <c r="AR40" s="3589">
        <v>50</v>
      </c>
      <c r="AS40" s="3589" t="s">
        <v>3251</v>
      </c>
      <c r="AT40" s="3589" t="s">
        <v>3244</v>
      </c>
      <c r="AU40" s="3589" t="s">
        <v>3251</v>
      </c>
      <c r="AV40" s="3589" t="s">
        <v>3244</v>
      </c>
      <c r="AW40" s="3589" t="s">
        <v>3244</v>
      </c>
      <c r="AX40" s="3589" t="s">
        <v>3244</v>
      </c>
    </row>
    <row r="41" spans="1:50" s="3223" customFormat="1">
      <c r="A41" s="3591" t="s">
        <v>3508</v>
      </c>
      <c r="B41" s="3591" t="s">
        <v>3240</v>
      </c>
      <c r="C41" s="3591" t="s">
        <v>3509</v>
      </c>
      <c r="D41" s="3591" t="s">
        <v>3242</v>
      </c>
      <c r="E41" s="3591" t="s">
        <v>3243</v>
      </c>
      <c r="F41" s="3591" t="s">
        <v>3270</v>
      </c>
      <c r="G41" s="3591" t="s">
        <v>3510</v>
      </c>
      <c r="H41" s="3591" t="s">
        <v>3246</v>
      </c>
      <c r="I41" s="3591">
        <v>295195.90000000002</v>
      </c>
      <c r="J41" s="3591">
        <v>442793.8</v>
      </c>
      <c r="K41" s="3591" t="s">
        <v>3448</v>
      </c>
      <c r="L41" s="3591" t="s">
        <v>3248</v>
      </c>
      <c r="M41" s="3591" t="s">
        <v>3511</v>
      </c>
      <c r="N41" s="3591" t="s">
        <v>3250</v>
      </c>
      <c r="O41" s="3591" t="s">
        <v>3251</v>
      </c>
      <c r="P41" s="3591" t="s">
        <v>3273</v>
      </c>
      <c r="Q41" s="3591" t="s">
        <v>3244</v>
      </c>
      <c r="R41" s="3591" t="s">
        <v>3244</v>
      </c>
      <c r="S41" s="3591" t="s">
        <v>3244</v>
      </c>
      <c r="T41" s="3591" t="s">
        <v>3244</v>
      </c>
      <c r="U41" s="3591" t="s">
        <v>3244</v>
      </c>
      <c r="V41" s="3591" t="s">
        <v>3244</v>
      </c>
      <c r="W41" s="3591">
        <v>0</v>
      </c>
      <c r="X41" s="3591">
        <v>0</v>
      </c>
      <c r="Y41" s="3591" t="s">
        <v>3244</v>
      </c>
      <c r="Z41" s="3592">
        <v>40813.000497685185</v>
      </c>
      <c r="AA41" s="3592">
        <v>40829.000497685185</v>
      </c>
      <c r="AB41" s="3592">
        <v>40829.000497685185</v>
      </c>
      <c r="AC41" s="3591" t="s">
        <v>3244</v>
      </c>
      <c r="AD41" s="3591" t="s">
        <v>3254</v>
      </c>
      <c r="AE41" s="3591" t="s">
        <v>3512</v>
      </c>
      <c r="AF41" s="3591" t="s">
        <v>3244</v>
      </c>
      <c r="AG41" s="3591">
        <v>17270</v>
      </c>
      <c r="AH41" s="3591">
        <v>3454</v>
      </c>
      <c r="AI41" s="3591" t="s">
        <v>1058</v>
      </c>
      <c r="AJ41" s="3591">
        <v>17270</v>
      </c>
      <c r="AK41" s="3591">
        <v>39</v>
      </c>
      <c r="AL41" s="3591">
        <v>39</v>
      </c>
      <c r="AM41" s="3591">
        <v>390</v>
      </c>
      <c r="AN41" s="3591">
        <v>390</v>
      </c>
      <c r="AO41" s="3591" t="s">
        <v>3244</v>
      </c>
      <c r="AP41" s="3591" t="s">
        <v>3244</v>
      </c>
      <c r="AQ41" s="3591">
        <v>0</v>
      </c>
      <c r="AR41" s="3591">
        <v>50</v>
      </c>
      <c r="AS41" s="3591" t="s">
        <v>3251</v>
      </c>
      <c r="AT41" s="3591" t="s">
        <v>3244</v>
      </c>
      <c r="AU41" s="3591" t="s">
        <v>3251</v>
      </c>
      <c r="AV41" s="3591" t="s">
        <v>3244</v>
      </c>
      <c r="AW41" s="3591" t="s">
        <v>3244</v>
      </c>
      <c r="AX41" s="3591" t="s">
        <v>3244</v>
      </c>
    </row>
    <row r="42" spans="1:50">
      <c r="A42" s="3589" t="s">
        <v>3513</v>
      </c>
      <c r="B42" s="3589" t="s">
        <v>3240</v>
      </c>
      <c r="C42" s="3589" t="s">
        <v>3514</v>
      </c>
      <c r="D42" s="3589" t="s">
        <v>3242</v>
      </c>
      <c r="E42" s="3589" t="s">
        <v>3243</v>
      </c>
      <c r="F42" s="3589" t="s">
        <v>3366</v>
      </c>
      <c r="G42" s="3589" t="s">
        <v>3515</v>
      </c>
      <c r="H42" s="3589" t="s">
        <v>3246</v>
      </c>
      <c r="I42" s="3589">
        <v>87419.7</v>
      </c>
      <c r="J42" s="3589">
        <v>43709.85</v>
      </c>
      <c r="K42" s="3589" t="s">
        <v>3440</v>
      </c>
      <c r="L42" s="3589" t="s">
        <v>3248</v>
      </c>
      <c r="M42" s="3589" t="s">
        <v>3461</v>
      </c>
      <c r="N42" s="3589" t="s">
        <v>3250</v>
      </c>
      <c r="O42" s="3589" t="s">
        <v>3251</v>
      </c>
      <c r="P42" s="3589" t="s">
        <v>3321</v>
      </c>
      <c r="Q42" s="3589" t="s">
        <v>3516</v>
      </c>
      <c r="R42" s="3589" t="s">
        <v>3244</v>
      </c>
      <c r="S42" s="3589" t="s">
        <v>3244</v>
      </c>
      <c r="T42" s="3589" t="s">
        <v>3244</v>
      </c>
      <c r="U42" s="3589" t="s">
        <v>3244</v>
      </c>
      <c r="V42" s="3589" t="s">
        <v>3244</v>
      </c>
      <c r="W42" s="3589">
        <v>0</v>
      </c>
      <c r="X42" s="3589">
        <v>0</v>
      </c>
      <c r="Y42" s="3589" t="s">
        <v>3244</v>
      </c>
      <c r="Z42" s="3590">
        <v>39707.000497685185</v>
      </c>
      <c r="AA42" s="3590">
        <v>39718.000497685185</v>
      </c>
      <c r="AB42" s="3590">
        <v>39718.000497685185</v>
      </c>
      <c r="AC42" s="3589" t="s">
        <v>3244</v>
      </c>
      <c r="AD42" s="3589" t="s">
        <v>3254</v>
      </c>
      <c r="AE42" s="3589" t="s">
        <v>3444</v>
      </c>
      <c r="AF42" s="3589" t="s">
        <v>3244</v>
      </c>
      <c r="AG42" s="3589">
        <v>2938</v>
      </c>
      <c r="AH42" s="3589">
        <v>450</v>
      </c>
      <c r="AI42" s="3589" t="s">
        <v>1058</v>
      </c>
      <c r="AJ42" s="3589">
        <v>2938</v>
      </c>
      <c r="AK42" s="3589">
        <v>22.41</v>
      </c>
      <c r="AL42" s="3589">
        <v>22.41</v>
      </c>
      <c r="AM42" s="3589">
        <v>672</v>
      </c>
      <c r="AN42" s="3589">
        <v>672</v>
      </c>
      <c r="AO42" s="3589" t="s">
        <v>3244</v>
      </c>
      <c r="AP42" s="3589" t="s">
        <v>3244</v>
      </c>
      <c r="AQ42" s="3589">
        <v>0</v>
      </c>
      <c r="AR42" s="3589" t="s">
        <v>3244</v>
      </c>
      <c r="AS42" s="3589" t="s">
        <v>3251</v>
      </c>
      <c r="AT42" s="3589" t="s">
        <v>3244</v>
      </c>
      <c r="AU42" s="3589" t="s">
        <v>3251</v>
      </c>
      <c r="AV42" s="3589" t="s">
        <v>3244</v>
      </c>
      <c r="AW42" s="3589" t="s">
        <v>3244</v>
      </c>
      <c r="AX42" s="3589" t="s">
        <v>3244</v>
      </c>
    </row>
  </sheetData>
  <mergeCells count="2100">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R1"/>
    <mergeCell ref="S1"/>
    <mergeCell ref="T1"/>
    <mergeCell ref="U1"/>
    <mergeCell ref="V1"/>
    <mergeCell ref="W1"/>
    <mergeCell ref="X1"/>
    <mergeCell ref="Y1"/>
    <mergeCell ref="Z1"/>
    <mergeCell ref="AA1"/>
    <mergeCell ref="AB1"/>
    <mergeCell ref="AC1"/>
    <mergeCell ref="AD1"/>
    <mergeCell ref="AE1"/>
    <mergeCell ref="AF1"/>
    <mergeCell ref="AG1"/>
    <mergeCell ref="AH1"/>
    <mergeCell ref="AI1"/>
    <mergeCell ref="AJ1"/>
    <mergeCell ref="AK1"/>
    <mergeCell ref="AL1"/>
    <mergeCell ref="AM1"/>
    <mergeCell ref="AN1"/>
    <mergeCell ref="AO1"/>
    <mergeCell ref="AP1"/>
    <mergeCell ref="AQ1"/>
    <mergeCell ref="AR1"/>
    <mergeCell ref="AS1"/>
    <mergeCell ref="AT1"/>
    <mergeCell ref="AU1"/>
    <mergeCell ref="AV1"/>
    <mergeCell ref="AW1"/>
    <mergeCell ref="AX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V2"/>
    <mergeCell ref="W2"/>
    <mergeCell ref="X2"/>
    <mergeCell ref="Y2"/>
    <mergeCell ref="Z2"/>
    <mergeCell ref="AA2"/>
    <mergeCell ref="AB2"/>
    <mergeCell ref="AC2"/>
    <mergeCell ref="AD2"/>
    <mergeCell ref="AE2"/>
    <mergeCell ref="AF2"/>
    <mergeCell ref="AG2"/>
    <mergeCell ref="AH2"/>
    <mergeCell ref="AI2"/>
    <mergeCell ref="AJ2"/>
    <mergeCell ref="AK2"/>
    <mergeCell ref="AL2"/>
    <mergeCell ref="AM2"/>
    <mergeCell ref="AN2"/>
    <mergeCell ref="AO2"/>
    <mergeCell ref="AP2"/>
    <mergeCell ref="AQ2"/>
    <mergeCell ref="AR2"/>
    <mergeCell ref="AS2"/>
    <mergeCell ref="AT2"/>
    <mergeCell ref="AU2"/>
    <mergeCell ref="AV2"/>
    <mergeCell ref="AW2"/>
    <mergeCell ref="AX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S3"/>
    <mergeCell ref="T3"/>
    <mergeCell ref="U3"/>
    <mergeCell ref="V3"/>
    <mergeCell ref="W3"/>
    <mergeCell ref="X3"/>
    <mergeCell ref="Y3"/>
    <mergeCell ref="Z3"/>
    <mergeCell ref="AA3"/>
    <mergeCell ref="AB3"/>
    <mergeCell ref="AC3"/>
    <mergeCell ref="AD3"/>
    <mergeCell ref="AE3"/>
    <mergeCell ref="AF3"/>
    <mergeCell ref="AG3"/>
    <mergeCell ref="AH3"/>
    <mergeCell ref="AI3"/>
    <mergeCell ref="AJ3"/>
    <mergeCell ref="AK3"/>
    <mergeCell ref="AL3"/>
    <mergeCell ref="AM3"/>
    <mergeCell ref="AN3"/>
    <mergeCell ref="AO3"/>
    <mergeCell ref="AP3"/>
    <mergeCell ref="AQ3"/>
    <mergeCell ref="AR3"/>
    <mergeCell ref="AS3"/>
    <mergeCell ref="AT3"/>
    <mergeCell ref="AU3"/>
    <mergeCell ref="AV3"/>
    <mergeCell ref="AW3"/>
    <mergeCell ref="AX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V4"/>
    <mergeCell ref="W4"/>
    <mergeCell ref="X4"/>
    <mergeCell ref="Y4"/>
    <mergeCell ref="Z4"/>
    <mergeCell ref="AA4"/>
    <mergeCell ref="AB4"/>
    <mergeCell ref="AC4"/>
    <mergeCell ref="AD4"/>
    <mergeCell ref="AE4"/>
    <mergeCell ref="AF4"/>
    <mergeCell ref="AG4"/>
    <mergeCell ref="AH4"/>
    <mergeCell ref="AI4"/>
    <mergeCell ref="AJ4"/>
    <mergeCell ref="AK4"/>
    <mergeCell ref="AL4"/>
    <mergeCell ref="AM4"/>
    <mergeCell ref="AN4"/>
    <mergeCell ref="AO4"/>
    <mergeCell ref="AP4"/>
    <mergeCell ref="AQ4"/>
    <mergeCell ref="AR4"/>
    <mergeCell ref="AS4"/>
    <mergeCell ref="AT4"/>
    <mergeCell ref="AU4"/>
    <mergeCell ref="AV4"/>
    <mergeCell ref="AW4"/>
    <mergeCell ref="AX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R5"/>
    <mergeCell ref="S5"/>
    <mergeCell ref="T5"/>
    <mergeCell ref="U5"/>
    <mergeCell ref="V5"/>
    <mergeCell ref="W5"/>
    <mergeCell ref="X5"/>
    <mergeCell ref="Y5"/>
    <mergeCell ref="Z5"/>
    <mergeCell ref="AA5"/>
    <mergeCell ref="AB5"/>
    <mergeCell ref="AC5"/>
    <mergeCell ref="AD5"/>
    <mergeCell ref="AE5"/>
    <mergeCell ref="AF5"/>
    <mergeCell ref="AG5"/>
    <mergeCell ref="AH5"/>
    <mergeCell ref="AI5"/>
    <mergeCell ref="AJ5"/>
    <mergeCell ref="AK5"/>
    <mergeCell ref="AL5"/>
    <mergeCell ref="AM5"/>
    <mergeCell ref="AN5"/>
    <mergeCell ref="AO5"/>
    <mergeCell ref="AP5"/>
    <mergeCell ref="AQ5"/>
    <mergeCell ref="AR5"/>
    <mergeCell ref="AS5"/>
    <mergeCell ref="AT5"/>
    <mergeCell ref="AU5"/>
    <mergeCell ref="AV5"/>
    <mergeCell ref="AW5"/>
    <mergeCell ref="AX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V6"/>
    <mergeCell ref="W6"/>
    <mergeCell ref="X6"/>
    <mergeCell ref="Y6"/>
    <mergeCell ref="Z6"/>
    <mergeCell ref="AA6"/>
    <mergeCell ref="AB6"/>
    <mergeCell ref="AC6"/>
    <mergeCell ref="AD6"/>
    <mergeCell ref="AE6"/>
    <mergeCell ref="AF6"/>
    <mergeCell ref="AG6"/>
    <mergeCell ref="AH6"/>
    <mergeCell ref="AI6"/>
    <mergeCell ref="AJ6"/>
    <mergeCell ref="AK6"/>
    <mergeCell ref="AL6"/>
    <mergeCell ref="AM6"/>
    <mergeCell ref="AN6"/>
    <mergeCell ref="AO6"/>
    <mergeCell ref="AP6"/>
    <mergeCell ref="AQ6"/>
    <mergeCell ref="AR6"/>
    <mergeCell ref="AS6"/>
    <mergeCell ref="AT6"/>
    <mergeCell ref="AU6"/>
    <mergeCell ref="AV6"/>
    <mergeCell ref="AW6"/>
    <mergeCell ref="AX6"/>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R7"/>
    <mergeCell ref="S7"/>
    <mergeCell ref="T7"/>
    <mergeCell ref="U7"/>
    <mergeCell ref="V7"/>
    <mergeCell ref="W7"/>
    <mergeCell ref="X7"/>
    <mergeCell ref="Y7"/>
    <mergeCell ref="Z7"/>
    <mergeCell ref="AA7"/>
    <mergeCell ref="AB7"/>
    <mergeCell ref="AC7"/>
    <mergeCell ref="AD7"/>
    <mergeCell ref="AE7"/>
    <mergeCell ref="AF7"/>
    <mergeCell ref="AG7"/>
    <mergeCell ref="AH7"/>
    <mergeCell ref="AI7"/>
    <mergeCell ref="AJ7"/>
    <mergeCell ref="AK7"/>
    <mergeCell ref="AL7"/>
    <mergeCell ref="AM7"/>
    <mergeCell ref="AN7"/>
    <mergeCell ref="AO7"/>
    <mergeCell ref="AP7"/>
    <mergeCell ref="AQ7"/>
    <mergeCell ref="AR7"/>
    <mergeCell ref="AS7"/>
    <mergeCell ref="AT7"/>
    <mergeCell ref="AU7"/>
    <mergeCell ref="AV7"/>
    <mergeCell ref="AW7"/>
    <mergeCell ref="AX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U8"/>
    <mergeCell ref="V8"/>
    <mergeCell ref="W8"/>
    <mergeCell ref="X8"/>
    <mergeCell ref="Y8"/>
    <mergeCell ref="Z8"/>
    <mergeCell ref="AA8"/>
    <mergeCell ref="AB8"/>
    <mergeCell ref="AC8"/>
    <mergeCell ref="AD8"/>
    <mergeCell ref="AE8"/>
    <mergeCell ref="AF8"/>
    <mergeCell ref="AG8"/>
    <mergeCell ref="AH8"/>
    <mergeCell ref="AI8"/>
    <mergeCell ref="AJ8"/>
    <mergeCell ref="AK8"/>
    <mergeCell ref="AL8"/>
    <mergeCell ref="AM8"/>
    <mergeCell ref="AN8"/>
    <mergeCell ref="AO8"/>
    <mergeCell ref="AP8"/>
    <mergeCell ref="AQ8"/>
    <mergeCell ref="AR8"/>
    <mergeCell ref="AS8"/>
    <mergeCell ref="AT8"/>
    <mergeCell ref="AU8"/>
    <mergeCell ref="AV8"/>
    <mergeCell ref="AW8"/>
    <mergeCell ref="AX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R9"/>
    <mergeCell ref="S9"/>
    <mergeCell ref="T9"/>
    <mergeCell ref="U9"/>
    <mergeCell ref="V9"/>
    <mergeCell ref="W9"/>
    <mergeCell ref="X9"/>
    <mergeCell ref="Y9"/>
    <mergeCell ref="Z9"/>
    <mergeCell ref="AA9"/>
    <mergeCell ref="AB9"/>
    <mergeCell ref="AC9"/>
    <mergeCell ref="AD9"/>
    <mergeCell ref="AE9"/>
    <mergeCell ref="AF9"/>
    <mergeCell ref="AG9"/>
    <mergeCell ref="AH9"/>
    <mergeCell ref="AI9"/>
    <mergeCell ref="AJ9"/>
    <mergeCell ref="AK9"/>
    <mergeCell ref="AL9"/>
    <mergeCell ref="AM9"/>
    <mergeCell ref="AN9"/>
    <mergeCell ref="AO9"/>
    <mergeCell ref="AP9"/>
    <mergeCell ref="AQ9"/>
    <mergeCell ref="AR9"/>
    <mergeCell ref="AS9"/>
    <mergeCell ref="AT9"/>
    <mergeCell ref="AU9"/>
    <mergeCell ref="AV9"/>
    <mergeCell ref="AW9"/>
    <mergeCell ref="AX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U10"/>
    <mergeCell ref="V10"/>
    <mergeCell ref="W10"/>
    <mergeCell ref="X10"/>
    <mergeCell ref="Y10"/>
    <mergeCell ref="Z10"/>
    <mergeCell ref="AA10"/>
    <mergeCell ref="AB10"/>
    <mergeCell ref="AC10"/>
    <mergeCell ref="AD10"/>
    <mergeCell ref="AE10"/>
    <mergeCell ref="AF10"/>
    <mergeCell ref="AG10"/>
    <mergeCell ref="AH10"/>
    <mergeCell ref="AI10"/>
    <mergeCell ref="AJ10"/>
    <mergeCell ref="AK10"/>
    <mergeCell ref="AL10"/>
    <mergeCell ref="AM10"/>
    <mergeCell ref="AN10"/>
    <mergeCell ref="AO10"/>
    <mergeCell ref="AP10"/>
    <mergeCell ref="AQ10"/>
    <mergeCell ref="AR10"/>
    <mergeCell ref="AS10"/>
    <mergeCell ref="AT10"/>
    <mergeCell ref="AU10"/>
    <mergeCell ref="AV10"/>
    <mergeCell ref="AW10"/>
    <mergeCell ref="AX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11"/>
    <mergeCell ref="S11"/>
    <mergeCell ref="T11"/>
    <mergeCell ref="U11"/>
    <mergeCell ref="V11"/>
    <mergeCell ref="W11"/>
    <mergeCell ref="X11"/>
    <mergeCell ref="Y11"/>
    <mergeCell ref="Z11"/>
    <mergeCell ref="AA11"/>
    <mergeCell ref="AB11"/>
    <mergeCell ref="AC11"/>
    <mergeCell ref="AD11"/>
    <mergeCell ref="AE11"/>
    <mergeCell ref="AF11"/>
    <mergeCell ref="AG11"/>
    <mergeCell ref="AH11"/>
    <mergeCell ref="AI11"/>
    <mergeCell ref="AJ11"/>
    <mergeCell ref="AK11"/>
    <mergeCell ref="AL11"/>
    <mergeCell ref="AM11"/>
    <mergeCell ref="AN11"/>
    <mergeCell ref="AO11"/>
    <mergeCell ref="AP11"/>
    <mergeCell ref="AQ11"/>
    <mergeCell ref="AR11"/>
    <mergeCell ref="AS11"/>
    <mergeCell ref="AT11"/>
    <mergeCell ref="AU11"/>
    <mergeCell ref="AV11"/>
    <mergeCell ref="AW11"/>
    <mergeCell ref="AX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U12"/>
    <mergeCell ref="V12"/>
    <mergeCell ref="W12"/>
    <mergeCell ref="X12"/>
    <mergeCell ref="Y12"/>
    <mergeCell ref="Z12"/>
    <mergeCell ref="AA12"/>
    <mergeCell ref="AB12"/>
    <mergeCell ref="AC12"/>
    <mergeCell ref="AD12"/>
    <mergeCell ref="AE12"/>
    <mergeCell ref="AF12"/>
    <mergeCell ref="AG12"/>
    <mergeCell ref="AH12"/>
    <mergeCell ref="AI12"/>
    <mergeCell ref="AJ12"/>
    <mergeCell ref="AK12"/>
    <mergeCell ref="AL12"/>
    <mergeCell ref="AM12"/>
    <mergeCell ref="AN12"/>
    <mergeCell ref="AO12"/>
    <mergeCell ref="AP12"/>
    <mergeCell ref="AQ12"/>
    <mergeCell ref="AR12"/>
    <mergeCell ref="AS12"/>
    <mergeCell ref="AT12"/>
    <mergeCell ref="AU12"/>
    <mergeCell ref="AV12"/>
    <mergeCell ref="AW12"/>
    <mergeCell ref="AX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R13"/>
    <mergeCell ref="S13"/>
    <mergeCell ref="T13"/>
    <mergeCell ref="U13"/>
    <mergeCell ref="V13"/>
    <mergeCell ref="W13"/>
    <mergeCell ref="X13"/>
    <mergeCell ref="Y13"/>
    <mergeCell ref="Z13"/>
    <mergeCell ref="AA13"/>
    <mergeCell ref="AB13"/>
    <mergeCell ref="AC13"/>
    <mergeCell ref="AD13"/>
    <mergeCell ref="AE13"/>
    <mergeCell ref="AF13"/>
    <mergeCell ref="AG13"/>
    <mergeCell ref="AH13"/>
    <mergeCell ref="AI13"/>
    <mergeCell ref="AJ13"/>
    <mergeCell ref="AK13"/>
    <mergeCell ref="AL13"/>
    <mergeCell ref="AM13"/>
    <mergeCell ref="AN13"/>
    <mergeCell ref="AO13"/>
    <mergeCell ref="AP13"/>
    <mergeCell ref="AQ13"/>
    <mergeCell ref="AR13"/>
    <mergeCell ref="AS13"/>
    <mergeCell ref="AT13"/>
    <mergeCell ref="AU13"/>
    <mergeCell ref="AV13"/>
    <mergeCell ref="AW13"/>
    <mergeCell ref="AX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U14"/>
    <mergeCell ref="V14"/>
    <mergeCell ref="W14"/>
    <mergeCell ref="X14"/>
    <mergeCell ref="Y14"/>
    <mergeCell ref="Z14"/>
    <mergeCell ref="AA14"/>
    <mergeCell ref="AB14"/>
    <mergeCell ref="AC14"/>
    <mergeCell ref="AD14"/>
    <mergeCell ref="AE14"/>
    <mergeCell ref="AF14"/>
    <mergeCell ref="AG14"/>
    <mergeCell ref="AH14"/>
    <mergeCell ref="AI14"/>
    <mergeCell ref="AJ14"/>
    <mergeCell ref="AK14"/>
    <mergeCell ref="AL14"/>
    <mergeCell ref="AM14"/>
    <mergeCell ref="AN14"/>
    <mergeCell ref="AO14"/>
    <mergeCell ref="AP14"/>
    <mergeCell ref="AQ14"/>
    <mergeCell ref="AR14"/>
    <mergeCell ref="AS14"/>
    <mergeCell ref="AT14"/>
    <mergeCell ref="AU14"/>
    <mergeCell ref="AV14"/>
    <mergeCell ref="AW14"/>
    <mergeCell ref="AX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R15"/>
    <mergeCell ref="S15"/>
    <mergeCell ref="T15"/>
    <mergeCell ref="U15"/>
    <mergeCell ref="V15"/>
    <mergeCell ref="W15"/>
    <mergeCell ref="X15"/>
    <mergeCell ref="Y15"/>
    <mergeCell ref="Z15"/>
    <mergeCell ref="AA15"/>
    <mergeCell ref="AB15"/>
    <mergeCell ref="AC15"/>
    <mergeCell ref="AD15"/>
    <mergeCell ref="AE15"/>
    <mergeCell ref="AF15"/>
    <mergeCell ref="AG15"/>
    <mergeCell ref="AH15"/>
    <mergeCell ref="AI15"/>
    <mergeCell ref="AJ15"/>
    <mergeCell ref="AK15"/>
    <mergeCell ref="AL15"/>
    <mergeCell ref="AM15"/>
    <mergeCell ref="AN15"/>
    <mergeCell ref="AO15"/>
    <mergeCell ref="AP15"/>
    <mergeCell ref="AQ15"/>
    <mergeCell ref="AR15"/>
    <mergeCell ref="AS15"/>
    <mergeCell ref="AT15"/>
    <mergeCell ref="AU15"/>
    <mergeCell ref="AV15"/>
    <mergeCell ref="AW15"/>
    <mergeCell ref="AX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U16"/>
    <mergeCell ref="V16"/>
    <mergeCell ref="W16"/>
    <mergeCell ref="X16"/>
    <mergeCell ref="Y16"/>
    <mergeCell ref="Z16"/>
    <mergeCell ref="AA16"/>
    <mergeCell ref="AB16"/>
    <mergeCell ref="AC16"/>
    <mergeCell ref="AD16"/>
    <mergeCell ref="AE16"/>
    <mergeCell ref="AF16"/>
    <mergeCell ref="AG16"/>
    <mergeCell ref="AH16"/>
    <mergeCell ref="AI16"/>
    <mergeCell ref="AJ16"/>
    <mergeCell ref="AK16"/>
    <mergeCell ref="AL16"/>
    <mergeCell ref="AM16"/>
    <mergeCell ref="AN16"/>
    <mergeCell ref="AO16"/>
    <mergeCell ref="AP16"/>
    <mergeCell ref="AQ16"/>
    <mergeCell ref="AR16"/>
    <mergeCell ref="AS16"/>
    <mergeCell ref="AT16"/>
    <mergeCell ref="AU16"/>
    <mergeCell ref="AV16"/>
    <mergeCell ref="AW16"/>
    <mergeCell ref="AX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7"/>
    <mergeCell ref="S17"/>
    <mergeCell ref="T17"/>
    <mergeCell ref="U17"/>
    <mergeCell ref="V17"/>
    <mergeCell ref="W17"/>
    <mergeCell ref="X17"/>
    <mergeCell ref="Y17"/>
    <mergeCell ref="Z17"/>
    <mergeCell ref="AA17"/>
    <mergeCell ref="AB17"/>
    <mergeCell ref="AC17"/>
    <mergeCell ref="AD17"/>
    <mergeCell ref="AE17"/>
    <mergeCell ref="AF17"/>
    <mergeCell ref="AG17"/>
    <mergeCell ref="AH17"/>
    <mergeCell ref="AI17"/>
    <mergeCell ref="AJ17"/>
    <mergeCell ref="AK17"/>
    <mergeCell ref="AL17"/>
    <mergeCell ref="AM17"/>
    <mergeCell ref="AN17"/>
    <mergeCell ref="AO17"/>
    <mergeCell ref="AP17"/>
    <mergeCell ref="AQ17"/>
    <mergeCell ref="AR17"/>
    <mergeCell ref="AS17"/>
    <mergeCell ref="AT17"/>
    <mergeCell ref="AU17"/>
    <mergeCell ref="AV17"/>
    <mergeCell ref="AW17"/>
    <mergeCell ref="AX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U18"/>
    <mergeCell ref="V18"/>
    <mergeCell ref="W18"/>
    <mergeCell ref="X18"/>
    <mergeCell ref="Y18"/>
    <mergeCell ref="Z18"/>
    <mergeCell ref="AA18"/>
    <mergeCell ref="AB18"/>
    <mergeCell ref="AC18"/>
    <mergeCell ref="AD18"/>
    <mergeCell ref="AE18"/>
    <mergeCell ref="AF18"/>
    <mergeCell ref="AG18"/>
    <mergeCell ref="AH18"/>
    <mergeCell ref="AI18"/>
    <mergeCell ref="AJ18"/>
    <mergeCell ref="AK18"/>
    <mergeCell ref="AL18"/>
    <mergeCell ref="AM18"/>
    <mergeCell ref="AN18"/>
    <mergeCell ref="AO18"/>
    <mergeCell ref="AP18"/>
    <mergeCell ref="AQ18"/>
    <mergeCell ref="AR18"/>
    <mergeCell ref="AS18"/>
    <mergeCell ref="AT18"/>
    <mergeCell ref="AU18"/>
    <mergeCell ref="AV18"/>
    <mergeCell ref="AW18"/>
    <mergeCell ref="AX18"/>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R19"/>
    <mergeCell ref="S19"/>
    <mergeCell ref="T19"/>
    <mergeCell ref="U19"/>
    <mergeCell ref="V19"/>
    <mergeCell ref="W19"/>
    <mergeCell ref="X19"/>
    <mergeCell ref="Y19"/>
    <mergeCell ref="Z19"/>
    <mergeCell ref="AA19"/>
    <mergeCell ref="AB19"/>
    <mergeCell ref="AC19"/>
    <mergeCell ref="AD19"/>
    <mergeCell ref="AE19"/>
    <mergeCell ref="AF19"/>
    <mergeCell ref="AG19"/>
    <mergeCell ref="AH19"/>
    <mergeCell ref="AI19"/>
    <mergeCell ref="AJ19"/>
    <mergeCell ref="AK19"/>
    <mergeCell ref="AL19"/>
    <mergeCell ref="AM19"/>
    <mergeCell ref="AN19"/>
    <mergeCell ref="AO19"/>
    <mergeCell ref="AP19"/>
    <mergeCell ref="AQ19"/>
    <mergeCell ref="AR19"/>
    <mergeCell ref="AS19"/>
    <mergeCell ref="AT19"/>
    <mergeCell ref="AU19"/>
    <mergeCell ref="AV19"/>
    <mergeCell ref="AW19"/>
    <mergeCell ref="AX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U20"/>
    <mergeCell ref="V20"/>
    <mergeCell ref="W20"/>
    <mergeCell ref="X20"/>
    <mergeCell ref="Y20"/>
    <mergeCell ref="Z20"/>
    <mergeCell ref="AA20"/>
    <mergeCell ref="AB20"/>
    <mergeCell ref="AC20"/>
    <mergeCell ref="AD20"/>
    <mergeCell ref="AE20"/>
    <mergeCell ref="AF20"/>
    <mergeCell ref="AG20"/>
    <mergeCell ref="AH20"/>
    <mergeCell ref="AI20"/>
    <mergeCell ref="AJ20"/>
    <mergeCell ref="AK20"/>
    <mergeCell ref="AL20"/>
    <mergeCell ref="AM20"/>
    <mergeCell ref="AN20"/>
    <mergeCell ref="AO20"/>
    <mergeCell ref="AP20"/>
    <mergeCell ref="AQ20"/>
    <mergeCell ref="AR20"/>
    <mergeCell ref="AS20"/>
    <mergeCell ref="AT20"/>
    <mergeCell ref="AU20"/>
    <mergeCell ref="AV20"/>
    <mergeCell ref="AW20"/>
    <mergeCell ref="AX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21"/>
    <mergeCell ref="S21"/>
    <mergeCell ref="T21"/>
    <mergeCell ref="U21"/>
    <mergeCell ref="V21"/>
    <mergeCell ref="W21"/>
    <mergeCell ref="X21"/>
    <mergeCell ref="Y21"/>
    <mergeCell ref="Z21"/>
    <mergeCell ref="AA21"/>
    <mergeCell ref="AB21"/>
    <mergeCell ref="AC21"/>
    <mergeCell ref="AD21"/>
    <mergeCell ref="AE21"/>
    <mergeCell ref="AF21"/>
    <mergeCell ref="AG21"/>
    <mergeCell ref="AH21"/>
    <mergeCell ref="AI21"/>
    <mergeCell ref="AJ21"/>
    <mergeCell ref="AK21"/>
    <mergeCell ref="AL21"/>
    <mergeCell ref="AM21"/>
    <mergeCell ref="AN21"/>
    <mergeCell ref="AO21"/>
    <mergeCell ref="AP21"/>
    <mergeCell ref="AQ21"/>
    <mergeCell ref="AR21"/>
    <mergeCell ref="AS21"/>
    <mergeCell ref="AT21"/>
    <mergeCell ref="AU21"/>
    <mergeCell ref="AV21"/>
    <mergeCell ref="AW21"/>
    <mergeCell ref="AX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U22"/>
    <mergeCell ref="V22"/>
    <mergeCell ref="W22"/>
    <mergeCell ref="X22"/>
    <mergeCell ref="Y22"/>
    <mergeCell ref="Z22"/>
    <mergeCell ref="AA22"/>
    <mergeCell ref="AB22"/>
    <mergeCell ref="AC22"/>
    <mergeCell ref="AD22"/>
    <mergeCell ref="AE22"/>
    <mergeCell ref="AF22"/>
    <mergeCell ref="AG22"/>
    <mergeCell ref="AH22"/>
    <mergeCell ref="AI22"/>
    <mergeCell ref="AJ22"/>
    <mergeCell ref="AK22"/>
    <mergeCell ref="AL22"/>
    <mergeCell ref="AM22"/>
    <mergeCell ref="AN22"/>
    <mergeCell ref="AO22"/>
    <mergeCell ref="AP22"/>
    <mergeCell ref="AQ22"/>
    <mergeCell ref="AR22"/>
    <mergeCell ref="AS22"/>
    <mergeCell ref="AT22"/>
    <mergeCell ref="AU22"/>
    <mergeCell ref="AV22"/>
    <mergeCell ref="AW22"/>
    <mergeCell ref="AX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S23"/>
    <mergeCell ref="T23"/>
    <mergeCell ref="U23"/>
    <mergeCell ref="V23"/>
    <mergeCell ref="W23"/>
    <mergeCell ref="X23"/>
    <mergeCell ref="Y23"/>
    <mergeCell ref="Z23"/>
    <mergeCell ref="AA23"/>
    <mergeCell ref="AB23"/>
    <mergeCell ref="AC23"/>
    <mergeCell ref="AD23"/>
    <mergeCell ref="AE23"/>
    <mergeCell ref="AF23"/>
    <mergeCell ref="AG23"/>
    <mergeCell ref="AH23"/>
    <mergeCell ref="AI23"/>
    <mergeCell ref="AJ23"/>
    <mergeCell ref="AK23"/>
    <mergeCell ref="AL23"/>
    <mergeCell ref="AM23"/>
    <mergeCell ref="AN23"/>
    <mergeCell ref="AO23"/>
    <mergeCell ref="AP23"/>
    <mergeCell ref="AQ23"/>
    <mergeCell ref="AR23"/>
    <mergeCell ref="AS23"/>
    <mergeCell ref="AT23"/>
    <mergeCell ref="AU23"/>
    <mergeCell ref="AV23"/>
    <mergeCell ref="AW23"/>
    <mergeCell ref="AX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U24"/>
    <mergeCell ref="V24"/>
    <mergeCell ref="W24"/>
    <mergeCell ref="X24"/>
    <mergeCell ref="Y24"/>
    <mergeCell ref="Z24"/>
    <mergeCell ref="AA24"/>
    <mergeCell ref="AB24"/>
    <mergeCell ref="AC24"/>
    <mergeCell ref="AD24"/>
    <mergeCell ref="AE24"/>
    <mergeCell ref="AF24"/>
    <mergeCell ref="AG24"/>
    <mergeCell ref="AH24"/>
    <mergeCell ref="AI24"/>
    <mergeCell ref="AJ24"/>
    <mergeCell ref="AK24"/>
    <mergeCell ref="AL24"/>
    <mergeCell ref="AM24"/>
    <mergeCell ref="AN24"/>
    <mergeCell ref="AO24"/>
    <mergeCell ref="AP24"/>
    <mergeCell ref="AQ24"/>
    <mergeCell ref="AR24"/>
    <mergeCell ref="AS24"/>
    <mergeCell ref="AT24"/>
    <mergeCell ref="AU24"/>
    <mergeCell ref="AV24"/>
    <mergeCell ref="AW24"/>
    <mergeCell ref="AX24"/>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R25"/>
    <mergeCell ref="S25"/>
    <mergeCell ref="T25"/>
    <mergeCell ref="U25"/>
    <mergeCell ref="V25"/>
    <mergeCell ref="W25"/>
    <mergeCell ref="X25"/>
    <mergeCell ref="Y25"/>
    <mergeCell ref="Z25"/>
    <mergeCell ref="AA25"/>
    <mergeCell ref="AB25"/>
    <mergeCell ref="AC25"/>
    <mergeCell ref="AD25"/>
    <mergeCell ref="AE25"/>
    <mergeCell ref="AF25"/>
    <mergeCell ref="AG25"/>
    <mergeCell ref="AH25"/>
    <mergeCell ref="AI25"/>
    <mergeCell ref="AJ25"/>
    <mergeCell ref="AK25"/>
    <mergeCell ref="AL25"/>
    <mergeCell ref="AM25"/>
    <mergeCell ref="AN25"/>
    <mergeCell ref="AO25"/>
    <mergeCell ref="AP25"/>
    <mergeCell ref="AQ25"/>
    <mergeCell ref="AR25"/>
    <mergeCell ref="AS25"/>
    <mergeCell ref="AT25"/>
    <mergeCell ref="AU25"/>
    <mergeCell ref="AV25"/>
    <mergeCell ref="AW25"/>
    <mergeCell ref="AX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V26"/>
    <mergeCell ref="W26"/>
    <mergeCell ref="X26"/>
    <mergeCell ref="Y26"/>
    <mergeCell ref="Z26"/>
    <mergeCell ref="AA26"/>
    <mergeCell ref="AB26"/>
    <mergeCell ref="AC26"/>
    <mergeCell ref="AD26"/>
    <mergeCell ref="AE26"/>
    <mergeCell ref="AF26"/>
    <mergeCell ref="AG26"/>
    <mergeCell ref="AH26"/>
    <mergeCell ref="AI26"/>
    <mergeCell ref="AJ26"/>
    <mergeCell ref="AK26"/>
    <mergeCell ref="AL26"/>
    <mergeCell ref="AM26"/>
    <mergeCell ref="AN26"/>
    <mergeCell ref="AO26"/>
    <mergeCell ref="AP26"/>
    <mergeCell ref="AQ26"/>
    <mergeCell ref="AR26"/>
    <mergeCell ref="AS26"/>
    <mergeCell ref="AT26"/>
    <mergeCell ref="AU26"/>
    <mergeCell ref="AV26"/>
    <mergeCell ref="AW26"/>
    <mergeCell ref="AX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R27"/>
    <mergeCell ref="S27"/>
    <mergeCell ref="T27"/>
    <mergeCell ref="U27"/>
    <mergeCell ref="V27"/>
    <mergeCell ref="W27"/>
    <mergeCell ref="X27"/>
    <mergeCell ref="Y27"/>
    <mergeCell ref="Z27"/>
    <mergeCell ref="AA27"/>
    <mergeCell ref="AB27"/>
    <mergeCell ref="AC27"/>
    <mergeCell ref="AD27"/>
    <mergeCell ref="AE27"/>
    <mergeCell ref="AF27"/>
    <mergeCell ref="AG27"/>
    <mergeCell ref="AH27"/>
    <mergeCell ref="AI27"/>
    <mergeCell ref="AJ27"/>
    <mergeCell ref="AK27"/>
    <mergeCell ref="AL27"/>
    <mergeCell ref="AM27"/>
    <mergeCell ref="AN27"/>
    <mergeCell ref="AO27"/>
    <mergeCell ref="AP27"/>
    <mergeCell ref="AQ27"/>
    <mergeCell ref="AR27"/>
    <mergeCell ref="AS27"/>
    <mergeCell ref="AT27"/>
    <mergeCell ref="AU27"/>
    <mergeCell ref="AV27"/>
    <mergeCell ref="AW27"/>
    <mergeCell ref="AX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U28"/>
    <mergeCell ref="V28"/>
    <mergeCell ref="W28"/>
    <mergeCell ref="X28"/>
    <mergeCell ref="Y28"/>
    <mergeCell ref="Z28"/>
    <mergeCell ref="AA28"/>
    <mergeCell ref="AB28"/>
    <mergeCell ref="AC28"/>
    <mergeCell ref="AD28"/>
    <mergeCell ref="AE28"/>
    <mergeCell ref="AF28"/>
    <mergeCell ref="AG28"/>
    <mergeCell ref="AH28"/>
    <mergeCell ref="AI28"/>
    <mergeCell ref="AJ28"/>
    <mergeCell ref="AK28"/>
    <mergeCell ref="AL28"/>
    <mergeCell ref="AM28"/>
    <mergeCell ref="AN28"/>
    <mergeCell ref="AO28"/>
    <mergeCell ref="AP28"/>
    <mergeCell ref="AQ28"/>
    <mergeCell ref="AR28"/>
    <mergeCell ref="AS28"/>
    <mergeCell ref="AT28"/>
    <mergeCell ref="AU28"/>
    <mergeCell ref="AV28"/>
    <mergeCell ref="AW28"/>
    <mergeCell ref="AX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9"/>
    <mergeCell ref="S29"/>
    <mergeCell ref="T29"/>
    <mergeCell ref="U29"/>
    <mergeCell ref="V29"/>
    <mergeCell ref="W29"/>
    <mergeCell ref="X29"/>
    <mergeCell ref="Y29"/>
    <mergeCell ref="Z29"/>
    <mergeCell ref="AA29"/>
    <mergeCell ref="AB29"/>
    <mergeCell ref="AC29"/>
    <mergeCell ref="AD29"/>
    <mergeCell ref="AE29"/>
    <mergeCell ref="AF29"/>
    <mergeCell ref="AG29"/>
    <mergeCell ref="AH29"/>
    <mergeCell ref="AI29"/>
    <mergeCell ref="AJ29"/>
    <mergeCell ref="AK29"/>
    <mergeCell ref="AL29"/>
    <mergeCell ref="AM29"/>
    <mergeCell ref="AN29"/>
    <mergeCell ref="AO29"/>
    <mergeCell ref="AP29"/>
    <mergeCell ref="AQ29"/>
    <mergeCell ref="AR29"/>
    <mergeCell ref="AS29"/>
    <mergeCell ref="AT29"/>
    <mergeCell ref="AU29"/>
    <mergeCell ref="AV29"/>
    <mergeCell ref="AW29"/>
    <mergeCell ref="AX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U30"/>
    <mergeCell ref="V30"/>
    <mergeCell ref="W30"/>
    <mergeCell ref="X30"/>
    <mergeCell ref="Y30"/>
    <mergeCell ref="Z30"/>
    <mergeCell ref="AA30"/>
    <mergeCell ref="AB30"/>
    <mergeCell ref="AC30"/>
    <mergeCell ref="AD30"/>
    <mergeCell ref="AE30"/>
    <mergeCell ref="AF30"/>
    <mergeCell ref="AG30"/>
    <mergeCell ref="AH30"/>
    <mergeCell ref="AI30"/>
    <mergeCell ref="AJ30"/>
    <mergeCell ref="AK30"/>
    <mergeCell ref="AL30"/>
    <mergeCell ref="AM30"/>
    <mergeCell ref="AN30"/>
    <mergeCell ref="AO30"/>
    <mergeCell ref="AP30"/>
    <mergeCell ref="AQ30"/>
    <mergeCell ref="AR30"/>
    <mergeCell ref="AS30"/>
    <mergeCell ref="AT30"/>
    <mergeCell ref="AU30"/>
    <mergeCell ref="AV30"/>
    <mergeCell ref="AW30"/>
    <mergeCell ref="AX30"/>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R31"/>
    <mergeCell ref="S31"/>
    <mergeCell ref="T31"/>
    <mergeCell ref="U31"/>
    <mergeCell ref="V31"/>
    <mergeCell ref="W31"/>
    <mergeCell ref="X31"/>
    <mergeCell ref="Y31"/>
    <mergeCell ref="Z31"/>
    <mergeCell ref="AA31"/>
    <mergeCell ref="AB31"/>
    <mergeCell ref="AC31"/>
    <mergeCell ref="AD31"/>
    <mergeCell ref="AE31"/>
    <mergeCell ref="AF31"/>
    <mergeCell ref="AG31"/>
    <mergeCell ref="AH31"/>
    <mergeCell ref="AI31"/>
    <mergeCell ref="AJ31"/>
    <mergeCell ref="AK31"/>
    <mergeCell ref="AL31"/>
    <mergeCell ref="AM31"/>
    <mergeCell ref="AN31"/>
    <mergeCell ref="AO31"/>
    <mergeCell ref="AP31"/>
    <mergeCell ref="AQ31"/>
    <mergeCell ref="AR31"/>
    <mergeCell ref="AS31"/>
    <mergeCell ref="AT31"/>
    <mergeCell ref="AU31"/>
    <mergeCell ref="AV31"/>
    <mergeCell ref="AW31"/>
    <mergeCell ref="AX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U32"/>
    <mergeCell ref="V32"/>
    <mergeCell ref="W32"/>
    <mergeCell ref="X32"/>
    <mergeCell ref="Y32"/>
    <mergeCell ref="Z32"/>
    <mergeCell ref="AA32"/>
    <mergeCell ref="AB32"/>
    <mergeCell ref="AC32"/>
    <mergeCell ref="AD32"/>
    <mergeCell ref="AE32"/>
    <mergeCell ref="AF32"/>
    <mergeCell ref="AG32"/>
    <mergeCell ref="AH32"/>
    <mergeCell ref="AI32"/>
    <mergeCell ref="AJ32"/>
    <mergeCell ref="AK32"/>
    <mergeCell ref="AL32"/>
    <mergeCell ref="AM32"/>
    <mergeCell ref="AN32"/>
    <mergeCell ref="AO32"/>
    <mergeCell ref="AP32"/>
    <mergeCell ref="AQ32"/>
    <mergeCell ref="AR32"/>
    <mergeCell ref="AS32"/>
    <mergeCell ref="AT32"/>
    <mergeCell ref="AU32"/>
    <mergeCell ref="AV32"/>
    <mergeCell ref="AW32"/>
    <mergeCell ref="AX32"/>
    <mergeCell ref="A33"/>
    <mergeCell ref="B33"/>
    <mergeCell ref="C33"/>
    <mergeCell ref="D33"/>
    <mergeCell ref="E33"/>
    <mergeCell ref="F33"/>
    <mergeCell ref="G33"/>
    <mergeCell ref="H33"/>
    <mergeCell ref="I33"/>
    <mergeCell ref="J33"/>
    <mergeCell ref="K33"/>
    <mergeCell ref="L33"/>
    <mergeCell ref="M33"/>
    <mergeCell ref="N33"/>
    <mergeCell ref="O33"/>
    <mergeCell ref="P33"/>
    <mergeCell ref="Q33"/>
    <mergeCell ref="R33"/>
    <mergeCell ref="S33"/>
    <mergeCell ref="T33"/>
    <mergeCell ref="U33"/>
    <mergeCell ref="V33"/>
    <mergeCell ref="W33"/>
    <mergeCell ref="X33"/>
    <mergeCell ref="Y33"/>
    <mergeCell ref="Z33"/>
    <mergeCell ref="AA33"/>
    <mergeCell ref="AB33"/>
    <mergeCell ref="AC33"/>
    <mergeCell ref="AD33"/>
    <mergeCell ref="AE33"/>
    <mergeCell ref="AF33"/>
    <mergeCell ref="AG33"/>
    <mergeCell ref="AH33"/>
    <mergeCell ref="AI33"/>
    <mergeCell ref="AJ33"/>
    <mergeCell ref="AK33"/>
    <mergeCell ref="AL33"/>
    <mergeCell ref="AM33"/>
    <mergeCell ref="AN33"/>
    <mergeCell ref="AO33"/>
    <mergeCell ref="AP33"/>
    <mergeCell ref="AQ33"/>
    <mergeCell ref="AR33"/>
    <mergeCell ref="AS33"/>
    <mergeCell ref="AT33"/>
    <mergeCell ref="AU33"/>
    <mergeCell ref="AV33"/>
    <mergeCell ref="AW33"/>
    <mergeCell ref="AX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U34"/>
    <mergeCell ref="V34"/>
    <mergeCell ref="W34"/>
    <mergeCell ref="X34"/>
    <mergeCell ref="Y34"/>
    <mergeCell ref="Z34"/>
    <mergeCell ref="AA34"/>
    <mergeCell ref="AB34"/>
    <mergeCell ref="AC34"/>
    <mergeCell ref="AD34"/>
    <mergeCell ref="AE34"/>
    <mergeCell ref="AF34"/>
    <mergeCell ref="AG34"/>
    <mergeCell ref="AH34"/>
    <mergeCell ref="AI34"/>
    <mergeCell ref="AJ34"/>
    <mergeCell ref="AK34"/>
    <mergeCell ref="AL34"/>
    <mergeCell ref="AM34"/>
    <mergeCell ref="AN34"/>
    <mergeCell ref="AO34"/>
    <mergeCell ref="AP34"/>
    <mergeCell ref="AQ34"/>
    <mergeCell ref="AR34"/>
    <mergeCell ref="AS34"/>
    <mergeCell ref="AT34"/>
    <mergeCell ref="AU34"/>
    <mergeCell ref="AV34"/>
    <mergeCell ref="AW34"/>
    <mergeCell ref="AX34"/>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5"/>
    <mergeCell ref="S35"/>
    <mergeCell ref="T35"/>
    <mergeCell ref="U35"/>
    <mergeCell ref="V35"/>
    <mergeCell ref="W35"/>
    <mergeCell ref="X35"/>
    <mergeCell ref="Y35"/>
    <mergeCell ref="Z35"/>
    <mergeCell ref="AA35"/>
    <mergeCell ref="AB35"/>
    <mergeCell ref="AC35"/>
    <mergeCell ref="AD35"/>
    <mergeCell ref="AE35"/>
    <mergeCell ref="AF35"/>
    <mergeCell ref="AG35"/>
    <mergeCell ref="AH35"/>
    <mergeCell ref="AI35"/>
    <mergeCell ref="AJ35"/>
    <mergeCell ref="AK35"/>
    <mergeCell ref="AL35"/>
    <mergeCell ref="AM35"/>
    <mergeCell ref="AN35"/>
    <mergeCell ref="AO35"/>
    <mergeCell ref="AP35"/>
    <mergeCell ref="AQ35"/>
    <mergeCell ref="AR35"/>
    <mergeCell ref="AS35"/>
    <mergeCell ref="AT35"/>
    <mergeCell ref="AU35"/>
    <mergeCell ref="AV35"/>
    <mergeCell ref="AW35"/>
    <mergeCell ref="AX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U36"/>
    <mergeCell ref="V36"/>
    <mergeCell ref="W36"/>
    <mergeCell ref="X36"/>
    <mergeCell ref="Y36"/>
    <mergeCell ref="Z36"/>
    <mergeCell ref="AA36"/>
    <mergeCell ref="AB36"/>
    <mergeCell ref="AC36"/>
    <mergeCell ref="AD36"/>
    <mergeCell ref="AE36"/>
    <mergeCell ref="AF36"/>
    <mergeCell ref="AG36"/>
    <mergeCell ref="AH36"/>
    <mergeCell ref="AI36"/>
    <mergeCell ref="AJ36"/>
    <mergeCell ref="AK36"/>
    <mergeCell ref="AL36"/>
    <mergeCell ref="AM36"/>
    <mergeCell ref="AN36"/>
    <mergeCell ref="AO36"/>
    <mergeCell ref="AP36"/>
    <mergeCell ref="AQ36"/>
    <mergeCell ref="AR36"/>
    <mergeCell ref="AS36"/>
    <mergeCell ref="AT36"/>
    <mergeCell ref="AU36"/>
    <mergeCell ref="AV36"/>
    <mergeCell ref="AW36"/>
    <mergeCell ref="AX36"/>
    <mergeCell ref="A37"/>
    <mergeCell ref="B37"/>
    <mergeCell ref="C37"/>
    <mergeCell ref="D37"/>
    <mergeCell ref="E37"/>
    <mergeCell ref="F37"/>
    <mergeCell ref="G37"/>
    <mergeCell ref="H37"/>
    <mergeCell ref="I37"/>
    <mergeCell ref="J37"/>
    <mergeCell ref="K37"/>
    <mergeCell ref="L37"/>
    <mergeCell ref="M37"/>
    <mergeCell ref="N37"/>
    <mergeCell ref="O37"/>
    <mergeCell ref="P37"/>
    <mergeCell ref="Q37"/>
    <mergeCell ref="R37"/>
    <mergeCell ref="S37"/>
    <mergeCell ref="T37"/>
    <mergeCell ref="U37"/>
    <mergeCell ref="V37"/>
    <mergeCell ref="W37"/>
    <mergeCell ref="X37"/>
    <mergeCell ref="Y37"/>
    <mergeCell ref="Z37"/>
    <mergeCell ref="AA37"/>
    <mergeCell ref="AB37"/>
    <mergeCell ref="AC37"/>
    <mergeCell ref="AD37"/>
    <mergeCell ref="AE37"/>
    <mergeCell ref="AF37"/>
    <mergeCell ref="AG37"/>
    <mergeCell ref="AH37"/>
    <mergeCell ref="AI37"/>
    <mergeCell ref="AJ37"/>
    <mergeCell ref="AK37"/>
    <mergeCell ref="AL37"/>
    <mergeCell ref="AM37"/>
    <mergeCell ref="AN37"/>
    <mergeCell ref="AO37"/>
    <mergeCell ref="AP37"/>
    <mergeCell ref="AQ37"/>
    <mergeCell ref="AR37"/>
    <mergeCell ref="AS37"/>
    <mergeCell ref="AT37"/>
    <mergeCell ref="AU37"/>
    <mergeCell ref="AV37"/>
    <mergeCell ref="AW37"/>
    <mergeCell ref="AX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U38"/>
    <mergeCell ref="V38"/>
    <mergeCell ref="W38"/>
    <mergeCell ref="X38"/>
    <mergeCell ref="Y38"/>
    <mergeCell ref="Z38"/>
    <mergeCell ref="AA38"/>
    <mergeCell ref="AB38"/>
    <mergeCell ref="AC38"/>
    <mergeCell ref="AD38"/>
    <mergeCell ref="AE38"/>
    <mergeCell ref="AF38"/>
    <mergeCell ref="AG38"/>
    <mergeCell ref="AH38"/>
    <mergeCell ref="AI38"/>
    <mergeCell ref="AJ38"/>
    <mergeCell ref="AK38"/>
    <mergeCell ref="AL38"/>
    <mergeCell ref="AM38"/>
    <mergeCell ref="AN38"/>
    <mergeCell ref="AO38"/>
    <mergeCell ref="AP38"/>
    <mergeCell ref="AQ38"/>
    <mergeCell ref="AR38"/>
    <mergeCell ref="AS38"/>
    <mergeCell ref="AT38"/>
    <mergeCell ref="AU38"/>
    <mergeCell ref="AV38"/>
    <mergeCell ref="AW38"/>
    <mergeCell ref="AX38"/>
    <mergeCell ref="A39"/>
    <mergeCell ref="B39"/>
    <mergeCell ref="C39"/>
    <mergeCell ref="D39"/>
    <mergeCell ref="E39"/>
    <mergeCell ref="F39"/>
    <mergeCell ref="G39"/>
    <mergeCell ref="H39"/>
    <mergeCell ref="I39"/>
    <mergeCell ref="J39"/>
    <mergeCell ref="K39"/>
    <mergeCell ref="L39"/>
    <mergeCell ref="M39"/>
    <mergeCell ref="N39"/>
    <mergeCell ref="O39"/>
    <mergeCell ref="P39"/>
    <mergeCell ref="Q39"/>
    <mergeCell ref="R39"/>
    <mergeCell ref="S39"/>
    <mergeCell ref="T39"/>
    <mergeCell ref="U39"/>
    <mergeCell ref="V39"/>
    <mergeCell ref="W39"/>
    <mergeCell ref="X39"/>
    <mergeCell ref="Y39"/>
    <mergeCell ref="Z39"/>
    <mergeCell ref="AA39"/>
    <mergeCell ref="AB39"/>
    <mergeCell ref="AC39"/>
    <mergeCell ref="AD39"/>
    <mergeCell ref="AE39"/>
    <mergeCell ref="AF39"/>
    <mergeCell ref="AG39"/>
    <mergeCell ref="AH39"/>
    <mergeCell ref="AI39"/>
    <mergeCell ref="AJ39"/>
    <mergeCell ref="AK39"/>
    <mergeCell ref="AL39"/>
    <mergeCell ref="AM39"/>
    <mergeCell ref="AN39"/>
    <mergeCell ref="AO39"/>
    <mergeCell ref="AP39"/>
    <mergeCell ref="AQ39"/>
    <mergeCell ref="AR39"/>
    <mergeCell ref="AS39"/>
    <mergeCell ref="AT39"/>
    <mergeCell ref="AU39"/>
    <mergeCell ref="AV39"/>
    <mergeCell ref="AW39"/>
    <mergeCell ref="AX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U40"/>
    <mergeCell ref="V40"/>
    <mergeCell ref="W40"/>
    <mergeCell ref="X40"/>
    <mergeCell ref="Y40"/>
    <mergeCell ref="Z40"/>
    <mergeCell ref="AA40"/>
    <mergeCell ref="AB40"/>
    <mergeCell ref="AC40"/>
    <mergeCell ref="AD40"/>
    <mergeCell ref="AE40"/>
    <mergeCell ref="AF40"/>
    <mergeCell ref="AG40"/>
    <mergeCell ref="AH40"/>
    <mergeCell ref="AI40"/>
    <mergeCell ref="AJ40"/>
    <mergeCell ref="AK40"/>
    <mergeCell ref="AL40"/>
    <mergeCell ref="AM40"/>
    <mergeCell ref="AN40"/>
    <mergeCell ref="AO40"/>
    <mergeCell ref="AP40"/>
    <mergeCell ref="AQ40"/>
    <mergeCell ref="AR40"/>
    <mergeCell ref="AS40"/>
    <mergeCell ref="AT40"/>
    <mergeCell ref="AU40"/>
    <mergeCell ref="AV40"/>
    <mergeCell ref="AW40"/>
    <mergeCell ref="AX40"/>
    <mergeCell ref="A41"/>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41"/>
    <mergeCell ref="S41"/>
    <mergeCell ref="T41"/>
    <mergeCell ref="U41"/>
    <mergeCell ref="V41"/>
    <mergeCell ref="W41"/>
    <mergeCell ref="X41"/>
    <mergeCell ref="Y41"/>
    <mergeCell ref="Z41"/>
    <mergeCell ref="AA41"/>
    <mergeCell ref="AB41"/>
    <mergeCell ref="AC41"/>
    <mergeCell ref="AD41"/>
    <mergeCell ref="AE41"/>
    <mergeCell ref="AF41"/>
    <mergeCell ref="AG41"/>
    <mergeCell ref="AH41"/>
    <mergeCell ref="AI41"/>
    <mergeCell ref="AJ41"/>
    <mergeCell ref="AK41"/>
    <mergeCell ref="AL41"/>
    <mergeCell ref="AM41"/>
    <mergeCell ref="AN41"/>
    <mergeCell ref="AO41"/>
    <mergeCell ref="AP41"/>
    <mergeCell ref="AQ41"/>
    <mergeCell ref="AR41"/>
    <mergeCell ref="AS41"/>
    <mergeCell ref="AT41"/>
    <mergeCell ref="AU41"/>
    <mergeCell ref="AV41"/>
    <mergeCell ref="AW41"/>
    <mergeCell ref="AX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U42"/>
    <mergeCell ref="V42"/>
    <mergeCell ref="W42"/>
    <mergeCell ref="X42"/>
    <mergeCell ref="Y42"/>
    <mergeCell ref="Z42"/>
    <mergeCell ref="AA42"/>
    <mergeCell ref="AB42"/>
    <mergeCell ref="AC42"/>
    <mergeCell ref="AD42"/>
    <mergeCell ref="AE42"/>
    <mergeCell ref="AF42"/>
    <mergeCell ref="AG42"/>
    <mergeCell ref="AH42"/>
    <mergeCell ref="AI42"/>
    <mergeCell ref="AJ42"/>
    <mergeCell ref="AK42"/>
    <mergeCell ref="AL42"/>
    <mergeCell ref="AM42"/>
    <mergeCell ref="AN42"/>
    <mergeCell ref="AO42"/>
    <mergeCell ref="AP42"/>
    <mergeCell ref="AQ42"/>
    <mergeCell ref="AR42"/>
    <mergeCell ref="AS42"/>
    <mergeCell ref="AT42"/>
    <mergeCell ref="AU42"/>
    <mergeCell ref="AV42"/>
    <mergeCell ref="AW42"/>
    <mergeCell ref="AX42"/>
  </mergeCells>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53" sqref="I53"/>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61" t="str">
        <f>IF(项目基本情况!B9="房地产市场价值","估价结果一览表","结果表-2")</f>
        <v>结果表-2</v>
      </c>
      <c r="B1" s="3261"/>
      <c r="C1" s="3261"/>
      <c r="D1" s="3261"/>
      <c r="E1" s="3261"/>
      <c r="F1" s="3261"/>
      <c r="G1" s="3261"/>
      <c r="H1" s="3261"/>
      <c r="I1" s="3261"/>
    </row>
    <row r="2" spans="1:9" ht="30" customHeight="1" thickTop="1">
      <c r="A2" s="3262" t="s">
        <v>1365</v>
      </c>
      <c r="B2" s="3262" t="s">
        <v>1366</v>
      </c>
      <c r="C2" s="3262" t="s">
        <v>1367</v>
      </c>
      <c r="D2" s="3262" t="str">
        <f>结果表!D116</f>
        <v>出让国有建设用地使用权价值</v>
      </c>
      <c r="E2" s="3262"/>
      <c r="F2" s="3262" t="str">
        <f>结果表!F116</f>
        <v>在建建筑物价值</v>
      </c>
      <c r="G2" s="3262"/>
      <c r="H2" s="3262" t="str">
        <f>IF(项目基本情况!B9="房地产市场价值","房地产市场价值","房地产价值")</f>
        <v>房地产价值</v>
      </c>
      <c r="I2" s="3262"/>
    </row>
    <row r="3" spans="1:9" ht="15">
      <c r="A3" s="3256"/>
      <c r="B3" s="3256"/>
      <c r="C3" s="3256"/>
      <c r="D3" s="944" t="s">
        <v>1362</v>
      </c>
      <c r="E3" s="944" t="s">
        <v>1368</v>
      </c>
      <c r="F3" s="944" t="s">
        <v>1362</v>
      </c>
      <c r="G3" s="944" t="s">
        <v>1363</v>
      </c>
      <c r="H3" s="944" t="s">
        <v>1362</v>
      </c>
      <c r="I3" s="944" t="s">
        <v>1363</v>
      </c>
    </row>
    <row r="4" spans="1:9" ht="30">
      <c r="A4" s="1641" t="str">
        <f>项目基本情况!S2</f>
        <v>江苏省南京市栖霞区元化路8号2幢101室房地产</v>
      </c>
      <c r="B4" s="944">
        <f>项目基本情况!C17</f>
        <v>17198.239999999998</v>
      </c>
      <c r="C4" s="944">
        <f>项目基本情况!C18</f>
        <v>0</v>
      </c>
      <c r="D4" s="944">
        <f ca="1">结果表!D118</f>
        <v>6312</v>
      </c>
      <c r="E4" s="944">
        <f ca="1">结果表!E118</f>
        <v>3670</v>
      </c>
      <c r="F4" s="944">
        <f ca="1">结果表!F118</f>
        <v>22912</v>
      </c>
      <c r="G4" s="944">
        <f ca="1">结果表!G118</f>
        <v>13322</v>
      </c>
      <c r="H4" s="944">
        <f ca="1">结果表!H118</f>
        <v>29224</v>
      </c>
      <c r="I4" s="944">
        <f ca="1">结果表!I118</f>
        <v>16992</v>
      </c>
    </row>
    <row r="5" spans="1:9" ht="30" customHeight="1">
      <c r="A5" s="3256" t="s">
        <v>1364</v>
      </c>
      <c r="B5" s="3256"/>
      <c r="C5" s="3256"/>
      <c r="D5" s="3257" t="str">
        <f ca="1">结果表!D119</f>
        <v>陆仟叁佰壹拾贰万元整</v>
      </c>
      <c r="E5" s="3257"/>
      <c r="F5" s="3257" t="str">
        <f ca="1">结果表!F119</f>
        <v>贰亿贰仟玖佰壹拾贰万元整</v>
      </c>
      <c r="G5" s="3257"/>
      <c r="H5" s="3257" t="str">
        <f ca="1">结果表!H119</f>
        <v>贰亿玖仟贰佰贰拾肆万元整</v>
      </c>
      <c r="I5" s="3257"/>
    </row>
    <row r="6" spans="1:9" ht="15.75">
      <c r="A6" s="3255" t="str">
        <f>结果表!A120</f>
        <v>估价师知悉的法定优先受偿款</v>
      </c>
      <c r="B6" s="3255"/>
      <c r="C6" s="3255"/>
      <c r="D6" s="3255">
        <f>结果表!D120</f>
        <v>0</v>
      </c>
      <c r="E6" s="3255"/>
      <c r="F6" s="3255"/>
      <c r="G6" s="3255"/>
      <c r="H6" s="3255"/>
      <c r="I6" s="3255"/>
    </row>
    <row r="7" spans="1:9" ht="15">
      <c r="A7" s="3256" t="s">
        <v>1364</v>
      </c>
      <c r="B7" s="3256"/>
      <c r="C7" s="3256"/>
      <c r="D7" s="3258" t="str">
        <f>结果表!D121</f>
        <v>零元整</v>
      </c>
      <c r="E7" s="3259"/>
      <c r="F7" s="3259"/>
      <c r="G7" s="3259"/>
      <c r="H7" s="3259"/>
      <c r="I7" s="3260"/>
    </row>
    <row r="8" spans="1:9" ht="15.75">
      <c r="A8" s="3255" t="str">
        <f>结果表!A122</f>
        <v>房地产抵押价值</v>
      </c>
      <c r="B8" s="3255"/>
      <c r="C8" s="3255"/>
      <c r="D8" s="3255">
        <f ca="1">结果表!D122</f>
        <v>29224</v>
      </c>
      <c r="E8" s="3255"/>
      <c r="F8" s="3255"/>
      <c r="G8" s="3255"/>
      <c r="H8" s="3255"/>
      <c r="I8" s="3255"/>
    </row>
    <row r="9" spans="1:9" ht="15">
      <c r="A9" s="3256" t="s">
        <v>1364</v>
      </c>
      <c r="B9" s="3256"/>
      <c r="C9" s="3256"/>
      <c r="D9" s="3257" t="str">
        <f ca="1">结果表!D123</f>
        <v>贰亿玖仟贰佰贰拾肆万元整</v>
      </c>
      <c r="E9" s="3257"/>
      <c r="F9" s="3257"/>
      <c r="G9" s="3257"/>
      <c r="H9" s="3257"/>
      <c r="I9" s="3257"/>
    </row>
    <row r="10" spans="1:9" ht="15.75">
      <c r="A10" s="3255" t="str">
        <f>结果表!A124</f>
        <v/>
      </c>
      <c r="B10" s="3255"/>
      <c r="C10" s="3255"/>
      <c r="D10" s="3255" t="str">
        <f>结果表!D124</f>
        <v>——</v>
      </c>
      <c r="E10" s="3255"/>
      <c r="F10" s="3255"/>
      <c r="G10" s="3255"/>
      <c r="H10" s="3255"/>
      <c r="I10" s="3255"/>
    </row>
    <row r="11" spans="1:9" ht="15">
      <c r="A11" s="3256" t="s">
        <v>1364</v>
      </c>
      <c r="B11" s="3256"/>
      <c r="C11" s="3256"/>
      <c r="D11" s="3257" t="e">
        <f>结果表!D125</f>
        <v>#VALUE!</v>
      </c>
      <c r="E11" s="3257"/>
      <c r="F11" s="3257"/>
      <c r="G11" s="3257"/>
      <c r="H11" s="3257"/>
      <c r="I11" s="3257"/>
    </row>
    <row r="12" spans="1:9" ht="15.75">
      <c r="A12" s="3255" t="str">
        <f>结果表!A126</f>
        <v>抵押净值</v>
      </c>
      <c r="B12" s="3255"/>
      <c r="C12" s="3255"/>
      <c r="D12" s="3255">
        <f ca="1">结果表!D126</f>
        <v>29081</v>
      </c>
      <c r="E12" s="3255"/>
      <c r="F12" s="3255"/>
      <c r="G12" s="3255"/>
      <c r="H12" s="3255"/>
      <c r="I12" s="3255"/>
    </row>
    <row r="13" spans="1:9" ht="15.75" thickBot="1">
      <c r="A13" s="3252" t="s">
        <v>1364</v>
      </c>
      <c r="B13" s="3252"/>
      <c r="C13" s="3252"/>
      <c r="D13" s="3253" t="str">
        <f ca="1">结果表!D127</f>
        <v>贰亿玖仟零捌拾壹万元整</v>
      </c>
      <c r="E13" s="3253"/>
      <c r="F13" s="3253"/>
      <c r="G13" s="3253"/>
      <c r="H13" s="3253"/>
      <c r="I13" s="3253"/>
    </row>
    <row r="14" spans="1:9" ht="15" thickTop="1">
      <c r="A14" s="3254" t="s">
        <v>1369</v>
      </c>
      <c r="B14" s="3254"/>
      <c r="C14" s="3254"/>
      <c r="D14" s="3254"/>
      <c r="E14" s="3254"/>
      <c r="F14" s="3254"/>
      <c r="G14" s="3254"/>
      <c r="H14" s="3254"/>
      <c r="I14" s="325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9" t="s">
        <v>1386</v>
      </c>
      <c r="B1" s="3269"/>
      <c r="C1" s="3269"/>
      <c r="D1" s="3269"/>
    </row>
    <row r="2" spans="1:4" ht="18">
      <c r="A2" s="3270" t="s">
        <v>1370</v>
      </c>
      <c r="B2" s="3270"/>
      <c r="C2" s="3270"/>
      <c r="D2" s="3270"/>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70" t="s">
        <v>1376</v>
      </c>
      <c r="B6" s="3270"/>
      <c r="C6" s="3270"/>
      <c r="D6" s="327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71" t="s">
        <v>1379</v>
      </c>
      <c r="B11" s="3263"/>
      <c r="C11" s="3263"/>
      <c r="D11" s="3263"/>
    </row>
    <row r="12" spans="1:4" ht="15.75">
      <c r="A12" s="3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8"/>
      <c r="C12" s="3268"/>
      <c r="D12" s="3268"/>
    </row>
    <row r="13" spans="1:4" ht="30" customHeight="1">
      <c r="A13" s="32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8"/>
      <c r="C13" s="3268"/>
      <c r="D13" s="3268"/>
    </row>
    <row r="14" spans="1:4" ht="15.75" customHeight="1">
      <c r="A14" s="3263" t="str">
        <f>IF(项目基本情况!B8="抵押","4.本次评估估价师所知悉的法定优先受偿款情况说明如下：","——")</f>
        <v>4.本次评估估价师所知悉的法定优先受偿款情况说明如下：</v>
      </c>
      <c r="B14" s="3268"/>
      <c r="C14" s="3268"/>
      <c r="D14" s="3268"/>
    </row>
    <row r="15" spans="1:4" ht="42" customHeight="1">
      <c r="A15" s="32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3"/>
      <c r="C15" s="3263"/>
      <c r="D15" s="3263"/>
    </row>
    <row r="16" spans="1:4" ht="30" customHeight="1">
      <c r="A16" s="3265" t="s">
        <v>1380</v>
      </c>
      <c r="B16" s="3265"/>
      <c r="C16" s="3265"/>
      <c r="D16" s="3265"/>
    </row>
    <row r="17" spans="1:4" ht="144" customHeight="1">
      <c r="A17" s="3265" t="s">
        <v>1381</v>
      </c>
      <c r="B17" s="3265"/>
      <c r="C17" s="3265"/>
      <c r="D17" s="3265"/>
    </row>
    <row r="18" spans="1:4" ht="15.75" customHeight="1">
      <c r="A18" s="3263" t="str">
        <f>IF(项目基本情况!B8="抵押",结果表!K120,"——")</f>
        <v>故，本次评估不存在估价师知悉的法定优先受偿款</v>
      </c>
      <c r="B18" s="3263"/>
      <c r="C18" s="3263"/>
      <c r="D18" s="3263"/>
    </row>
    <row r="19" spans="1:4" ht="46.5" customHeight="1">
      <c r="A19" s="3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3"/>
      <c r="C19" s="3263"/>
      <c r="D19" s="3263"/>
    </row>
    <row r="20" spans="1:4" ht="57.75" customHeight="1">
      <c r="A20" s="3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3"/>
      <c r="C20" s="3263"/>
      <c r="D20" s="3263"/>
    </row>
    <row r="21" spans="1:4" ht="57.75" customHeight="1">
      <c r="A21" s="32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6"/>
      <c r="C21" s="3266"/>
      <c r="D21" s="3266"/>
    </row>
    <row r="22" spans="1:4" ht="18.75" customHeight="1">
      <c r="A22" s="3267" t="s">
        <v>1382</v>
      </c>
      <c r="B22" s="3267"/>
      <c r="C22" s="3267"/>
      <c r="D22" s="326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4">
        <v>42551</v>
      </c>
      <c r="D31" s="32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7" t="s">
        <v>1393</v>
      </c>
      <c r="B15" s="3272" t="s">
        <v>136</v>
      </c>
      <c r="C15" s="3273"/>
    </row>
    <row r="16" spans="1:7" ht="13.5">
      <c r="A16" s="3278"/>
      <c r="B16" s="3272" t="s">
        <v>69</v>
      </c>
      <c r="C16" s="3273"/>
    </row>
    <row r="17" spans="1:3" ht="13.5">
      <c r="A17" s="3278"/>
      <c r="B17" s="3275" t="s">
        <v>1394</v>
      </c>
      <c r="C17" s="1668" t="s">
        <v>1393</v>
      </c>
    </row>
    <row r="18" spans="1:3" ht="13.5">
      <c r="A18" s="3278"/>
      <c r="B18" s="3275"/>
      <c r="C18" s="1668" t="s">
        <v>1395</v>
      </c>
    </row>
    <row r="19" spans="1:3" ht="13.5">
      <c r="A19" s="3278"/>
      <c r="B19" s="3275"/>
      <c r="C19" s="1668" t="s">
        <v>1396</v>
      </c>
    </row>
    <row r="20" spans="1:3" ht="13.5">
      <c r="A20" s="3279"/>
      <c r="B20" s="3274" t="s">
        <v>1397</v>
      </c>
      <c r="C20" s="3273"/>
    </row>
    <row r="21" spans="1:3" ht="13.5">
      <c r="A21" s="1669" t="s">
        <v>1398</v>
      </c>
      <c r="B21" s="1670"/>
      <c r="C21" s="1671"/>
    </row>
    <row r="22" spans="1:3" ht="13.5">
      <c r="A22" s="3276" t="s">
        <v>1399</v>
      </c>
      <c r="B22" s="3274" t="s">
        <v>1400</v>
      </c>
      <c r="C22" s="3273"/>
    </row>
    <row r="23" spans="1:3" ht="13.5">
      <c r="A23" s="3276"/>
      <c r="B23" s="3274" t="s">
        <v>1401</v>
      </c>
      <c r="C23" s="3273"/>
    </row>
    <row r="24" spans="1:3" ht="13.5">
      <c r="A24" s="3276"/>
      <c r="B24" s="3274" t="s">
        <v>1402</v>
      </c>
      <c r="C24" s="3273"/>
    </row>
    <row r="25" spans="1:3" ht="13.5">
      <c r="A25" s="3276"/>
      <c r="B25" s="3275" t="s">
        <v>1403</v>
      </c>
      <c r="C25" s="1668" t="s">
        <v>1404</v>
      </c>
    </row>
    <row r="26" spans="1:3" ht="13.5">
      <c r="A26" s="3276"/>
      <c r="B26" s="3275"/>
      <c r="C26" s="1668" t="s">
        <v>1405</v>
      </c>
    </row>
    <row r="27" spans="1:3" ht="13.5">
      <c r="A27" s="3276"/>
      <c r="B27" s="3275"/>
      <c r="C27" s="1668" t="s">
        <v>1406</v>
      </c>
    </row>
    <row r="28" spans="1:3" ht="13.5">
      <c r="A28" s="3276"/>
      <c r="B28" s="3275"/>
      <c r="C28" s="1668" t="s">
        <v>1407</v>
      </c>
    </row>
    <row r="29" spans="1:3" ht="13.5">
      <c r="A29" s="3276"/>
      <c r="B29" s="3275"/>
      <c r="C29" s="1668" t="s">
        <v>1408</v>
      </c>
    </row>
    <row r="30" spans="1:3" ht="13.5">
      <c r="A30" s="3276"/>
      <c r="B30" s="3275"/>
      <c r="C30" s="1668" t="s">
        <v>1409</v>
      </c>
    </row>
    <row r="31" spans="1:3" ht="13.5">
      <c r="A31" s="3276"/>
      <c r="B31" s="3275"/>
      <c r="C31" s="1668" t="s">
        <v>1410</v>
      </c>
    </row>
    <row r="32" spans="1:3" ht="13.5">
      <c r="A32" s="3276"/>
      <c r="B32" s="3275"/>
      <c r="C32" s="1668" t="s">
        <v>1411</v>
      </c>
    </row>
    <row r="33" spans="1:3" ht="13.5">
      <c r="A33" s="3276"/>
      <c r="B33" s="327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44805</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80" t="s">
        <v>2660</v>
      </c>
      <c r="B17" s="3280"/>
      <c r="C17" s="3280"/>
      <c r="D17" s="3280"/>
      <c r="E17" s="3280"/>
      <c r="F17" s="3280"/>
      <c r="G17" s="3280"/>
      <c r="H17" s="3280"/>
    </row>
    <row r="18" spans="1:8" ht="24" customHeight="1">
      <c r="A18" s="3281" t="s">
        <v>2661</v>
      </c>
      <c r="B18" s="3281"/>
      <c r="C18" s="3281"/>
      <c r="D18" s="2517"/>
      <c r="E18" s="3282" t="s">
        <v>2662</v>
      </c>
      <c r="F18" s="3281"/>
      <c r="G18" s="3281"/>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酒店</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2022-09-01T03:16:35Z</dcterms:modified>
</cp:coreProperties>
</file>