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4"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租金" sheetId="77"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78" r:id="rId24"/>
    <sheet name="收益法-商业" sheetId="15" r:id="rId25"/>
    <sheet name="收益法 (元)" sheetId="67" state="hidden" r:id="rId26"/>
    <sheet name="收益法-办公" sheetId="79" r:id="rId27"/>
    <sheet name="收益法-车库" sheetId="80"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5">'收益法 (元)'!$A$1:$AK$69</definedName>
    <definedName name="_xlnm.Print_Area" localSheetId="26">'收益法-办公'!$A$1:$AK$69</definedName>
    <definedName name="_xlnm.Print_Area" localSheetId="27">'收益法-车库'!$A$1:$AK$69</definedName>
    <definedName name="_xlnm.Print_Area" localSheetId="24">'收益法-商业'!$A$1:$AK$69</definedName>
    <definedName name="_xlnm.Print_Area" localSheetId="13">'数据-汇总表'!$A$1:$P$32</definedName>
    <definedName name="_xlnm.Print_Area" localSheetId="11">'数据-基础表'!$A$1:$P$15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0" i="77" l="1"/>
  <c r="M10" i="77"/>
  <c r="Q72" i="80" l="1"/>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8" i="1"/>
  <c r="AF7" i="1"/>
  <c r="AA7" i="1"/>
  <c r="AD7" i="1"/>
  <c r="Y7" i="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F6" i="1"/>
  <c r="AD6" i="1"/>
  <c r="AA6" i="1"/>
  <c r="Y6" i="1"/>
  <c r="O18" i="77"/>
  <c r="N18" i="77"/>
  <c r="M18" i="77"/>
  <c r="M17" i="77"/>
  <c r="M20" i="77"/>
  <c r="M19" i="77"/>
  <c r="N17" i="77"/>
  <c r="M26" i="77"/>
  <c r="M15" i="77"/>
  <c r="G57" i="77"/>
  <c r="G55" i="77"/>
  <c r="G56" i="77"/>
  <c r="M12" i="77"/>
  <c r="Z7" i="1" s="1"/>
  <c r="Q8" i="77"/>
  <c r="N6" i="77"/>
  <c r="N7" i="77"/>
  <c r="N8" i="77"/>
  <c r="N5" i="77"/>
  <c r="M8" i="77"/>
  <c r="M7" i="77"/>
  <c r="M6" i="77"/>
  <c r="M5" i="77"/>
  <c r="M9" i="77"/>
  <c r="K1" i="77"/>
  <c r="N20" i="77"/>
  <c r="G59" i="77"/>
  <c r="G58" i="77"/>
  <c r="I54" i="77"/>
  <c r="I53" i="77"/>
  <c r="J52" i="77"/>
  <c r="I52" i="77" s="1"/>
  <c r="J51" i="77"/>
  <c r="I51" i="77"/>
  <c r="J50" i="77"/>
  <c r="I50" i="77"/>
  <c r="J49" i="77"/>
  <c r="I49" i="77" s="1"/>
  <c r="J48" i="77"/>
  <c r="I48" i="77"/>
  <c r="J47" i="77"/>
  <c r="I47" i="77" s="1"/>
  <c r="J46" i="77"/>
  <c r="I46" i="77" s="1"/>
  <c r="J45" i="77"/>
  <c r="I45" i="77" s="1"/>
  <c r="J44" i="77"/>
  <c r="I44" i="77" s="1"/>
  <c r="J43" i="77"/>
  <c r="I43" i="77" s="1"/>
  <c r="J42" i="77"/>
  <c r="I42" i="77" s="1"/>
  <c r="J41" i="77"/>
  <c r="I41" i="77" s="1"/>
  <c r="G41" i="78"/>
  <c r="D39" i="78"/>
  <c r="D29" i="78"/>
  <c r="G60" i="78"/>
  <c r="G61" i="78"/>
  <c r="G62" i="78"/>
  <c r="G63" i="78"/>
  <c r="G64" i="78"/>
  <c r="G65" i="78"/>
  <c r="G66" i="78"/>
  <c r="M66" i="78" s="1"/>
  <c r="N66" i="78" s="1"/>
  <c r="G67" i="78"/>
  <c r="G59" i="78"/>
  <c r="M59" i="78" s="1"/>
  <c r="N59" i="78" s="1"/>
  <c r="F113" i="78"/>
  <c r="N99" i="78"/>
  <c r="M99" i="78"/>
  <c r="M108" i="78" s="1"/>
  <c r="L99" i="78"/>
  <c r="K99" i="78"/>
  <c r="K108" i="78" s="1"/>
  <c r="J99" i="78"/>
  <c r="I99" i="78"/>
  <c r="I108" i="78" s="1"/>
  <c r="H99" i="78"/>
  <c r="G99" i="78"/>
  <c r="G108" i="78" s="1"/>
  <c r="F99" i="78"/>
  <c r="E99" i="78"/>
  <c r="E108" i="78" s="1"/>
  <c r="D99" i="78"/>
  <c r="D108" i="78" s="1"/>
  <c r="C99" i="78"/>
  <c r="C100" i="78" s="1"/>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M81" i="78"/>
  <c r="N81" i="78" s="1"/>
  <c r="K81" i="78"/>
  <c r="J81" i="78" s="1"/>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K67" i="78"/>
  <c r="J67" i="78" s="1"/>
  <c r="D67" i="78"/>
  <c r="B67" i="78"/>
  <c r="K66" i="78"/>
  <c r="J66" i="78" s="1"/>
  <c r="B66" i="78"/>
  <c r="M65" i="78"/>
  <c r="N65" i="78" s="1"/>
  <c r="K65" i="78"/>
  <c r="J65" i="78" s="1"/>
  <c r="D65" i="78"/>
  <c r="B65" i="78"/>
  <c r="N64" i="78"/>
  <c r="M64" i="78"/>
  <c r="K64" i="78"/>
  <c r="J64" i="78" s="1"/>
  <c r="N63" i="78"/>
  <c r="M63" i="78"/>
  <c r="K63" i="78"/>
  <c r="J63" i="78" s="1"/>
  <c r="D63" i="78"/>
  <c r="B63" i="78"/>
  <c r="M62" i="78"/>
  <c r="N62" i="78" s="1"/>
  <c r="K62" i="78"/>
  <c r="J62" i="78" s="1"/>
  <c r="D62" i="78"/>
  <c r="M61" i="78"/>
  <c r="N61" i="78" s="1"/>
  <c r="K61" i="78"/>
  <c r="J61" i="78" s="1"/>
  <c r="D61" i="78"/>
  <c r="B61" i="78"/>
  <c r="N60" i="78"/>
  <c r="M60" i="78"/>
  <c r="K60" i="78"/>
  <c r="J60" i="78" s="1"/>
  <c r="B60" i="78"/>
  <c r="K59" i="78"/>
  <c r="J59" i="78" s="1"/>
  <c r="D59" i="78"/>
  <c r="B59" i="78"/>
  <c r="B56" i="78"/>
  <c r="B55" i="78"/>
  <c r="B54" i="78"/>
  <c r="D52" i="78"/>
  <c r="B52" i="78"/>
  <c r="D51" i="78"/>
  <c r="B50" i="78"/>
  <c r="B49" i="78"/>
  <c r="B48" i="78"/>
  <c r="H39" i="78"/>
  <c r="H38" i="78"/>
  <c r="H37" i="78"/>
  <c r="H36" i="78"/>
  <c r="H35" i="78"/>
  <c r="H34" i="78"/>
  <c r="H33" i="78"/>
  <c r="J20" i="78"/>
  <c r="I20" i="78"/>
  <c r="O19" i="78"/>
  <c r="M19" i="78"/>
  <c r="I19" i="78"/>
  <c r="G19" i="78"/>
  <c r="P24" i="78" s="1"/>
  <c r="C19" i="78"/>
  <c r="C18" i="78"/>
  <c r="C16" i="78"/>
  <c r="F15" i="78"/>
  <c r="E15" i="78"/>
  <c r="D15" i="78"/>
  <c r="C15" i="78"/>
  <c r="C12" i="78" s="1"/>
  <c r="AI12" i="78"/>
  <c r="AG12" i="78"/>
  <c r="AE12" i="78"/>
  <c r="AC12" i="78"/>
  <c r="AA12" i="78"/>
  <c r="Y12" i="78"/>
  <c r="Y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C7" i="78"/>
  <c r="A7" i="78"/>
  <c r="G3" i="78"/>
  <c r="D1" i="78"/>
  <c r="I2" i="78"/>
  <c r="N12" i="78" s="1"/>
  <c r="G2" i="78"/>
  <c r="H113" i="78" s="1"/>
  <c r="M1" i="78"/>
  <c r="G49" i="43"/>
  <c r="G50" i="43"/>
  <c r="G51" i="43"/>
  <c r="G52" i="43"/>
  <c r="G53" i="43"/>
  <c r="G54" i="43"/>
  <c r="G55" i="43"/>
  <c r="G56" i="43"/>
  <c r="G48" i="43"/>
  <c r="D40" i="43"/>
  <c r="D33" i="43"/>
  <c r="D29" i="43"/>
  <c r="U2" i="43"/>
  <c r="N7" i="1"/>
  <c r="N8" i="1"/>
  <c r="N6" i="1"/>
  <c r="G21" i="6"/>
  <c r="F20" i="6"/>
  <c r="G19" i="6"/>
  <c r="F19" i="6"/>
  <c r="C21" i="6"/>
  <c r="C20" i="6"/>
  <c r="C19" i="6"/>
  <c r="J40" i="77"/>
  <c r="I40" i="77" s="1"/>
  <c r="J39" i="77"/>
  <c r="I39" i="77" s="1"/>
  <c r="J38" i="77"/>
  <c r="I38" i="77" s="1"/>
  <c r="J37" i="77"/>
  <c r="I37" i="77" s="1"/>
  <c r="J36" i="77"/>
  <c r="I36" i="77" s="1"/>
  <c r="J35" i="77"/>
  <c r="I35" i="77" s="1"/>
  <c r="J34" i="77"/>
  <c r="I34" i="77" s="1"/>
  <c r="J33" i="77"/>
  <c r="I33" i="77" s="1"/>
  <c r="J32" i="77"/>
  <c r="I32" i="77" s="1"/>
  <c r="J31" i="77"/>
  <c r="I31" i="77" s="1"/>
  <c r="J30" i="77"/>
  <c r="I30" i="77" s="1"/>
  <c r="J29" i="77"/>
  <c r="I29" i="77" s="1"/>
  <c r="J28" i="77"/>
  <c r="I28" i="77" s="1"/>
  <c r="O28" i="77"/>
  <c r="J27" i="77"/>
  <c r="I27" i="77" s="1"/>
  <c r="J26" i="77"/>
  <c r="I26" i="77" s="1"/>
  <c r="J25" i="77"/>
  <c r="I25" i="77" s="1"/>
  <c r="J24" i="77"/>
  <c r="I24" i="77" s="1"/>
  <c r="S24" i="77"/>
  <c r="S18" i="77" s="1"/>
  <c r="R24" i="77"/>
  <c r="R17" i="77" s="1"/>
  <c r="Q24" i="77"/>
  <c r="Q17" i="77" s="1"/>
  <c r="P24" i="77"/>
  <c r="P17" i="77" s="1"/>
  <c r="O24" i="77"/>
  <c r="O17" i="77" s="1"/>
  <c r="N24" i="77"/>
  <c r="J23" i="77"/>
  <c r="I23" i="77" s="1"/>
  <c r="M23" i="77"/>
  <c r="Z6" i="1" s="1"/>
  <c r="J22" i="77"/>
  <c r="I22" i="77" s="1"/>
  <c r="J21" i="77"/>
  <c r="I21" i="77"/>
  <c r="J20" i="77"/>
  <c r="I20" i="77" s="1"/>
  <c r="J19" i="77"/>
  <c r="I19" i="77" s="1"/>
  <c r="J18" i="77"/>
  <c r="I18" i="77" s="1"/>
  <c r="J17" i="77"/>
  <c r="I17" i="77"/>
  <c r="J16" i="77"/>
  <c r="I16" i="77" s="1"/>
  <c r="J15" i="77"/>
  <c r="I15" i="77" s="1"/>
  <c r="J14" i="77"/>
  <c r="I14" i="77" s="1"/>
  <c r="N13" i="77"/>
  <c r="J13" i="77"/>
  <c r="I13" i="77" s="1"/>
  <c r="J12" i="77"/>
  <c r="I12" i="77" s="1"/>
  <c r="J11" i="77"/>
  <c r="I11" i="77" s="1"/>
  <c r="J10" i="77"/>
  <c r="I10" i="77" s="1"/>
  <c r="J9" i="77"/>
  <c r="I9" i="77" s="1"/>
  <c r="J8" i="77"/>
  <c r="I8" i="77" s="1"/>
  <c r="J7" i="77"/>
  <c r="I7" i="77"/>
  <c r="I6" i="77"/>
  <c r="G6" i="77"/>
  <c r="J6" i="77" s="1"/>
  <c r="G5" i="77"/>
  <c r="G4" i="77"/>
  <c r="C76" i="80"/>
  <c r="M9" i="79"/>
  <c r="P13" i="77" l="1"/>
  <c r="P9" i="77" s="1"/>
  <c r="N9" i="77"/>
  <c r="P18" i="77"/>
  <c r="Q18" i="77"/>
  <c r="S17" i="77"/>
  <c r="S19" i="77"/>
  <c r="R18" i="77"/>
  <c r="S20" i="77"/>
  <c r="Q71" i="80"/>
  <c r="D24" i="80"/>
  <c r="P61" i="80"/>
  <c r="D22" i="80"/>
  <c r="D24" i="79"/>
  <c r="P61" i="79"/>
  <c r="D22" i="79"/>
  <c r="R19" i="77"/>
  <c r="I55" i="77"/>
  <c r="D60" i="78"/>
  <c r="D64" i="78"/>
  <c r="E59" i="78" s="1"/>
  <c r="B57" i="78" s="1"/>
  <c r="D66" i="78"/>
  <c r="F59" i="78"/>
  <c r="C23" i="78"/>
  <c r="C21" i="78" s="1"/>
  <c r="E9" i="78"/>
  <c r="E8" i="78"/>
  <c r="E11" i="78"/>
  <c r="E10" i="78"/>
  <c r="N5" i="78"/>
  <c r="N6" i="78"/>
  <c r="M7" i="78"/>
  <c r="S7" i="78"/>
  <c r="Z7" i="78"/>
  <c r="M8" i="78"/>
  <c r="M9" i="78"/>
  <c r="N10" i="78"/>
  <c r="Z10" i="78"/>
  <c r="AB10" i="78"/>
  <c r="AD10" i="78"/>
  <c r="AF10" i="78"/>
  <c r="AH10" i="78"/>
  <c r="AJ10" i="78"/>
  <c r="N11" i="78"/>
  <c r="Z11" i="78"/>
  <c r="Z13" i="78" s="1"/>
  <c r="AB11" i="78"/>
  <c r="AB13" i="78" s="1"/>
  <c r="AD11" i="78"/>
  <c r="AD13" i="78" s="1"/>
  <c r="AF11" i="78"/>
  <c r="AF13" i="78" s="1"/>
  <c r="AH11" i="78"/>
  <c r="AH13" i="78" s="1"/>
  <c r="AJ11" i="78"/>
  <c r="AJ13" i="78" s="1"/>
  <c r="M12" i="78"/>
  <c r="D17" i="78"/>
  <c r="I17" i="78"/>
  <c r="K17" i="78"/>
  <c r="M17" i="78"/>
  <c r="O17" i="78"/>
  <c r="M20" i="78"/>
  <c r="P21" i="78"/>
  <c r="E22" i="78"/>
  <c r="G22" i="78"/>
  <c r="J22" i="78"/>
  <c r="P25" i="78"/>
  <c r="H66" i="78"/>
  <c r="H67" i="78"/>
  <c r="H65" i="78"/>
  <c r="H62" i="78"/>
  <c r="H61" i="78"/>
  <c r="H63" i="78"/>
  <c r="N2" i="78"/>
  <c r="N101" i="78"/>
  <c r="L101" i="78"/>
  <c r="J101" i="78"/>
  <c r="H101" i="78"/>
  <c r="F101" i="78"/>
  <c r="D101" i="78"/>
  <c r="M101" i="78"/>
  <c r="I101" i="78"/>
  <c r="E101" i="78"/>
  <c r="B113" i="78"/>
  <c r="K101" i="78"/>
  <c r="G101" i="78"/>
  <c r="C101" i="78"/>
  <c r="N3" i="78"/>
  <c r="M4" i="78"/>
  <c r="S4" i="78"/>
  <c r="N1" i="78"/>
  <c r="M2" i="78"/>
  <c r="S2" i="78"/>
  <c r="M3" i="78"/>
  <c r="S3" i="78"/>
  <c r="N4" i="78"/>
  <c r="M5" i="78"/>
  <c r="S5" i="78"/>
  <c r="M6" i="78"/>
  <c r="C6" i="78" s="1"/>
  <c r="S6" i="78"/>
  <c r="N7" i="78"/>
  <c r="X7" i="78"/>
  <c r="N8" i="78"/>
  <c r="N9" i="78"/>
  <c r="M10" i="78"/>
  <c r="M11" i="78"/>
  <c r="Y11" i="78"/>
  <c r="Y13" i="78" s="1"/>
  <c r="AA11" i="78"/>
  <c r="AA13" i="78" s="1"/>
  <c r="AC11" i="78"/>
  <c r="AC13" i="78" s="1"/>
  <c r="AE11" i="78"/>
  <c r="AE13" i="78" s="1"/>
  <c r="AG11" i="78"/>
  <c r="AG13" i="78" s="1"/>
  <c r="AI11" i="78"/>
  <c r="AI13" i="78" s="1"/>
  <c r="C17" i="78"/>
  <c r="E17" i="78"/>
  <c r="H17" i="78"/>
  <c r="J17" i="78"/>
  <c r="L17" i="78"/>
  <c r="N17" i="78"/>
  <c r="F22" i="78"/>
  <c r="H22" i="78"/>
  <c r="P22" i="78"/>
  <c r="P23" i="78"/>
  <c r="F33" i="78"/>
  <c r="F34" i="78"/>
  <c r="F35" i="78"/>
  <c r="F36" i="78"/>
  <c r="F37" i="78"/>
  <c r="F38" i="78"/>
  <c r="F39" i="78"/>
  <c r="F48" i="78"/>
  <c r="H59" i="78"/>
  <c r="H60" i="78"/>
  <c r="H64" i="78"/>
  <c r="E109" i="78"/>
  <c r="G109" i="78"/>
  <c r="I109" i="78"/>
  <c r="K109" i="78"/>
  <c r="M109" i="78"/>
  <c r="H70" i="78"/>
  <c r="H72" i="78"/>
  <c r="H74" i="78"/>
  <c r="H77" i="78"/>
  <c r="H78" i="78"/>
  <c r="H81" i="78"/>
  <c r="H83" i="78"/>
  <c r="H85" i="78"/>
  <c r="H88" i="78"/>
  <c r="D109" i="78"/>
  <c r="F108" i="78"/>
  <c r="F109" i="78" s="1"/>
  <c r="F100" i="78"/>
  <c r="H108" i="78"/>
  <c r="H109" i="78" s="1"/>
  <c r="H100" i="78"/>
  <c r="J108" i="78"/>
  <c r="J109" i="78" s="1"/>
  <c r="J100" i="78"/>
  <c r="L108" i="78"/>
  <c r="L109" i="78" s="1"/>
  <c r="L100" i="78"/>
  <c r="N108" i="78"/>
  <c r="N109" i="78" s="1"/>
  <c r="N100" i="78"/>
  <c r="D100" i="78"/>
  <c r="G100" i="78"/>
  <c r="K100" i="78"/>
  <c r="C108" i="78"/>
  <c r="C109" i="78" s="1"/>
  <c r="H71" i="78"/>
  <c r="H73" i="78"/>
  <c r="H75" i="78"/>
  <c r="H82" i="78"/>
  <c r="H84" i="78"/>
  <c r="H86" i="78"/>
  <c r="E100" i="78"/>
  <c r="I100" i="78"/>
  <c r="M100" i="78"/>
  <c r="J5" i="77"/>
  <c r="Q13" i="77"/>
  <c r="Q9" i="77" s="1"/>
  <c r="O13" i="77"/>
  <c r="O9" i="77" s="1"/>
  <c r="M21" i="77"/>
  <c r="J4" i="77"/>
  <c r="O6" i="77"/>
  <c r="F7" i="80"/>
  <c r="F37" i="80"/>
  <c r="F9" i="80"/>
  <c r="F42" i="79"/>
  <c r="F16" i="80"/>
  <c r="F36" i="80"/>
  <c r="M6" i="79"/>
  <c r="M6" i="80"/>
  <c r="F38" i="80"/>
  <c r="C76" i="79"/>
  <c r="M9" i="80"/>
  <c r="M26" i="80"/>
  <c r="L47" i="79"/>
  <c r="M22" i="80"/>
  <c r="F40" i="80"/>
  <c r="L48" i="79"/>
  <c r="M8" i="79"/>
  <c r="F13" i="80"/>
  <c r="F16" i="79"/>
  <c r="M26" i="79"/>
  <c r="J15" i="80"/>
  <c r="C14" i="79"/>
  <c r="M23" i="79"/>
  <c r="F6" i="80"/>
  <c r="F9" i="79"/>
  <c r="F26" i="79"/>
  <c r="M24" i="79"/>
  <c r="M8" i="80"/>
  <c r="F8" i="79"/>
  <c r="M29" i="79"/>
  <c r="F43" i="80"/>
  <c r="F43" i="79"/>
  <c r="J15" i="79"/>
  <c r="L48" i="80"/>
  <c r="F40" i="79"/>
  <c r="F38" i="79"/>
  <c r="M24" i="80"/>
  <c r="L47" i="80"/>
  <c r="F36" i="79"/>
  <c r="C14" i="80"/>
  <c r="M29" i="80"/>
  <c r="F7" i="79"/>
  <c r="F8" i="80"/>
  <c r="M28" i="80"/>
  <c r="M28" i="79"/>
  <c r="M23" i="80"/>
  <c r="F42" i="80"/>
  <c r="M22" i="79"/>
  <c r="F26" i="80"/>
  <c r="F37" i="79"/>
  <c r="F13" i="79"/>
  <c r="P5" i="77" l="1"/>
  <c r="P6" i="77"/>
  <c r="N59" i="80"/>
  <c r="L59" i="80"/>
  <c r="L58" i="80"/>
  <c r="M59" i="80"/>
  <c r="F50" i="80"/>
  <c r="M7" i="80"/>
  <c r="J6" i="80" s="1"/>
  <c r="F66" i="80"/>
  <c r="F64" i="80"/>
  <c r="C6" i="80"/>
  <c r="L57" i="80"/>
  <c r="L56" i="80"/>
  <c r="J53" i="80"/>
  <c r="J57" i="80"/>
  <c r="J55" i="80" s="1"/>
  <c r="J58" i="80" s="1"/>
  <c r="Q50" i="80" s="1"/>
  <c r="I54" i="80"/>
  <c r="L60" i="80"/>
  <c r="F71" i="80"/>
  <c r="F68" i="80"/>
  <c r="F51" i="80"/>
  <c r="F65" i="80"/>
  <c r="C27" i="80"/>
  <c r="C18" i="80"/>
  <c r="C15" i="80"/>
  <c r="F64" i="79"/>
  <c r="F66" i="79"/>
  <c r="F50" i="79"/>
  <c r="M7" i="79"/>
  <c r="N59" i="79"/>
  <c r="L59" i="79"/>
  <c r="L58" i="79"/>
  <c r="M59" i="79"/>
  <c r="Q71" i="79"/>
  <c r="J6" i="79"/>
  <c r="C27" i="79"/>
  <c r="F65" i="79"/>
  <c r="C18" i="79"/>
  <c r="C15" i="79"/>
  <c r="F51" i="79"/>
  <c r="F68" i="79"/>
  <c r="F71" i="79"/>
  <c r="L57" i="79"/>
  <c r="L56" i="79"/>
  <c r="I54" i="79"/>
  <c r="L60" i="79"/>
  <c r="J53" i="79"/>
  <c r="J57" i="79"/>
  <c r="J55" i="79" s="1"/>
  <c r="J58" i="79" s="1"/>
  <c r="Q50" i="79" s="1"/>
  <c r="Q7" i="77"/>
  <c r="Q5" i="77"/>
  <c r="Q6" i="77"/>
  <c r="O5" i="77"/>
  <c r="O10" i="77" s="1"/>
  <c r="H56" i="78"/>
  <c r="H55" i="78"/>
  <c r="H54" i="78"/>
  <c r="H53" i="78"/>
  <c r="H50" i="78"/>
  <c r="H49" i="78"/>
  <c r="H48" i="78"/>
  <c r="H52" i="78"/>
  <c r="H51" i="78"/>
  <c r="G107" i="78"/>
  <c r="G106" i="78"/>
  <c r="G105" i="78"/>
  <c r="G104" i="78"/>
  <c r="G103" i="78"/>
  <c r="G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B118" i="78"/>
  <c r="C118" i="78" s="1"/>
  <c r="B117" i="78"/>
  <c r="C117" i="78" s="1"/>
  <c r="B116" i="78"/>
  <c r="C116" i="78" s="1"/>
  <c r="B115"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D22" i="78"/>
  <c r="G17" i="78"/>
  <c r="C5" i="78"/>
  <c r="D5" i="78"/>
  <c r="C107" i="78"/>
  <c r="C106" i="78"/>
  <c r="C105" i="78"/>
  <c r="C104" i="78"/>
  <c r="C103" i="78"/>
  <c r="C102" i="78"/>
  <c r="K107" i="78"/>
  <c r="K106" i="78"/>
  <c r="K105" i="78"/>
  <c r="K104" i="78"/>
  <c r="K103" i="78"/>
  <c r="K102" i="78"/>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P7" i="77"/>
  <c r="O7" i="77"/>
  <c r="J55" i="77"/>
  <c r="N19" i="77"/>
  <c r="I4" i="77"/>
  <c r="P8" i="77"/>
  <c r="O8" i="77"/>
  <c r="O20" i="77"/>
  <c r="P20" i="77" s="1"/>
  <c r="Q20" i="77" s="1"/>
  <c r="R20" i="77" s="1"/>
  <c r="I5" i="77"/>
  <c r="C16" i="80"/>
  <c r="C17" i="80"/>
  <c r="C16" i="79"/>
  <c r="C17" i="79"/>
  <c r="P10" i="77" l="1"/>
  <c r="Q10" i="77"/>
  <c r="C49" i="80"/>
  <c r="C19" i="80"/>
  <c r="Q60" i="80"/>
  <c r="Q73" i="80"/>
  <c r="Q66" i="80"/>
  <c r="Q57" i="80"/>
  <c r="F1" i="80"/>
  <c r="Q52" i="80"/>
  <c r="Q61" i="80"/>
  <c r="Q74" i="80"/>
  <c r="C19" i="79"/>
  <c r="F1" i="79"/>
  <c r="Q52" i="79"/>
  <c r="Q66" i="79"/>
  <c r="Q57" i="79"/>
  <c r="C49" i="79"/>
  <c r="Q61" i="79"/>
  <c r="Q74" i="79"/>
  <c r="Q60" i="79"/>
  <c r="Q73" i="79"/>
  <c r="C115" i="78"/>
  <c r="D113" i="78"/>
  <c r="M52" i="78"/>
  <c r="N52" i="78" s="1"/>
  <c r="K52" i="78"/>
  <c r="J52" i="78" s="1"/>
  <c r="K49" i="78"/>
  <c r="M49" i="78"/>
  <c r="N49" i="78" s="1"/>
  <c r="K53" i="78"/>
  <c r="M53" i="78"/>
  <c r="N53" i="78" s="1"/>
  <c r="K55" i="78"/>
  <c r="M55" i="78"/>
  <c r="N55" i="78" s="1"/>
  <c r="M51" i="78"/>
  <c r="N51" i="78" s="1"/>
  <c r="K51" i="78"/>
  <c r="J51" i="78" s="1"/>
  <c r="K48" i="78"/>
  <c r="M48" i="78"/>
  <c r="N48" i="78" s="1"/>
  <c r="K50" i="78"/>
  <c r="M50" i="78"/>
  <c r="N50" i="78" s="1"/>
  <c r="K54" i="78"/>
  <c r="M54" i="78"/>
  <c r="N54" i="78" s="1"/>
  <c r="K56" i="78"/>
  <c r="M56" i="78"/>
  <c r="N56" i="78" s="1"/>
  <c r="S21" i="77"/>
  <c r="Q19" i="77"/>
  <c r="Q21" i="77" s="1"/>
  <c r="R21" i="77"/>
  <c r="P19" i="77"/>
  <c r="P21" i="77" s="1"/>
  <c r="O19" i="77"/>
  <c r="O21" i="77" s="1"/>
  <c r="N21" i="77"/>
  <c r="M11" i="77" l="1"/>
  <c r="U7" i="1" s="1"/>
  <c r="M22" i="77"/>
  <c r="U6" i="1" s="1"/>
  <c r="C20" i="80"/>
  <c r="C26" i="80" s="1"/>
  <c r="C20" i="79"/>
  <c r="C26" i="79" s="1"/>
  <c r="D56" i="78"/>
  <c r="J56" i="78"/>
  <c r="D54" i="78"/>
  <c r="J54" i="78"/>
  <c r="D50" i="78"/>
  <c r="J50" i="78"/>
  <c r="D48" i="78"/>
  <c r="J48" i="78"/>
  <c r="D55" i="78"/>
  <c r="J55" i="78"/>
  <c r="D53" i="78"/>
  <c r="J53" i="78"/>
  <c r="D49" i="78"/>
  <c r="J49" i="78"/>
  <c r="F6" i="79"/>
  <c r="C6" i="79" l="1"/>
  <c r="E48" i="78"/>
  <c r="B46" i="78" s="1"/>
  <c r="C24" i="78" s="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c r="F34" i="67"/>
  <c r="F62" i="67"/>
  <c r="M20" i="67"/>
  <c r="F34" i="15"/>
  <c r="F62" i="15" s="1"/>
  <c r="G13" i="3"/>
  <c r="G5" i="3"/>
  <c r="B3" i="3" s="1"/>
  <c r="BA13" i="3"/>
  <c r="E10" i="6"/>
  <c r="BA5" i="3"/>
  <c r="E27" i="6" s="1"/>
  <c r="K22" i="6" s="1"/>
  <c r="M22" i="6" s="1"/>
  <c r="I22" i="6" s="1"/>
  <c r="S22" i="6" s="1"/>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C24" i="43" s="1"/>
  <c r="E70" i="43"/>
  <c r="B68" i="43"/>
  <c r="F100" i="43"/>
  <c r="H17" i="43"/>
  <c r="G6" i="1"/>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76" i="43"/>
  <c r="H72" i="43"/>
  <c r="H77" i="43"/>
  <c r="L20" i="6"/>
  <c r="E56" i="39"/>
  <c r="E51" i="40"/>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AQ13" i="1"/>
  <c r="AZ13" i="3"/>
  <c r="M6" i="1"/>
  <c r="O6" i="1" s="1"/>
  <c r="P6" i="1" s="1"/>
  <c r="F30" i="11"/>
  <c r="C48" i="11" s="1"/>
  <c r="F31" i="12"/>
  <c r="C31" i="12" s="1"/>
  <c r="F32" i="67"/>
  <c r="F60" i="67" s="1"/>
  <c r="F32" i="15"/>
  <c r="F60" i="15" s="1"/>
  <c r="E63" i="39"/>
  <c r="T11" i="1"/>
  <c r="AR11" i="1"/>
  <c r="T9" i="1"/>
  <c r="E69" i="3"/>
  <c r="E237" i="3"/>
  <c r="E114" i="3"/>
  <c r="E261" i="3"/>
  <c r="E278" i="3"/>
  <c r="E304" i="3"/>
  <c r="E415" i="3"/>
  <c r="E528" i="3"/>
  <c r="E563" i="3"/>
  <c r="E565" i="3"/>
  <c r="E395" i="3"/>
  <c r="E183" i="3"/>
  <c r="E172" i="3"/>
  <c r="E213" i="3"/>
  <c r="E260" i="3"/>
  <c r="E361" i="3"/>
  <c r="E445" i="3"/>
  <c r="E17" i="3"/>
  <c r="E550" i="3"/>
  <c r="E503" i="3"/>
  <c r="E535" i="3"/>
  <c r="E302" i="3"/>
  <c r="C77" i="9"/>
  <c r="C74" i="9"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05" i="3"/>
  <c r="E124" i="3"/>
  <c r="E165" i="3"/>
  <c r="E293" i="3"/>
  <c r="E128"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19" i="6"/>
  <c r="S6" i="1" s="1"/>
  <c r="AQ6" i="1" s="1"/>
  <c r="K25" i="6"/>
  <c r="M25" i="6" s="1"/>
  <c r="I25" i="6" s="1"/>
  <c r="S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C13" i="12"/>
  <c r="F34" i="11"/>
  <c r="F11" i="12"/>
  <c r="F34" i="68"/>
  <c r="F63" i="40"/>
  <c r="E65" i="40"/>
  <c r="G63" i="40"/>
  <c r="F65" i="40"/>
  <c r="H63" i="40"/>
  <c r="G65" i="40"/>
  <c r="I63" i="40"/>
  <c r="H65" i="40"/>
  <c r="J63" i="40"/>
  <c r="I65" i="40"/>
  <c r="K63" i="40"/>
  <c r="L63" i="40" s="1"/>
  <c r="J65" i="40"/>
  <c r="K65" i="40"/>
  <c r="J7" i="33"/>
  <c r="W7" i="33" s="1"/>
  <c r="F7" i="33"/>
  <c r="S7" i="33" s="1"/>
  <c r="H7" i="33"/>
  <c r="AB7" i="33" s="1"/>
  <c r="T48" i="33" s="1"/>
  <c r="G48" i="33" s="1"/>
  <c r="AA7" i="33"/>
  <c r="R48" i="33" s="1"/>
  <c r="H112" i="9"/>
  <c r="D21" i="53" s="1"/>
  <c r="B39" i="72" s="1"/>
  <c r="H111" i="9"/>
  <c r="D126" i="9" s="1"/>
  <c r="I14" i="74" s="1"/>
  <c r="B8" i="74" s="1"/>
  <c r="D59" i="9"/>
  <c r="M55" i="9"/>
  <c r="AD3" i="71"/>
  <c r="F6" i="73"/>
  <c r="D7" i="73"/>
  <c r="D2" i="21"/>
  <c r="D2" i="34"/>
  <c r="B13" i="76"/>
  <c r="M28" i="15"/>
  <c r="F7" i="73"/>
  <c r="D6" i="73"/>
  <c r="F42" i="15"/>
  <c r="F8" i="67"/>
  <c r="F8" i="15"/>
  <c r="M24" i="67"/>
  <c r="F37" i="67"/>
  <c r="F7" i="67"/>
  <c r="L48" i="15"/>
  <c r="F5" i="73"/>
  <c r="J15" i="15"/>
  <c r="E9" i="76"/>
  <c r="L47" i="15"/>
  <c r="F3" i="73"/>
  <c r="B8" i="76"/>
  <c r="E2" i="69"/>
  <c r="M29" i="67"/>
  <c r="F13" i="15"/>
  <c r="B9" i="76"/>
  <c r="M22" i="67"/>
  <c r="M26" i="15"/>
  <c r="F36" i="15"/>
  <c r="F43" i="15"/>
  <c r="M9" i="67"/>
  <c r="F37" i="15"/>
  <c r="F9" i="15"/>
  <c r="M9" i="15"/>
  <c r="M6" i="15"/>
  <c r="AO9" i="1"/>
  <c r="E7" i="76"/>
  <c r="F43" i="67"/>
  <c r="M8" i="67"/>
  <c r="F9" i="67"/>
  <c r="M24" i="15"/>
  <c r="M23" i="15"/>
  <c r="AO13" i="1"/>
  <c r="AE8" i="1"/>
  <c r="D4" i="73"/>
  <c r="F41" i="67"/>
  <c r="F38" i="67"/>
  <c r="D2" i="36"/>
  <c r="AO10" i="1"/>
  <c r="D3" i="73"/>
  <c r="F35" i="67"/>
  <c r="F26" i="67"/>
  <c r="E8" i="76"/>
  <c r="D5" i="73"/>
  <c r="L47" i="67"/>
  <c r="L48" i="67"/>
  <c r="B11" i="76"/>
  <c r="F13" i="67"/>
  <c r="M8" i="15"/>
  <c r="F6" i="67"/>
  <c r="J15" i="67"/>
  <c r="F16" i="67"/>
  <c r="D2" i="33"/>
  <c r="F6" i="15"/>
  <c r="B12" i="76"/>
  <c r="AO12" i="1"/>
  <c r="F42" i="67"/>
  <c r="M27" i="67"/>
  <c r="AO11" i="1"/>
  <c r="M23" i="67"/>
  <c r="F7" i="15"/>
  <c r="F41" i="79"/>
  <c r="F20" i="31"/>
  <c r="F40" i="67"/>
  <c r="C76" i="15"/>
  <c r="B10" i="76"/>
  <c r="F16" i="15"/>
  <c r="B7" i="76"/>
  <c r="E10" i="76"/>
  <c r="M22" i="15"/>
  <c r="C14" i="15"/>
  <c r="F40" i="15"/>
  <c r="M26" i="67"/>
  <c r="M6" i="67"/>
  <c r="AE7" i="1"/>
  <c r="D2" i="35"/>
  <c r="F38" i="15"/>
  <c r="M29" i="15"/>
  <c r="E12" i="76"/>
  <c r="E11" i="76"/>
  <c r="E2" i="68"/>
  <c r="E13" i="76"/>
  <c r="F36" i="67"/>
  <c r="F26" i="15"/>
  <c r="D2" i="37"/>
  <c r="F4" i="73"/>
  <c r="M28" i="67"/>
  <c r="M21" i="67"/>
  <c r="C76" i="67"/>
  <c r="D6" i="52" l="1"/>
  <c r="D9" i="53"/>
  <c r="B25" i="72" s="1"/>
  <c r="B24" i="72"/>
  <c r="K120" i="9"/>
  <c r="A18" i="62" s="1"/>
  <c r="B64" i="72" s="1"/>
  <c r="A15" i="62"/>
  <c r="B61" i="72" s="1"/>
  <c r="AG7" i="1"/>
  <c r="F69" i="79"/>
  <c r="P61" i="15"/>
  <c r="J53" i="15"/>
  <c r="F1" i="15" s="1"/>
  <c r="E20" i="78"/>
  <c r="E10" i="43"/>
  <c r="E8" i="43"/>
  <c r="E11" i="43"/>
  <c r="E9" i="43"/>
  <c r="C36" i="68"/>
  <c r="D68" i="9"/>
  <c r="M18" i="15"/>
  <c r="F30" i="69"/>
  <c r="C48" i="69" s="1"/>
  <c r="F28" i="67"/>
  <c r="C28" i="67" s="1"/>
  <c r="F30" i="68"/>
  <c r="C30" i="68" s="1"/>
  <c r="C94" i="9"/>
  <c r="C92" i="9"/>
  <c r="C30" i="11"/>
  <c r="F54" i="9"/>
  <c r="C30" i="69"/>
  <c r="C48" i="68"/>
  <c r="F28" i="15"/>
  <c r="C28" i="15" s="1"/>
  <c r="M18" i="67"/>
  <c r="F52" i="9"/>
  <c r="C40" i="68"/>
  <c r="C40" i="69"/>
  <c r="C36" i="69"/>
  <c r="G16" i="1"/>
  <c r="F10" i="40" s="1"/>
  <c r="AA10" i="40" s="1"/>
  <c r="M19" i="6"/>
  <c r="I19" i="6" s="1"/>
  <c r="S19" i="6" s="1"/>
  <c r="K23" i="6"/>
  <c r="M23" i="6" s="1"/>
  <c r="I23" i="6" s="1"/>
  <c r="S23" i="6" s="1"/>
  <c r="T13" i="1"/>
  <c r="AQ9" i="1"/>
  <c r="L27" i="6"/>
  <c r="T6" i="1"/>
  <c r="E2" i="70"/>
  <c r="AR6" i="1"/>
  <c r="M7" i="1"/>
  <c r="O7" i="1" s="1"/>
  <c r="P7" i="1" s="1"/>
  <c r="Q16" i="1"/>
  <c r="F27" i="69" s="1"/>
  <c r="H16" i="1"/>
  <c r="C34" i="69"/>
  <c r="C38" i="69" s="1"/>
  <c r="D19" i="12"/>
  <c r="C19" i="12" s="1"/>
  <c r="D9" i="68"/>
  <c r="C9" i="68" s="1"/>
  <c r="D9" i="69"/>
  <c r="C9" i="69" s="1"/>
  <c r="O14" i="1"/>
  <c r="P14" i="1" s="1"/>
  <c r="C36" i="11"/>
  <c r="S10"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J10" i="39"/>
  <c r="K20" i="6"/>
  <c r="K27" i="6" s="1"/>
  <c r="K24" i="6"/>
  <c r="M24" i="6" s="1"/>
  <c r="I24" i="6" s="1"/>
  <c r="S24" i="6" s="1"/>
  <c r="K21" i="6"/>
  <c r="E62" i="39"/>
  <c r="E57" i="40"/>
  <c r="E66" i="39"/>
  <c r="E16" i="6"/>
  <c r="E59" i="40"/>
  <c r="E56" i="40"/>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C101" i="43"/>
  <c r="N104" i="46"/>
  <c r="L101" i="43"/>
  <c r="D101" i="43"/>
  <c r="M101" i="43"/>
  <c r="I101" i="43"/>
  <c r="E101" i="43"/>
  <c r="O8" i="1"/>
  <c r="P8" i="1" s="1"/>
  <c r="O11" i="1"/>
  <c r="P11" i="1" s="1"/>
  <c r="AZ5" i="3"/>
  <c r="K15" i="1"/>
  <c r="K16" i="1" s="1"/>
  <c r="E30" i="6"/>
  <c r="E31" i="6" s="1"/>
  <c r="O9" i="1"/>
  <c r="P9" i="1" s="1"/>
  <c r="H52" i="43"/>
  <c r="H49" i="43"/>
  <c r="H54" i="43"/>
  <c r="H55" i="43"/>
  <c r="H56" i="43"/>
  <c r="H50" i="43"/>
  <c r="H48" i="43"/>
  <c r="H53" i="43"/>
  <c r="H51" i="43"/>
  <c r="T35" i="4"/>
  <c r="A19" i="51" s="1"/>
  <c r="B14" i="72" s="1"/>
  <c r="O17" i="43"/>
  <c r="M17" i="43"/>
  <c r="N17" i="43"/>
  <c r="L17" i="43"/>
  <c r="E17" i="43"/>
  <c r="X7" i="43"/>
  <c r="C23" i="40"/>
  <c r="C15" i="40"/>
  <c r="C21" i="39"/>
  <c r="C25" i="39"/>
  <c r="D19" i="53"/>
  <c r="D12" i="52"/>
  <c r="D127" i="9"/>
  <c r="D13" i="52" s="1"/>
  <c r="E48" i="33"/>
  <c r="R49" i="33"/>
  <c r="G52" i="33"/>
  <c r="H52" i="33" s="1"/>
  <c r="U7" i="33"/>
  <c r="M63" i="40"/>
  <c r="L65" i="40"/>
  <c r="AC7" i="33"/>
  <c r="V48" i="33" s="1"/>
  <c r="I48" i="33" s="1"/>
  <c r="F48" i="35"/>
  <c r="C70" i="39"/>
  <c r="D68" i="39"/>
  <c r="G59" i="34"/>
  <c r="G52" i="37"/>
  <c r="E46" i="36"/>
  <c r="D58" i="21"/>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B20" i="31"/>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G1" i="73"/>
  <c r="M27" i="80"/>
  <c r="C16" i="67"/>
  <c r="C14" i="67"/>
  <c r="C17" i="15"/>
  <c r="F41" i="15"/>
  <c r="F41" i="80"/>
  <c r="C17" i="67"/>
  <c r="AE6" i="1"/>
  <c r="C16" i="15"/>
  <c r="F69" i="80" l="1"/>
  <c r="H10" i="39"/>
  <c r="AB10" i="39" s="1"/>
  <c r="F10" i="39"/>
  <c r="S10" i="39" s="1"/>
  <c r="J10" i="40"/>
  <c r="W10" i="40" s="1"/>
  <c r="H10" i="40"/>
  <c r="U10" i="40" s="1"/>
  <c r="F11" i="80"/>
  <c r="M11" i="80"/>
  <c r="J10" i="80" s="1"/>
  <c r="J5" i="80" s="1"/>
  <c r="F11" i="79"/>
  <c r="M11" i="79"/>
  <c r="J10" i="79" s="1"/>
  <c r="J5" i="79" s="1"/>
  <c r="AG6" i="1"/>
  <c r="F69" i="15"/>
  <c r="Q52" i="15"/>
  <c r="O28" i="78"/>
  <c r="M28" i="78"/>
  <c r="P28" i="78"/>
  <c r="N28" i="78"/>
  <c r="G17" i="43"/>
  <c r="C35" i="69"/>
  <c r="M16" i="1"/>
  <c r="F27" i="68"/>
  <c r="C29" i="68" s="1"/>
  <c r="D27" i="68" s="1"/>
  <c r="F27" i="11"/>
  <c r="C47" i="11" s="1"/>
  <c r="D45" i="11" s="1"/>
  <c r="F28" i="12"/>
  <c r="C29" i="12" s="1"/>
  <c r="D28" i="12" s="1"/>
  <c r="D22" i="43"/>
  <c r="M21" i="6"/>
  <c r="I21" i="6" s="1"/>
  <c r="S21" i="6" s="1"/>
  <c r="S8" i="1"/>
  <c r="M20" i="6"/>
  <c r="S7" i="1"/>
  <c r="S16" i="1" s="1"/>
  <c r="C47" i="69"/>
  <c r="D45" i="69" s="1"/>
  <c r="C29" i="69"/>
  <c r="D27" i="69" s="1"/>
  <c r="C34" i="11"/>
  <c r="AC6" i="3"/>
  <c r="E6" i="3" s="1"/>
  <c r="AC10" i="39"/>
  <c r="W10" i="39"/>
  <c r="E104" i="43"/>
  <c r="E107" i="43"/>
  <c r="E105" i="43"/>
  <c r="E102" i="43"/>
  <c r="E106" i="43"/>
  <c r="E103" i="43"/>
  <c r="E109" i="43"/>
  <c r="M109" i="43"/>
  <c r="M104" i="43"/>
  <c r="M107" i="43"/>
  <c r="M105" i="43"/>
  <c r="M102" i="43"/>
  <c r="M106" i="43"/>
  <c r="M103" i="43"/>
  <c r="L109" i="43"/>
  <c r="L106" i="43"/>
  <c r="L107" i="43"/>
  <c r="L103" i="43"/>
  <c r="L102" i="43"/>
  <c r="L105" i="43"/>
  <c r="L104" i="43"/>
  <c r="C104" i="43"/>
  <c r="C106" i="43"/>
  <c r="C107" i="43"/>
  <c r="C103" i="43"/>
  <c r="C102" i="43"/>
  <c r="C109" i="43"/>
  <c r="C105" i="43"/>
  <c r="N102" i="43"/>
  <c r="N105" i="43"/>
  <c r="N107" i="43"/>
  <c r="N103" i="43"/>
  <c r="N106" i="43"/>
  <c r="N104" i="43"/>
  <c r="N109" i="43"/>
  <c r="K103" i="43"/>
  <c r="K102" i="43"/>
  <c r="K106" i="43"/>
  <c r="K107" i="43"/>
  <c r="K104" i="43"/>
  <c r="K105" i="43"/>
  <c r="K109" i="43"/>
  <c r="G105" i="43"/>
  <c r="G107" i="43"/>
  <c r="G104" i="43"/>
  <c r="G109" i="43"/>
  <c r="G102" i="43"/>
  <c r="G103" i="43"/>
  <c r="G106" i="43"/>
  <c r="I109" i="43"/>
  <c r="I104" i="43"/>
  <c r="I107" i="43"/>
  <c r="I105" i="43"/>
  <c r="I102" i="43"/>
  <c r="I106" i="43"/>
  <c r="I103" i="43"/>
  <c r="D109" i="43"/>
  <c r="D105" i="43"/>
  <c r="D106" i="43"/>
  <c r="D102" i="43"/>
  <c r="D103" i="43"/>
  <c r="D104" i="43"/>
  <c r="D107" i="43"/>
  <c r="F104" i="43"/>
  <c r="F102" i="43"/>
  <c r="F103" i="43"/>
  <c r="F107" i="43"/>
  <c r="F106" i="43"/>
  <c r="F105" i="43"/>
  <c r="F109" i="43"/>
  <c r="H107" i="43"/>
  <c r="H106" i="43"/>
  <c r="H105" i="43"/>
  <c r="H109" i="43"/>
  <c r="H102" i="43"/>
  <c r="H103" i="43"/>
  <c r="H104"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P16" i="1"/>
  <c r="C11" i="12" s="1"/>
  <c r="AY6" i="3"/>
  <c r="E3" i="6"/>
  <c r="O16" i="1"/>
  <c r="C16" i="43"/>
  <c r="B38" i="72"/>
  <c r="D20" i="53"/>
  <c r="B40" i="72" s="1"/>
  <c r="K4" i="4"/>
  <c r="B46" i="48" s="1"/>
  <c r="B4" i="72" s="1"/>
  <c r="B4" i="62"/>
  <c r="B71" i="72" s="1"/>
  <c r="F46" i="36"/>
  <c r="H59" i="34"/>
  <c r="AC10" i="40"/>
  <c r="AB10" i="40"/>
  <c r="G48" i="35"/>
  <c r="I52" i="33"/>
  <c r="J52" i="33" s="1"/>
  <c r="I53" i="33"/>
  <c r="J53" i="33" s="1"/>
  <c r="N63" i="40"/>
  <c r="M65" i="40"/>
  <c r="G53" i="33"/>
  <c r="H53" i="33" s="1"/>
  <c r="C49" i="33"/>
  <c r="C48" i="33"/>
  <c r="E58" i="21"/>
  <c r="H52" i="37"/>
  <c r="U10" i="39"/>
  <c r="AA10" i="39"/>
  <c r="D70" i="39"/>
  <c r="E68" i="39"/>
  <c r="E53" i="33"/>
  <c r="F53" i="33" s="1"/>
  <c r="E52" i="33"/>
  <c r="F52" i="33" s="1"/>
  <c r="P23" i="43"/>
  <c r="B71" i="39" s="1"/>
  <c r="C6" i="71"/>
  <c r="C5" i="71" s="1"/>
  <c r="D5" i="71" s="1"/>
  <c r="D7" i="71"/>
  <c r="P25" i="43"/>
  <c r="C49" i="67"/>
  <c r="C49" i="15"/>
  <c r="B40" i="1"/>
  <c r="C19" i="15"/>
  <c r="C18" i="67"/>
  <c r="C15" i="67"/>
  <c r="M11" i="15"/>
  <c r="J10" i="15" s="1"/>
  <c r="J5" i="15" s="1"/>
  <c r="F11" i="67"/>
  <c r="F11" i="15"/>
  <c r="M11" i="67"/>
  <c r="J10" i="67" s="1"/>
  <c r="J5" i="67" s="1"/>
  <c r="Q73" i="67"/>
  <c r="Q60" i="67"/>
  <c r="P28" i="43"/>
  <c r="M28" i="43"/>
  <c r="G20" i="43" s="1"/>
  <c r="N28" i="43"/>
  <c r="O28" i="43"/>
  <c r="Q60" i="15"/>
  <c r="Q73" i="15"/>
  <c r="Q74" i="15"/>
  <c r="Q61" i="15"/>
  <c r="Q61" i="67"/>
  <c r="Q74" i="67"/>
  <c r="M27" i="15"/>
  <c r="M27" i="79"/>
  <c r="J24" i="80" l="1"/>
  <c r="J18" i="80"/>
  <c r="F24" i="79"/>
  <c r="C23" i="79" s="1"/>
  <c r="F24" i="80"/>
  <c r="C53" i="80"/>
  <c r="C48" i="80" s="1"/>
  <c r="C10" i="80"/>
  <c r="C5" i="80" s="1"/>
  <c r="J24" i="79"/>
  <c r="J18" i="79"/>
  <c r="C53" i="79"/>
  <c r="C48" i="79" s="1"/>
  <c r="C10" i="79"/>
  <c r="C5" i="79" s="1"/>
  <c r="C47" i="68"/>
  <c r="D45" i="68" s="1"/>
  <c r="G20" i="78"/>
  <c r="C20" i="78" s="1"/>
  <c r="N16" i="1"/>
  <c r="L16" i="1"/>
  <c r="C34" i="68"/>
  <c r="I20" i="6"/>
  <c r="M27" i="6"/>
  <c r="C29" i="11"/>
  <c r="D27" i="11" s="1"/>
  <c r="AQ7" i="1"/>
  <c r="T7" i="1"/>
  <c r="AR7" i="1"/>
  <c r="AR8" i="1"/>
  <c r="T8" i="1"/>
  <c r="AQ8" i="1"/>
  <c r="C38" i="11"/>
  <c r="C35" i="11"/>
  <c r="S3" i="43"/>
  <c r="S2" i="43"/>
  <c r="S6" i="43"/>
  <c r="S7" i="43"/>
  <c r="C23" i="43"/>
  <c r="C21" i="43" s="1"/>
  <c r="S5" i="43"/>
  <c r="S4" i="43"/>
  <c r="C115" i="43"/>
  <c r="D113" i="43" s="1"/>
  <c r="D3" i="34"/>
  <c r="D3" i="33"/>
  <c r="B2" i="33" s="1"/>
  <c r="B3" i="33" s="1"/>
  <c r="E6" i="6"/>
  <c r="C17" i="4"/>
  <c r="B4" i="52" s="1"/>
  <c r="B43" i="72" s="1"/>
  <c r="L18" i="9"/>
  <c r="D3" i="37"/>
  <c r="D37" i="11"/>
  <c r="C37" i="11" s="1"/>
  <c r="M18" i="9"/>
  <c r="B118" i="9" s="1"/>
  <c r="B14" i="74" s="1"/>
  <c r="B1" i="74" s="1"/>
  <c r="C8" i="74" s="1"/>
  <c r="D3" i="21"/>
  <c r="D19" i="11"/>
  <c r="C19" i="11" s="1"/>
  <c r="D14" i="12"/>
  <c r="AY87" i="3"/>
  <c r="AY83" i="3"/>
  <c r="AY51" i="3"/>
  <c r="AY66" i="3"/>
  <c r="AY34" i="3"/>
  <c r="AY23" i="3"/>
  <c r="AY207" i="3"/>
  <c r="AY176" i="3"/>
  <c r="AY144" i="3"/>
  <c r="AY155" i="3"/>
  <c r="AY124" i="3"/>
  <c r="AY115" i="3"/>
  <c r="AY95" i="3"/>
  <c r="AY59" i="3"/>
  <c r="AY42" i="3"/>
  <c r="AY188" i="3"/>
  <c r="AY152" i="3"/>
  <c r="AY131" i="3"/>
  <c r="AY281" i="3"/>
  <c r="AY276" i="3"/>
  <c r="AY98" i="3"/>
  <c r="AY82" i="3"/>
  <c r="AY18" i="3"/>
  <c r="AY191" i="3"/>
  <c r="AY171" i="3"/>
  <c r="AY132" i="3"/>
  <c r="AY90" i="3"/>
  <c r="AY31" i="3"/>
  <c r="AY163" i="3"/>
  <c r="AY292"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03" i="3"/>
  <c r="AY50" i="3"/>
  <c r="AY160" i="3"/>
  <c r="AY289" i="3"/>
  <c r="AY18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67" i="3"/>
  <c r="AY196" i="3"/>
  <c r="AY139" i="3"/>
  <c r="AY74" i="3"/>
  <c r="AY123"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R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02" i="3"/>
  <c r="AY565" i="3"/>
  <c r="AY509"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5" i="12"/>
  <c r="C12" i="12"/>
  <c r="E41" i="43"/>
  <c r="C41" i="43" s="1"/>
  <c r="C20" i="43"/>
  <c r="D5" i="43"/>
  <c r="C5" i="43"/>
  <c r="F68" i="39"/>
  <c r="E70" i="39"/>
  <c r="I52" i="37"/>
  <c r="J52" i="37" s="1"/>
  <c r="K52" i="37" s="1"/>
  <c r="L52" i="37" s="1"/>
  <c r="M52" i="37" s="1"/>
  <c r="N52" i="37" s="1"/>
  <c r="O52" i="37" s="1"/>
  <c r="H7" i="37"/>
  <c r="F58" i="21"/>
  <c r="H48" i="35"/>
  <c r="J7" i="37"/>
  <c r="O63" i="40"/>
  <c r="O65" i="40" s="1"/>
  <c r="N65" i="40"/>
  <c r="I59" i="34"/>
  <c r="G46" i="36"/>
  <c r="D6" i="71"/>
  <c r="M20" i="43" s="1"/>
  <c r="C19" i="43" s="1"/>
  <c r="C19" i="67"/>
  <c r="C20" i="67" s="1"/>
  <c r="C26" i="67" s="1"/>
  <c r="J24" i="67"/>
  <c r="J26" i="67"/>
  <c r="J29" i="67" s="1"/>
  <c r="J18" i="67"/>
  <c r="C53" i="67"/>
  <c r="C48" i="67" s="1"/>
  <c r="C10" i="67"/>
  <c r="C5" i="67" s="1"/>
  <c r="C20" i="15"/>
  <c r="C26" i="15" s="1"/>
  <c r="J24" i="15"/>
  <c r="J18" i="15"/>
  <c r="C53" i="15"/>
  <c r="C48" i="15" s="1"/>
  <c r="C10" i="15"/>
  <c r="C5" i="15" s="1"/>
  <c r="F24" i="67"/>
  <c r="C24" i="67" s="1"/>
  <c r="F22" i="68"/>
  <c r="F22" i="11"/>
  <c r="F22" i="69"/>
  <c r="F25" i="12"/>
  <c r="F24" i="15"/>
  <c r="C24" i="15" s="1"/>
  <c r="C24" i="79" l="1"/>
  <c r="C33" i="11"/>
  <c r="C39" i="11" s="1"/>
  <c r="C38" i="80"/>
  <c r="C33" i="80"/>
  <c r="C32" i="80"/>
  <c r="C24" i="80"/>
  <c r="C23" i="80"/>
  <c r="C66" i="80"/>
  <c r="C60" i="80"/>
  <c r="C38" i="79"/>
  <c r="C33" i="79"/>
  <c r="C32" i="79"/>
  <c r="C29" i="79"/>
  <c r="C66" i="79"/>
  <c r="C60" i="79"/>
  <c r="E41" i="78"/>
  <c r="C41" i="78" s="1"/>
  <c r="C39" i="78" s="1"/>
  <c r="C37" i="78"/>
  <c r="C35" i="78"/>
  <c r="C33" i="78"/>
  <c r="C36" i="78"/>
  <c r="C34" i="78"/>
  <c r="C29" i="78"/>
  <c r="T11" i="78"/>
  <c r="V11" i="78" s="1"/>
  <c r="T7" i="78"/>
  <c r="V7" i="78" s="1"/>
  <c r="T3" i="78"/>
  <c r="T15" i="78"/>
  <c r="V15" i="78" s="1"/>
  <c r="T13" i="78"/>
  <c r="V13" i="78" s="1"/>
  <c r="T9" i="78"/>
  <c r="V9" i="78" s="1"/>
  <c r="T6" i="78"/>
  <c r="V6" i="78" s="1"/>
  <c r="T16" i="78"/>
  <c r="V16" i="78" s="1"/>
  <c r="T10" i="78"/>
  <c r="V10" i="78" s="1"/>
  <c r="T4" i="78"/>
  <c r="V4" i="78" s="1"/>
  <c r="T2" i="78"/>
  <c r="V2" i="78" s="1"/>
  <c r="T14" i="78"/>
  <c r="V14" i="78" s="1"/>
  <c r="T12" i="78"/>
  <c r="V12" i="78" s="1"/>
  <c r="T8" i="78"/>
  <c r="V8" i="78" s="1"/>
  <c r="T5" i="78"/>
  <c r="V5" i="78" s="1"/>
  <c r="C35" i="68"/>
  <c r="C38" i="68"/>
  <c r="F50" i="68"/>
  <c r="F50" i="69"/>
  <c r="F50" i="11"/>
  <c r="S20" i="6"/>
  <c r="S27" i="6" s="1"/>
  <c r="I27" i="6"/>
  <c r="T16" i="1"/>
  <c r="H20" i="6"/>
  <c r="D25" i="6"/>
  <c r="D15" i="6"/>
  <c r="D22" i="6"/>
  <c r="D21" i="6"/>
  <c r="D24" i="6"/>
  <c r="D20" i="6"/>
  <c r="R20" i="6" s="1"/>
  <c r="R7" i="1" s="1"/>
  <c r="D6" i="6"/>
  <c r="D9" i="6"/>
  <c r="D10" i="6"/>
  <c r="L19" i="9"/>
  <c r="D29" i="6"/>
  <c r="H25" i="6"/>
  <c r="H22" i="6"/>
  <c r="H21" i="6"/>
  <c r="H24" i="6"/>
  <c r="D5" i="6"/>
  <c r="H23" i="6"/>
  <c r="M19" i="9"/>
  <c r="C118" i="9" s="1"/>
  <c r="C14" i="74" s="1"/>
  <c r="B2" i="74" s="1"/>
  <c r="D8" i="74" s="1"/>
  <c r="D19" i="6"/>
  <c r="D26" i="6"/>
  <c r="C18" i="4"/>
  <c r="D8" i="6"/>
  <c r="D23" i="6"/>
  <c r="R23" i="6" s="1"/>
  <c r="D14" i="6"/>
  <c r="D12" i="6"/>
  <c r="D11" i="6"/>
  <c r="D13" i="6"/>
  <c r="D28" i="6"/>
  <c r="D30" i="6" s="1"/>
  <c r="E61" i="40"/>
  <c r="H26" i="6"/>
  <c r="H19" i="6"/>
  <c r="H27" i="6" s="1"/>
  <c r="C20" i="11"/>
  <c r="C28" i="11" s="1"/>
  <c r="C27" i="11" s="1"/>
  <c r="D17" i="12"/>
  <c r="C17" i="12" s="1"/>
  <c r="C14" i="12"/>
  <c r="C16" i="12" s="1"/>
  <c r="D10" i="11"/>
  <c r="C10" i="11" s="1"/>
  <c r="D20" i="12"/>
  <c r="C20" i="12" s="1"/>
  <c r="D10" i="68"/>
  <c r="D10" i="69"/>
  <c r="H46" i="36"/>
  <c r="H7" i="40"/>
  <c r="J7" i="40"/>
  <c r="I48" i="35"/>
  <c r="G58" i="21"/>
  <c r="F7" i="37"/>
  <c r="F7" i="40"/>
  <c r="J59" i="34"/>
  <c r="W7" i="37"/>
  <c r="AC7" i="37"/>
  <c r="V42" i="37" s="1"/>
  <c r="I42" i="37" s="1"/>
  <c r="AB7" i="37"/>
  <c r="T42" i="37" s="1"/>
  <c r="G42" i="37" s="1"/>
  <c r="U7" i="37"/>
  <c r="G68" i="39"/>
  <c r="F70" i="39"/>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C29" i="80"/>
  <c r="C57" i="80" s="1"/>
  <c r="C57" i="79"/>
  <c r="C36" i="79"/>
  <c r="J19" i="79"/>
  <c r="J14" i="79"/>
  <c r="C13" i="79"/>
  <c r="Q49" i="79"/>
  <c r="J59" i="79"/>
  <c r="J60" i="79" s="1"/>
  <c r="C38" i="78"/>
  <c r="G38" i="78" s="1"/>
  <c r="I38" i="78" s="1"/>
  <c r="E29" i="78"/>
  <c r="C30" i="78"/>
  <c r="E30" i="78" s="1"/>
  <c r="G36" i="78"/>
  <c r="I36" i="78" s="1"/>
  <c r="E36" i="78"/>
  <c r="G35" i="78"/>
  <c r="I35" i="78" s="1"/>
  <c r="E35" i="78"/>
  <c r="V3" i="78"/>
  <c r="G34" i="78"/>
  <c r="I34" i="78" s="1"/>
  <c r="E34" i="78"/>
  <c r="G33" i="78"/>
  <c r="I33" i="78" s="1"/>
  <c r="E33" i="78"/>
  <c r="G37" i="78"/>
  <c r="I37" i="78" s="1"/>
  <c r="E37" i="78"/>
  <c r="G39" i="78"/>
  <c r="I39" i="78" s="1"/>
  <c r="E39" i="78"/>
  <c r="V3" i="43"/>
  <c r="C40" i="43"/>
  <c r="E40" i="43" s="1"/>
  <c r="D16" i="6"/>
  <c r="C10" i="69"/>
  <c r="C8" i="69" s="1"/>
  <c r="C5" i="69" s="1"/>
  <c r="D19" i="69"/>
  <c r="R26" i="6"/>
  <c r="R24" i="6"/>
  <c r="R22" i="6"/>
  <c r="R25" i="6"/>
  <c r="C10" i="68"/>
  <c r="B29" i="1" s="1"/>
  <c r="C8" i="68" s="1"/>
  <c r="D19" i="68"/>
  <c r="C4" i="52"/>
  <c r="B45" i="72" s="1"/>
  <c r="A10" i="51"/>
  <c r="B9" i="72" s="1"/>
  <c r="A7" i="51"/>
  <c r="B7" i="72" s="1"/>
  <c r="D27" i="6"/>
  <c r="D31" i="6" s="1"/>
  <c r="R19" i="6"/>
  <c r="R21" i="6"/>
  <c r="R8" i="1" s="1"/>
  <c r="I46" i="37"/>
  <c r="J46" i="37" s="1"/>
  <c r="S7" i="40"/>
  <c r="AA7" i="40"/>
  <c r="R42" i="40" s="1"/>
  <c r="AA7" i="37"/>
  <c r="R42" i="37" s="1"/>
  <c r="S7" i="37"/>
  <c r="H58" i="21"/>
  <c r="J48" i="35"/>
  <c r="U7" i="40"/>
  <c r="AB7" i="40"/>
  <c r="T42" i="40" s="1"/>
  <c r="G42" i="40" s="1"/>
  <c r="I46" i="36"/>
  <c r="H68" i="39"/>
  <c r="G70" i="39"/>
  <c r="G46" i="37"/>
  <c r="H46" i="37" s="1"/>
  <c r="G47" i="37"/>
  <c r="H47" i="37" s="1"/>
  <c r="K59" i="34"/>
  <c r="L59" i="34" s="1"/>
  <c r="M59" i="34" s="1"/>
  <c r="N59" i="34" s="1"/>
  <c r="O59" i="34" s="1"/>
  <c r="W7" i="40"/>
  <c r="AC7" i="40"/>
  <c r="V42" i="40" s="1"/>
  <c r="I42" i="40" s="1"/>
  <c r="J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H107" i="9"/>
  <c r="C22" i="11"/>
  <c r="C31" i="11" s="1"/>
  <c r="C41" i="11"/>
  <c r="C33" i="67"/>
  <c r="C31" i="67" s="1"/>
  <c r="J14" i="67"/>
  <c r="C57" i="67"/>
  <c r="C13" i="67"/>
  <c r="J19" i="67"/>
  <c r="J17" i="67" s="1"/>
  <c r="Q49" i="67"/>
  <c r="C36" i="67"/>
  <c r="J59" i="67"/>
  <c r="J60" i="67" s="1"/>
  <c r="F35" i="80"/>
  <c r="M21" i="80"/>
  <c r="C49" i="11" l="1"/>
  <c r="C51" i="11" s="1"/>
  <c r="C52" i="11" s="1"/>
  <c r="B2" i="11" s="1"/>
  <c r="B3" i="11" s="1"/>
  <c r="J59" i="80"/>
  <c r="J60" i="80" s="1"/>
  <c r="Q48" i="80" s="1"/>
  <c r="C13" i="80"/>
  <c r="Q70" i="80" s="1"/>
  <c r="J19" i="80"/>
  <c r="Q49" i="80"/>
  <c r="J14" i="80"/>
  <c r="J13" i="80" s="1"/>
  <c r="J23" i="80" s="1"/>
  <c r="C36" i="80"/>
  <c r="J20" i="80"/>
  <c r="F63" i="80"/>
  <c r="C62" i="80" s="1"/>
  <c r="C34" i="80"/>
  <c r="C31" i="80" s="1"/>
  <c r="C64" i="80"/>
  <c r="C61" i="80"/>
  <c r="Q48" i="79"/>
  <c r="L46" i="79"/>
  <c r="C75" i="79"/>
  <c r="Q70" i="79"/>
  <c r="C37" i="79"/>
  <c r="C56" i="79"/>
  <c r="C65" i="79" s="1"/>
  <c r="C64" i="79"/>
  <c r="C61" i="79"/>
  <c r="J13" i="79"/>
  <c r="J23" i="79" s="1"/>
  <c r="J22" i="79"/>
  <c r="E38" i="78"/>
  <c r="C26" i="78" s="1"/>
  <c r="B2" i="78" s="1"/>
  <c r="B3" i="78" s="1"/>
  <c r="C27" i="78"/>
  <c r="F40" i="43"/>
  <c r="C18" i="12"/>
  <c r="C21" i="12" s="1"/>
  <c r="C22" i="12" s="1"/>
  <c r="C30" i="12" s="1"/>
  <c r="C28" i="12" s="1"/>
  <c r="R27" i="6"/>
  <c r="R6" i="1"/>
  <c r="I6" i="6"/>
  <c r="I5" i="6"/>
  <c r="C19" i="68"/>
  <c r="D37" i="68"/>
  <c r="C37" i="68" s="1"/>
  <c r="C33" i="68" s="1"/>
  <c r="C19" i="69"/>
  <c r="C24" i="69" s="1"/>
  <c r="D37" i="69"/>
  <c r="C37" i="69" s="1"/>
  <c r="C33" i="69" s="1"/>
  <c r="C23" i="69"/>
  <c r="W7" i="34"/>
  <c r="AC7" i="34"/>
  <c r="V49" i="34" s="1"/>
  <c r="I49" i="34" s="1"/>
  <c r="H7" i="34"/>
  <c r="J46" i="36"/>
  <c r="I58" i="21"/>
  <c r="E42" i="37"/>
  <c r="R43" i="37"/>
  <c r="I46" i="40"/>
  <c r="J46" i="40" s="1"/>
  <c r="I68" i="39"/>
  <c r="H70" i="39"/>
  <c r="G46" i="40"/>
  <c r="H46" i="40" s="1"/>
  <c r="G47" i="40"/>
  <c r="H47" i="40" s="1"/>
  <c r="K48" i="35"/>
  <c r="E42" i="40"/>
  <c r="I47" i="40" s="1"/>
  <c r="J47" i="40" s="1"/>
  <c r="R43" i="40"/>
  <c r="F7" i="34"/>
  <c r="C26" i="43"/>
  <c r="B2" i="43" s="1"/>
  <c r="C27" i="43"/>
  <c r="Q48" i="67"/>
  <c r="L46" i="67"/>
  <c r="C75" i="67"/>
  <c r="C37" i="67"/>
  <c r="C30" i="67" s="1"/>
  <c r="C39" i="67" s="1"/>
  <c r="Q70" i="67"/>
  <c r="C56" i="67"/>
  <c r="C65" i="67" s="1"/>
  <c r="J13" i="67"/>
  <c r="J23" i="67" s="1"/>
  <c r="J22" i="67"/>
  <c r="H108" i="9"/>
  <c r="D15" i="53" s="1"/>
  <c r="B31" i="72" s="1"/>
  <c r="D13" i="53"/>
  <c r="D122" i="9"/>
  <c r="Q48" i="15"/>
  <c r="J13" i="15"/>
  <c r="J23" i="15" s="1"/>
  <c r="J22" i="15"/>
  <c r="C61" i="67"/>
  <c r="C59" i="67" s="1"/>
  <c r="C64" i="67"/>
  <c r="Q70" i="15"/>
  <c r="C56" i="15"/>
  <c r="C65" i="15" s="1"/>
  <c r="C37" i="15"/>
  <c r="C75" i="15"/>
  <c r="C61" i="15"/>
  <c r="C64" i="15"/>
  <c r="M21" i="79"/>
  <c r="B6" i="76"/>
  <c r="F35" i="79"/>
  <c r="F35" i="15"/>
  <c r="M21" i="15"/>
  <c r="E6" i="76"/>
  <c r="J17" i="80" l="1"/>
  <c r="C75" i="80"/>
  <c r="C37" i="80"/>
  <c r="C30" i="80" s="1"/>
  <c r="C39" i="80" s="1"/>
  <c r="Q69" i="80" s="1"/>
  <c r="Q68" i="80" s="1"/>
  <c r="C56" i="80"/>
  <c r="C65" i="80" s="1"/>
  <c r="L46" i="80"/>
  <c r="J22" i="80"/>
  <c r="C59" i="80"/>
  <c r="F63" i="79"/>
  <c r="C62" i="79" s="1"/>
  <c r="C59" i="79" s="1"/>
  <c r="C58" i="79" s="1"/>
  <c r="C67" i="79" s="1"/>
  <c r="C68" i="79" s="1"/>
  <c r="C34" i="79"/>
  <c r="C31" i="79" s="1"/>
  <c r="C30" i="79" s="1"/>
  <c r="C39" i="79" s="1"/>
  <c r="C80" i="79" s="1"/>
  <c r="C79" i="79" s="1"/>
  <c r="J20" i="79"/>
  <c r="J17" i="79" s="1"/>
  <c r="J16" i="79" s="1"/>
  <c r="J25" i="79" s="1"/>
  <c r="J26" i="79" s="1"/>
  <c r="J29" i="79" s="1"/>
  <c r="C6" i="68"/>
  <c r="C7" i="68" s="1"/>
  <c r="J20" i="15"/>
  <c r="J17" i="15" s="1"/>
  <c r="J16" i="15" s="1"/>
  <c r="J25" i="15" s="1"/>
  <c r="J26" i="15" s="1"/>
  <c r="J29" i="15" s="1"/>
  <c r="C34" i="15"/>
  <c r="C31" i="15" s="1"/>
  <c r="C30" i="15" s="1"/>
  <c r="C39" i="15" s="1"/>
  <c r="F63" i="15"/>
  <c r="C62" i="15" s="1"/>
  <c r="C59" i="15" s="1"/>
  <c r="C58" i="15" s="1"/>
  <c r="C67" i="15" s="1"/>
  <c r="C68" i="15" s="1"/>
  <c r="R16" i="1"/>
  <c r="C20" i="69"/>
  <c r="C25" i="69" s="1"/>
  <c r="C22" i="69" s="1"/>
  <c r="C27" i="12"/>
  <c r="C25" i="12" s="1"/>
  <c r="C32" i="12" s="1"/>
  <c r="B2" i="12" s="1"/>
  <c r="B3" i="12" s="1"/>
  <c r="C56" i="11"/>
  <c r="C57" i="11" s="1"/>
  <c r="C39" i="69"/>
  <c r="C42" i="69"/>
  <c r="C39" i="68"/>
  <c r="C43" i="68" s="1"/>
  <c r="C42" i="68"/>
  <c r="C24" i="68"/>
  <c r="C42" i="40"/>
  <c r="C43" i="40"/>
  <c r="E47" i="37"/>
  <c r="F47" i="37" s="1"/>
  <c r="E46" i="37"/>
  <c r="F46" i="37" s="1"/>
  <c r="I47" i="37"/>
  <c r="J47" i="37" s="1"/>
  <c r="J58" i="21"/>
  <c r="K46" i="36"/>
  <c r="I53" i="34"/>
  <c r="J53" i="34" s="1"/>
  <c r="S7" i="34"/>
  <c r="AA7" i="34"/>
  <c r="R49" i="34" s="1"/>
  <c r="E46" i="40"/>
  <c r="F46" i="40" s="1"/>
  <c r="E47" i="40"/>
  <c r="F47" i="40" s="1"/>
  <c r="L48" i="35"/>
  <c r="J68" i="39"/>
  <c r="I70" i="39"/>
  <c r="C42" i="37"/>
  <c r="C43" i="37"/>
  <c r="B2" i="37" s="1"/>
  <c r="B3" i="37" s="1"/>
  <c r="U7" i="34"/>
  <c r="AB7" i="34"/>
  <c r="T49" i="34" s="1"/>
  <c r="G49" i="34" s="1"/>
  <c r="E2" i="76"/>
  <c r="B2" i="76"/>
  <c r="B3" i="43"/>
  <c r="J16" i="67"/>
  <c r="J25" i="67" s="1"/>
  <c r="C40" i="67"/>
  <c r="Q69" i="67"/>
  <c r="Q68" i="67" s="1"/>
  <c r="C58" i="67"/>
  <c r="C67" i="67" s="1"/>
  <c r="C68" i="67" s="1"/>
  <c r="D14" i="53"/>
  <c r="B32" i="72" s="1"/>
  <c r="B30" i="72"/>
  <c r="C80" i="67"/>
  <c r="C79" i="67" s="1"/>
  <c r="G14" i="74"/>
  <c r="B6" i="74" s="1"/>
  <c r="D123" i="9"/>
  <c r="D9" i="52" s="1"/>
  <c r="D8" i="52"/>
  <c r="L51" i="80"/>
  <c r="L51" i="15"/>
  <c r="L51" i="67"/>
  <c r="J16" i="80" l="1"/>
  <c r="J25" i="80" s="1"/>
  <c r="J26" i="80" s="1"/>
  <c r="J29" i="80" s="1"/>
  <c r="C58" i="80"/>
  <c r="C67" i="80" s="1"/>
  <c r="C68" i="80" s="1"/>
  <c r="C71" i="80" s="1"/>
  <c r="C40" i="80"/>
  <c r="C80" i="80"/>
  <c r="C79" i="80" s="1"/>
  <c r="Q67" i="80"/>
  <c r="C71" i="79"/>
  <c r="Q69" i="79"/>
  <c r="Q68" i="79" s="1"/>
  <c r="C40" i="79"/>
  <c r="C28" i="69"/>
  <c r="C27" i="69" s="1"/>
  <c r="C31" i="69" s="1"/>
  <c r="C40" i="15"/>
  <c r="C43" i="15" s="1"/>
  <c r="Q69" i="15"/>
  <c r="Q68" i="15" s="1"/>
  <c r="C5" i="68"/>
  <c r="C23" i="68" s="1"/>
  <c r="C80" i="15"/>
  <c r="C79" i="15" s="1"/>
  <c r="C41" i="68"/>
  <c r="C46" i="68"/>
  <c r="C45" i="68" s="1"/>
  <c r="C46" i="69"/>
  <c r="C45" i="69" s="1"/>
  <c r="C43" i="69"/>
  <c r="C41" i="69" s="1"/>
  <c r="M48" i="35"/>
  <c r="N48" i="35" s="1"/>
  <c r="O48" i="35" s="1"/>
  <c r="J7" i="35" s="1"/>
  <c r="H7" i="35"/>
  <c r="G53" i="34"/>
  <c r="H53" i="34" s="1"/>
  <c r="G54" i="34"/>
  <c r="H54" i="34" s="1"/>
  <c r="F7" i="35"/>
  <c r="R50" i="34"/>
  <c r="E49" i="34"/>
  <c r="L46" i="36"/>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K68" i="39"/>
  <c r="J70" i="39"/>
  <c r="K58" i="21"/>
  <c r="B3" i="76"/>
  <c r="Q67" i="67"/>
  <c r="L57" i="67"/>
  <c r="L60" i="67" s="1"/>
  <c r="Q67" i="15"/>
  <c r="L57" i="15"/>
  <c r="L60" i="15" s="1"/>
  <c r="L46" i="15" s="1"/>
  <c r="C6" i="74"/>
  <c r="D6" i="74"/>
  <c r="C71" i="67"/>
  <c r="C45" i="67"/>
  <c r="C46" i="67" s="1"/>
  <c r="Q56" i="67"/>
  <c r="Q47" i="67"/>
  <c r="Q53" i="67" s="1"/>
  <c r="Q65" i="67"/>
  <c r="C43" i="67"/>
  <c r="D2" i="67"/>
  <c r="C83" i="67"/>
  <c r="C82" i="67" s="1"/>
  <c r="C71" i="15"/>
  <c r="L51" i="79"/>
  <c r="C46" i="80" l="1"/>
  <c r="Q56" i="80"/>
  <c r="Q62" i="80" s="1"/>
  <c r="C83" i="80"/>
  <c r="C82" i="80" s="1"/>
  <c r="B2" i="80"/>
  <c r="C43" i="80"/>
  <c r="Q65" i="80"/>
  <c r="Q75" i="80" s="1"/>
  <c r="Q47" i="80"/>
  <c r="Q53" i="80" s="1"/>
  <c r="B3" i="80"/>
  <c r="Q67" i="79"/>
  <c r="Q47" i="79"/>
  <c r="Q53" i="79" s="1"/>
  <c r="B2" i="79"/>
  <c r="Q65" i="79"/>
  <c r="Q75" i="79" s="1"/>
  <c r="Q56" i="79"/>
  <c r="Q62" i="79" s="1"/>
  <c r="C43" i="79"/>
  <c r="C83" i="79"/>
  <c r="C82" i="79" s="1"/>
  <c r="C46" i="79"/>
  <c r="C46" i="15"/>
  <c r="C83" i="15"/>
  <c r="C82" i="15" s="1"/>
  <c r="Q65" i="15"/>
  <c r="C20" i="68"/>
  <c r="Q47" i="15"/>
  <c r="Q53" i="15" s="1"/>
  <c r="Q56" i="15"/>
  <c r="B2" i="15"/>
  <c r="C49" i="68"/>
  <c r="C51" i="68" s="1"/>
  <c r="C49" i="69"/>
  <c r="C51" i="69" s="1"/>
  <c r="C52" i="69" s="1"/>
  <c r="B2" i="69" s="1"/>
  <c r="B3" i="69" s="1"/>
  <c r="L58" i="21"/>
  <c r="L68" i="39"/>
  <c r="K70" i="39"/>
  <c r="E54" i="34"/>
  <c r="F54" i="34" s="1"/>
  <c r="E53" i="34"/>
  <c r="F53" i="34" s="1"/>
  <c r="I54" i="34"/>
  <c r="J54" i="34" s="1"/>
  <c r="AA7" i="35"/>
  <c r="R38" i="35" s="1"/>
  <c r="S7" i="35"/>
  <c r="W7" i="35"/>
  <c r="AC7" i="35"/>
  <c r="V38" i="35" s="1"/>
  <c r="I38" i="35" s="1"/>
  <c r="M46" i="36"/>
  <c r="N46" i="36" s="1"/>
  <c r="O46" i="36" s="1"/>
  <c r="H7" i="36" s="1"/>
  <c r="J7" i="36"/>
  <c r="C50" i="34"/>
  <c r="B2" i="34" s="1"/>
  <c r="B3" i="34" s="1"/>
  <c r="C49" i="34"/>
  <c r="U7" i="35"/>
  <c r="AB7" i="35"/>
  <c r="T38" i="35" s="1"/>
  <c r="G38" i="35" s="1"/>
  <c r="Q57" i="15"/>
  <c r="Q66" i="15"/>
  <c r="Q75" i="15" s="1"/>
  <c r="Q66" i="67"/>
  <c r="Q75" i="67" s="1"/>
  <c r="Q57" i="67"/>
  <c r="Q62" i="67" s="1"/>
  <c r="B2" i="67"/>
  <c r="B3" i="67"/>
  <c r="AO6" i="1"/>
  <c r="AO8" i="1"/>
  <c r="AO7" i="1"/>
  <c r="B8" i="70" l="1"/>
  <c r="B7" i="70"/>
  <c r="B3" i="79"/>
  <c r="B6" i="70"/>
  <c r="B3" i="15"/>
  <c r="C25" i="68"/>
  <c r="C22" i="68" s="1"/>
  <c r="C28" i="68"/>
  <c r="C27" i="68" s="1"/>
  <c r="Q62" i="15"/>
  <c r="C57" i="69"/>
  <c r="C56" i="69" s="1"/>
  <c r="U7" i="36"/>
  <c r="AB7" i="36"/>
  <c r="T36" i="36" s="1"/>
  <c r="G36" i="36" s="1"/>
  <c r="G42" i="35"/>
  <c r="H42" i="35" s="1"/>
  <c r="G43" i="35"/>
  <c r="H43" i="35" s="1"/>
  <c r="E38" i="35"/>
  <c r="R39" i="35"/>
  <c r="F7" i="36"/>
  <c r="I42" i="35"/>
  <c r="J42" i="35" s="1"/>
  <c r="I43" i="35"/>
  <c r="J43" i="35" s="1"/>
  <c r="M68" i="39"/>
  <c r="L70" i="39"/>
  <c r="M58" i="21"/>
  <c r="N58" i="21" s="1"/>
  <c r="O58" i="21" s="1"/>
  <c r="J7" i="21"/>
  <c r="AC7" i="36"/>
  <c r="V36" i="36" s="1"/>
  <c r="I36" i="36" s="1"/>
  <c r="W7" i="36"/>
  <c r="B2" i="70" l="1"/>
  <c r="C31" i="68"/>
  <c r="C52" i="68" s="1"/>
  <c r="B2" i="68" s="1"/>
  <c r="S7" i="36"/>
  <c r="AA7" i="36"/>
  <c r="R36" i="36" s="1"/>
  <c r="E43" i="35"/>
  <c r="F43" i="35" s="1"/>
  <c r="E42" i="35"/>
  <c r="F42" i="35" s="1"/>
  <c r="I40" i="36"/>
  <c r="J40" i="36" s="1"/>
  <c r="F7" i="21"/>
  <c r="H7" i="21"/>
  <c r="N68" i="39"/>
  <c r="M70" i="39"/>
  <c r="C38" i="35"/>
  <c r="C39" i="35"/>
  <c r="B2" i="35" s="1"/>
  <c r="B3" i="35" s="1"/>
  <c r="G40" i="36"/>
  <c r="H40" i="36" s="1"/>
  <c r="G41" i="36"/>
  <c r="H41" i="36" s="1"/>
  <c r="AC7" i="21"/>
  <c r="V48" i="21" s="1"/>
  <c r="I48" i="21" s="1"/>
  <c r="W7" i="21"/>
  <c r="C19" i="9"/>
  <c r="D19" i="9"/>
  <c r="B3" i="68" l="1"/>
  <c r="D102" i="9"/>
  <c r="D21" i="9"/>
  <c r="B3" i="70"/>
  <c r="C57" i="68"/>
  <c r="C56" i="68" s="1"/>
  <c r="D22" i="9"/>
  <c r="C21" i="9"/>
  <c r="C102" i="9"/>
  <c r="G19" i="9"/>
  <c r="C32" i="9" s="1"/>
  <c r="I52" i="21"/>
  <c r="J52" i="21" s="1"/>
  <c r="O68" i="39"/>
  <c r="O70" i="39" s="1"/>
  <c r="N70" i="39"/>
  <c r="AB7" i="21"/>
  <c r="T48" i="21" s="1"/>
  <c r="G48" i="21" s="1"/>
  <c r="U7" i="21"/>
  <c r="E36" i="36"/>
  <c r="R37" i="36"/>
  <c r="AA7" i="21"/>
  <c r="R48" i="21" s="1"/>
  <c r="S7" i="21"/>
  <c r="C20" i="9"/>
  <c r="D35" i="9"/>
  <c r="D34" i="9"/>
  <c r="D20" i="9"/>
  <c r="C103" i="9" l="1"/>
  <c r="D103" i="9"/>
  <c r="G20" i="9"/>
  <c r="G21" i="9"/>
  <c r="C35" i="9"/>
  <c r="F118" i="9" s="1"/>
  <c r="H118" i="9"/>
  <c r="C36" i="36"/>
  <c r="C37" i="36"/>
  <c r="B2" i="36" s="1"/>
  <c r="B3" i="36" s="1"/>
  <c r="E48" i="21"/>
  <c r="R49" i="21"/>
  <c r="E40" i="36"/>
  <c r="F40" i="36" s="1"/>
  <c r="E41" i="36"/>
  <c r="F41" i="36" s="1"/>
  <c r="I41" i="36"/>
  <c r="J41" i="36" s="1"/>
  <c r="G52" i="21"/>
  <c r="H52" i="21" s="1"/>
  <c r="G53" i="21"/>
  <c r="H53" i="21" s="1"/>
  <c r="J7" i="39"/>
  <c r="F7" i="39"/>
  <c r="H7" i="39"/>
  <c r="C34" i="9" l="1"/>
  <c r="D118" i="9" s="1"/>
  <c r="I118" i="9"/>
  <c r="H101" i="9"/>
  <c r="H4" i="52"/>
  <c r="H119" i="9"/>
  <c r="H5" i="52" s="1"/>
  <c r="C104" i="9"/>
  <c r="D14" i="74"/>
  <c r="F119" i="9"/>
  <c r="F5" i="52" s="1"/>
  <c r="B53" i="72" s="1"/>
  <c r="F4" i="52"/>
  <c r="B51" i="72" s="1"/>
  <c r="G118" i="9"/>
  <c r="G4" i="52" s="1"/>
  <c r="B52" i="72" s="1"/>
  <c r="AC7" i="39"/>
  <c r="V47" i="39" s="1"/>
  <c r="I47" i="39" s="1"/>
  <c r="W7" i="39"/>
  <c r="C48" i="21"/>
  <c r="C49" i="21"/>
  <c r="B2" i="21" s="1"/>
  <c r="B3" i="21" s="1"/>
  <c r="AB7" i="39"/>
  <c r="T47" i="39" s="1"/>
  <c r="G47" i="39" s="1"/>
  <c r="U7" i="39"/>
  <c r="S7" i="39"/>
  <c r="AA7" i="39"/>
  <c r="R47" i="39" s="1"/>
  <c r="E52" i="21"/>
  <c r="F52" i="21" s="1"/>
  <c r="E53" i="21"/>
  <c r="F53" i="21" s="1"/>
  <c r="I53" i="21"/>
  <c r="J53" i="21" s="1"/>
  <c r="C105" i="9" l="1"/>
  <c r="H102" i="9"/>
  <c r="D7" i="53" s="1"/>
  <c r="B21" i="72" s="1"/>
  <c r="I4" i="52"/>
  <c r="E118" i="9"/>
  <c r="E4" i="52" s="1"/>
  <c r="B48" i="72" s="1"/>
  <c r="B5" i="74"/>
  <c r="E14" i="74"/>
  <c r="F14" i="74"/>
  <c r="H109" i="9"/>
  <c r="D5" i="53"/>
  <c r="D45" i="9"/>
  <c r="M48" i="9"/>
  <c r="D119" i="9"/>
  <c r="D5" i="52" s="1"/>
  <c r="B49" i="72" s="1"/>
  <c r="D4" i="52"/>
  <c r="B47" i="72" s="1"/>
  <c r="G52" i="39"/>
  <c r="H52" i="39" s="1"/>
  <c r="G51" i="39"/>
  <c r="H51" i="39" s="1"/>
  <c r="E47" i="39"/>
  <c r="I52" i="39" s="1"/>
  <c r="J52" i="39" s="1"/>
  <c r="R48" i="39"/>
  <c r="I51" i="39"/>
  <c r="J51" i="39" s="1"/>
  <c r="C64" i="9" l="1"/>
  <c r="C63" i="9" s="1"/>
  <c r="C67" i="9" s="1"/>
  <c r="C68" i="9" s="1"/>
  <c r="D54" i="9" s="1"/>
  <c r="D52" i="9"/>
  <c r="C85" i="9"/>
  <c r="C72" i="9"/>
  <c r="D55" i="9"/>
  <c r="M53" i="9" s="1"/>
  <c r="C93" i="9"/>
  <c r="C86" i="9" s="1"/>
  <c r="C78" i="9"/>
  <c r="C73" i="9" s="1"/>
  <c r="D53" i="9"/>
  <c r="D16" i="53"/>
  <c r="D124" i="9"/>
  <c r="H110" i="9"/>
  <c r="D18" i="53" s="1"/>
  <c r="B35" i="72" s="1"/>
  <c r="M49" i="9"/>
  <c r="B20" i="72"/>
  <c r="D6" i="53"/>
  <c r="B22" i="72" s="1"/>
  <c r="D5" i="74"/>
  <c r="C5" i="74"/>
  <c r="C48" i="39"/>
  <c r="C47" i="39"/>
  <c r="E52" i="39"/>
  <c r="F52" i="39" s="1"/>
  <c r="E51" i="39"/>
  <c r="F51" i="39" s="1"/>
  <c r="C95" i="9" l="1"/>
  <c r="C96" i="9" s="1"/>
  <c r="E96" i="9" s="1"/>
  <c r="E97" i="9" s="1"/>
  <c r="L65" i="9"/>
  <c r="M65" i="9" s="1"/>
  <c r="L64" i="9"/>
  <c r="M64" i="9" s="1"/>
  <c r="L67" i="9"/>
  <c r="M67" i="9" s="1"/>
  <c r="L68" i="9"/>
  <c r="M68" i="9" s="1"/>
  <c r="L66" i="9"/>
  <c r="M66" i="9" s="1"/>
  <c r="L63" i="9"/>
  <c r="M63" i="9" s="1"/>
  <c r="H14" i="74"/>
  <c r="B7" i="74" s="1"/>
  <c r="D125" i="9"/>
  <c r="D11" i="52" s="1"/>
  <c r="D10" i="52"/>
  <c r="C79" i="9"/>
  <c r="D17" i="53"/>
  <c r="B36" i="72" s="1"/>
  <c r="B34" i="7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69" i="9" l="1"/>
  <c r="N69" i="9" s="1"/>
  <c r="C97" i="9"/>
  <c r="D58" i="9" s="1"/>
  <c r="D56" i="9" s="1"/>
  <c r="M54" i="9" s="1"/>
  <c r="N57" i="9" s="1"/>
  <c r="N58" i="9" s="1"/>
  <c r="C7" i="74"/>
  <c r="D7"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<sst xmlns="http://schemas.openxmlformats.org/spreadsheetml/2006/main" count="8609" uniqueCount="3216">
  <si>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</si>
  <si>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</si>
  <si>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</si>
  <si>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</si>
  <si>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</si>
  <si>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</si>
  <si>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</si>
  <si>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</si>
  <si>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</si>
  <si>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</si>
  <si>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</si>
  <si>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</si>
  <si>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</si>
  <si>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</si>
  <si>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</si>
  <si>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</si>
  <si>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</si>
  <si>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</si>
  <si>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</si>
  <si>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</si>
  <si>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</si>
  <si>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</si>
  <si>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</si>
  <si>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</si>
  <si>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</si>
  <si>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</si>
  <si>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</si>
  <si>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</si>
  <si>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</si>
  <si>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</si>
  <si>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</si>
  <si>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</si>
  <si>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</si>
  <si>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</si>
  <si>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</si>
  <si>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</si>
  <si>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</si>
  <si>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</si>
  <si>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</si>
  <si>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</si>
  <si>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</si>
  <si>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</si>
  <si>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</si>
  <si>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</si>
  <si>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</si>
  <si>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</si>
  <si>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</si>
  <si>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</si>
  <si>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</si>
  <si>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</si>
  <si>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</si>
  <si>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</si>
  <si>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</si>
  <si>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</si>
  <si>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</si>
  <si>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</si>
  <si>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</si>
  <si>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</si>
  <si>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</si>
  <si>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</si>
  <si>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</si>
  <si>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</si>
  <si>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</si>
  <si>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</si>
  <si>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</si>
  <si>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</si>
  <si>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</si>
  <si>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</si>
  <si>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</si>
  <si>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</si>
  <si>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</si>
  <si>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</si>
  <si>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</si>
  <si>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</si>
  <si>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</si>
  <si>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</si>
  <si>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</si>
  <si>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</si>
  <si>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</si>
  <si>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</si>
  <si>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</si>
  <si>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</si>
  <si>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</si>
  <si>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</si>
  <si>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</si>
  <si>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</si>
  <si>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</si>
  <si>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</si>
  <si>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</si>
  <si>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</si>
  <si>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</si>
  <si>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</si>
  <si>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</si>
  <si>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</si>
  <si>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</si>
  <si>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</si>
  <si>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</si>
  <si>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</si>
  <si>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</si>
  <si>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</si>
  <si>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</si>
  <si>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</si>
  <si>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</si>
  <si>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</si>
  <si>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</si>
  <si>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</si>
  <si>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</si>
  <si>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</si>
  <si>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</si>
  <si>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</si>
  <si>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</si>
  <si>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</si>
  <si>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</si>
  <si>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</si>
  <si>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</si>
  <si>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</si>
  <si>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</si>
  <si>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</si>
  <si>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</si>
  <si>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</si>
  <si>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</si>
  <si>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</si>
  <si>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</si>
  <si>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</si>
  <si>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</si>
  <si>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</si>
  <si>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</si>
  <si>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</si>
  <si>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</si>
  <si>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</si>
  <si>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</si>
  <si>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</si>
  <si>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</si>
  <si>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</si>
  <si>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</si>
  <si>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</si>
  <si>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</si>
  <si>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</si>
  <si>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</si>
  <si>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</si>
  <si>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</si>
  <si>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</si>
  <si>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</si>
  <si>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</si>
  <si>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</si>
  <si>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</si>
  <si>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</si>
  <si>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</si>
  <si>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</si>
  <si>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</si>
  <si>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</si>
  <si>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</si>
  <si>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</si>
  <si>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</si>
  <si>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</si>
  <si>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</si>
  <si>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</si>
  <si>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</si>
  <si>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</si>
  <si>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</si>
  <si>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</si>
  <si>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</si>
  <si>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</si>
  <si>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</si>
  <si>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</si>
  <si>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</si>
  <si>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</si>
  <si>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</si>
  <si>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</si>
  <si>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</si>
  <si>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</si>
  <si>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</si>
  <si>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</si>
  <si>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</si>
  <si>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</si>
  <si>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</si>
  <si>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</si>
  <si>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</si>
  <si>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</si>
  <si>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</si>
  <si>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</si>
  <si>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</si>
  <si>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</si>
  <si>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</si>
  <si>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</si>
  <si>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</si>
  <si>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</si>
  <si>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</si>
  <si>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</si>
  <si>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</si>
  <si>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</si>
  <si>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</si>
  <si>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</si>
  <si>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</si>
  <si>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</si>
  <si>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</si>
  <si>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</si>
  <si>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</si>
  <si>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</si>
  <si>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</si>
  <si>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</si>
  <si>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</si>
  <si>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</si>
  <si>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</si>
  <si>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</si>
  <si>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</si>
  <si>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</si>
  <si>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</si>
  <si>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</si>
  <si>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</si>
  <si>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</si>
  <si>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</si>
  <si>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</si>
  <si>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</si>
  <si>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</si>
  <si>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</si>
  <si>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</si>
  <si>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</si>
  <si>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</si>
  <si>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</si>
  <si>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</si>
  <si>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</si>
  <si>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</si>
  <si>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</si>
  <si>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</si>
  <si>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</si>
  <si>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</si>
  <si>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</si>
  <si>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</si>
  <si>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</si>
  <si>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</si>
  <si>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</si>
  <si>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</si>
  <si>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</si>
  <si>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</si>
  <si>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</si>
  <si>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</si>
  <si>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</si>
  <si>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</si>
  <si>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</si>
  <si>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</si>
  <si>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</si>
  <si>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</si>
  <si>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</si>
  <si>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</si>
  <si>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</si>
  <si>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</si>
  <si>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</si>
  <si>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</si>
  <si>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</si>
  <si>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</si>
  <si>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</si>
  <si>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</si>
  <si>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</si>
  <si>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</si>
  <si>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</si>
  <si>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</si>
  <si>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</si>
  <si>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</si>
  <si>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</si>
  <si>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</si>
  <si>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</si>
  <si>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</si>
  <si>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</si>
  <si>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</si>
  <si>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</si>
  <si>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</si>
  <si>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</si>
  <si>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</si>
  <si>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</si>
  <si>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</si>
  <si>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</si>
  <si>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</si>
  <si>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</si>
  <si>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</si>
  <si>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</si>
  <si>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</si>
  <si>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</si>
  <si>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</si>
  <si>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</si>
  <si>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</si>
  <si>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</si>
  <si>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</si>
  <si>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</si>
  <si>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</si>
  <si>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</si>
  <si>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</si>
  <si>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</si>
  <si>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</si>
  <si>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</si>
  <si>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</si>
  <si>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</si>
  <si>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</si>
  <si>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</si>
  <si>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</si>
  <si>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</si>
  <si>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</si>
  <si>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</si>
  <si>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</si>
  <si>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</si>
  <si>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</si>
  <si>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</si>
  <si>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</si>
  <si>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</si>
  <si>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</si>
  <si>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</si>
  <si>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</si>
  <si>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</si>
  <si>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</si>
  <si>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</si>
  <si>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</si>
  <si>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</si>
  <si>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</si>
  <si>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</si>
  <si>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</si>
  <si>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</si>
  <si>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</si>
  <si>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</si>
  <si>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</si>
  <si>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</si>
  <si>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</si>
  <si>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</si>
  <si>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</si>
  <si>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</si>
  <si>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</si>
  <si>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</si>
  <si>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</si>
  <si>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</si>
  <si>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</si>
  <si>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</si>
  <si>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</si>
  <si>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</si>
  <si>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</si>
  <si>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</si>
  <si>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</si>
  <si>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</si>
  <si>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</si>
  <si>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</si>
  <si>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</si>
  <si>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</si>
  <si>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</si>
  <si>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</si>
  <si>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</si>
  <si>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</si>
  <si>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</si>
  <si>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</si>
  <si>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</si>
  <si>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</si>
  <si>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</si>
  <si>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</si>
  <si>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</si>
  <si>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</si>
  <si>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</si>
  <si>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</si>
  <si>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</si>
  <si>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</si>
  <si>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</si>
  <si>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</si>
  <si>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</si>
  <si>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</si>
  <si>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</si>
  <si>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</si>
  <si>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</si>
  <si>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</si>
  <si>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</si>
  <si>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</si>
  <si>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</si>
  <si>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</si>
  <si>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</si>
  <si>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</si>
  <si>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</si>
  <si>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</si>
  <si>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</si>
  <si>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</si>
  <si>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</si>
  <si>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</si>
  <si>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</si>
  <si>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</si>
  <si>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</si>
  <si>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</si>
  <si>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</si>
  <si>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</si>
  <si>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</si>
  <si>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</si>
  <si>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</si>
  <si>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</si>
  <si>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</si>
  <si>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</si>
  <si>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</si>
  <si>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</si>
  <si>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</si>
  <si>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</si>
  <si>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</si>
  <si>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</si>
  <si>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</si>
  <si>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</si>
  <si>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</si>
  <si>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</si>
  <si>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</si>
  <si>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</si>
  <si>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</si>
  <si>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</si>
  <si>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</si>
  <si>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</si>
  <si>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</si>
  <si>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</si>
  <si>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</si>
  <si>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</si>
  <si>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</si>
  <si>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</si>
  <si>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</si>
  <si>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</si>
  <si>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</si>
  <si>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</si>
  <si>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</si>
  <si>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</si>
  <si>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</si>
  <si>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</si>
  <si>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</si>
  <si>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</si>
  <si>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</si>
  <si>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</si>
  <si>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</si>
  <si>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</si>
  <si>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</si>
  <si>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</si>
  <si>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</si>
  <si>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</si>
  <si>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</si>
  <si>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</si>
  <si>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</si>
  <si>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</si>
  <si>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</si>
  <si>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</si>
  <si>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</si>
  <si>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</si>
  <si>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</si>
  <si>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</si>
  <si>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</si>
  <si>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</si>
  <si>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</si>
  <si>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</si>
  <si>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</si>
  <si>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</si>
  <si>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</si>
  <si>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</si>
  <si>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</si>
  <si>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</si>
  <si>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</si>
  <si>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</si>
  <si>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</si>
  <si>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</si>
  <si>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</si>
  <si>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</si>
  <si>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</si>
  <si>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</si>
  <si>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</si>
  <si>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</si>
  <si>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</si>
  <si>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</si>
  <si>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</si>
  <si>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</si>
  <si>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</si>
  <si>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</si>
  <si>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</si>
  <si>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</si>
  <si>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</si>
  <si>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</si>
  <si>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</si>
  <si>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</si>
  <si>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</si>
  <si>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</si>
  <si>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</si>
  <si>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</si>
  <si>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</si>
  <si>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</si>
  <si>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</si>
  <si>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</si>
  <si>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</si>
  <si>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</si>
  <si>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</si>
  <si>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</si>
  <si>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</si>
  <si>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</si>
  <si>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</si>
  <si>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</si>
  <si>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</si>
  <si>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</si>
  <si>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</si>
  <si>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</si>
  <si>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</si>
  <si>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</si>
  <si>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</si>
  <si>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</si>
  <si>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</si>
  <si>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</si>
  <si>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</si>
  <si>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</si>
  <si>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</si>
  <si>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</si>
  <si>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</si>
  <si>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</si>
  <si>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</si>
  <si>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</si>
  <si>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</si>
  <si>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</si>
  <si>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</si>
  <si>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</si>
  <si>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</si>
  <si>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</si>
  <si>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</si>
  <si>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</si>
  <si>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</si>
  <si>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</si>
  <si>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</si>
  <si>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</si>
  <si>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</si>
  <si>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</si>
  <si>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</si>
  <si>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</si>
  <si>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</si>
  <si>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</si>
  <si>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</si>
  <si>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</si>
  <si>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</si>
  <si>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</si>
  <si>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</si>
  <si>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</si>
  <si>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</si>
  <si>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</si>
  <si>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</si>
  <si>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</si>
  <si>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</si>
  <si>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</si>
  <si>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</si>
  <si>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</si>
  <si>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</si>
  <si>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</si>
  <si>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</si>
  <si>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</si>
  <si>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</si>
  <si>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</si>
  <si>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</si>
  <si>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</si>
  <si>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</si>
  <si>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</si>
  <si>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</si>
  <si>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</si>
  <si>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</si>
  <si>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</si>
  <si>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</si>
  <si>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</si>
  <si>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</si>
  <si>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</si>
  <si>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</si>
  <si>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</si>
  <si>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</si>
  <si>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</si>
  <si>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</si>
  <si>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</si>
  <si>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</si>
  <si>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</si>
  <si>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</si>
  <si>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</si>
  <si>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</si>
  <si>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</si>
  <si>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</si>
  <si>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</si>
  <si>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</si>
  <si>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</si>
  <si>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</si>
  <si>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</si>
  <si>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</si>
  <si>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</si>
  <si>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</si>
  <si>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</si>
  <si>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</si>
  <si>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</si>
  <si>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</si>
  <si>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</si>
  <si>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</si>
  <si>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</si>
  <si>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</si>
  <si>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</si>
  <si>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</si>
  <si>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</si>
  <si>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</si>
  <si>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</si>
  <si>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</si>
  <si>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</si>
  <si>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</si>
  <si>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</si>
  <si>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</si>
  <si>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</si>
  <si>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</si>
  <si>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</si>
  <si>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</si>
  <si>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</si>
  <si>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</si>
  <si>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</si>
  <si>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</si>
  <si>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</si>
  <si>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</si>
  <si>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</si>
  <si>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</si>
  <si>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</si>
  <si>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</si>
  <si>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</si>
  <si>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</si>
  <si>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</si>
  <si>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</si>
  <si>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</si>
  <si>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</si>
  <si>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</si>
  <si>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</si>
  <si>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</si>
  <si>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</si>
  <si>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</si>
  <si>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</si>
  <si>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</si>
  <si>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</si>
  <si>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</si>
  <si>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</si>
  <si>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</si>
  <si>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</si>
  <si>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</si>
  <si>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</si>
  <si>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</si>
  <si>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</si>
  <si>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</si>
  <si>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</si>
  <si>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</si>
  <si>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</si>
  <si>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</si>
  <si>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</si>
  <si>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</si>
  <si>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</si>
  <si>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</si>
  <si>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</si>
  <si>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</si>
  <si>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</si>
  <si>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</si>
  <si>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</si>
  <si>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</si>
  <si>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</si>
  <si>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</si>
  <si>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</si>
  <si>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</si>
  <si>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</si>
  <si>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</si>
  <si>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</si>
  <si>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</si>
  <si>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</si>
  <si>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</si>
  <si>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</si>
  <si>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</si>
  <si>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</si>
  <si>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</si>
  <si>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</si>
  <si>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</si>
  <si>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</si>
  <si>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</si>
  <si>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</si>
  <si>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</si>
  <si>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</si>
  <si>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</si>
  <si>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</si>
  <si>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</si>
  <si>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</si>
  <si>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</si>
  <si>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</si>
  <si>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</si>
  <si>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</si>
  <si>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</si>
  <si>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</si>
  <si>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</si>
  <si>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</si>
  <si>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</si>
  <si>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</si>
  <si>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</si>
  <si>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</si>
  <si>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</si>
  <si>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</si>
  <si>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</si>
  <si>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</si>
  <si>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</si>
  <si>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</si>
  <si>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</si>
  <si>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</si>
  <si>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</si>
  <si>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</si>
  <si>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</si>
  <si>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</si>
  <si>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</si>
  <si>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</si>
  <si>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</si>
  <si>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</si>
  <si>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</si>
  <si>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</si>
  <si>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</si>
  <si>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</si>
  <si>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</si>
  <si>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</si>
  <si>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</si>
  <si>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</si>
  <si>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</si>
  <si>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</si>
  <si>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</si>
  <si>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</si>
  <si>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</si>
  <si>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</si>
  <si>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</si>
  <si>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</si>
  <si>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</si>
  <si>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</si>
  <si>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</si>
  <si>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</si>
  <si>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</si>
  <si>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</si>
  <si>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</si>
  <si>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</si>
  <si>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</si>
  <si>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</si>
  <si>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</si>
  <si>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</si>
  <si>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</si>
  <si>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</si>
  <si>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</si>
  <si>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</si>
  <si>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</si>
  <si>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</si>
  <si>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</si>
  <si>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</si>
  <si>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</si>
  <si>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</si>
  <si>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</si>
  <si>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</si>
  <si>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</si>
  <si>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</si>
  <si>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</si>
  <si>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</si>
  <si>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</si>
  <si>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</si>
  <si>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</si>
  <si>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</si>
  <si>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</si>
  <si>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</si>
  <si>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</si>
  <si>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</si>
  <si>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</si>
  <si>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</si>
  <si>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</si>
  <si>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</si>
  <si>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</si>
  <si>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</si>
  <si>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</si>
  <si>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</si>
  <si>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</si>
  <si>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</si>
  <si>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</si>
  <si>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</si>
  <si>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</si>
  <si>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</si>
  <si>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</si>
  <si>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</si>
  <si>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</si>
  <si>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</si>
  <si>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</si>
  <si>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</si>
  <si>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</si>
  <si>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</si>
  <si>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</si>
  <si>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</si>
  <si>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</si>
  <si>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</si>
  <si>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</si>
  <si>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</si>
  <si>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</si>
  <si>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</si>
  <si>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</si>
  <si>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</si>
  <si>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</si>
  <si>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</si>
  <si>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</si>
  <si>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</si>
  <si>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</si>
  <si>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</si>
  <si>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</si>
  <si>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</si>
  <si>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</si>
  <si>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</si>
  <si>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</si>
  <si>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</si>
  <si>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</si>
  <si>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</si>
  <si>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</si>
  <si>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</si>
  <si>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</si>
  <si>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</si>
  <si>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</si>
  <si>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</si>
  <si>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</si>
  <si>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</si>
  <si>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</si>
  <si>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</si>
  <si>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</si>
  <si>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</si>
  <si>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</si>
  <si>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</si>
  <si>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</si>
  <si>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</si>
  <si>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</si>
  <si>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</si>
  <si>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</si>
  <si>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</si>
  <si>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</si>
  <si>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</si>
  <si>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</si>
  <si>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</si>
  <si>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</si>
  <si>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</si>
  <si>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</si>
  <si>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</si>
  <si>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</si>
  <si>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</si>
  <si>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</si>
  <si>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</si>
  <si>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</si>
  <si>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</si>
  <si>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</si>
  <si>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</si>
  <si>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</si>
  <si>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</si>
  <si>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</si>
  <si>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</si>
  <si>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</si>
  <si>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</si>
  <si>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</si>
  <si>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</si>
  <si>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</si>
  <si>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</si>
  <si>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</si>
  <si>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</si>
  <si>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</si>
  <si>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</si>
  <si>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</si>
  <si>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</si>
  <si>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</si>
  <si>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</si>
  <si>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</si>
  <si>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</si>
  <si>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</si>
  <si>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</si>
  <si>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</si>
  <si>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</si>
  <si>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</si>
  <si>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</si>
  <si>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</si>
  <si>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</si>
  <si>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</si>
  <si>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</si>
  <si>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</si>
  <si>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</si>
  <si>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</si>
  <si>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</si>
  <si>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</si>
  <si>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</si>
  <si>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</si>
  <si>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</si>
  <si>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</si>
  <si>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</si>
  <si>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</si>
  <si>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</si>
  <si>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</si>
  <si>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</si>
  <si>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</si>
  <si>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</si>
  <si>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</si>
  <si>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</si>
  <si>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</si>
  <si>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</si>
  <si>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</si>
  <si>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</si>
  <si>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</si>
  <si>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</si>
  <si>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</si>
  <si>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</si>
  <si>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</si>
  <si>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</si>
  <si>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</si>
  <si>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</si>
  <si>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</si>
  <si>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</si>
  <si>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</si>
  <si>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</si>
  <si>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</si>
  <si>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</si>
  <si>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</si>
  <si>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</si>
  <si>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</si>
  <si>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</si>
  <si>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</si>
  <si>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</si>
  <si>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</si>
  <si>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</si>
  <si>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</si>
  <si>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</si>
  <si>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</si>
  <si>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</si>
  <si>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</si>
  <si>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</si>
  <si>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</si>
  <si>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</si>
  <si>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</si>
  <si>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</si>
  <si>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</si>
  <si>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</si>
  <si>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</si>
  <si>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</si>
  <si>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</si>
  <si>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</si>
  <si>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</si>
  <si>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</si>
  <si>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</si>
  <si>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</si>
  <si>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</si>
  <si>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</si>
  <si>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</si>
  <si>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</si>
  <si>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</si>
  <si>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</si>
  <si>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</si>
  <si>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</si>
  <si>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</si>
  <si>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</si>
  <si>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</si>
  <si>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</si>
  <si>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</si>
  <si>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</si>
  <si>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</si>
  <si>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</si>
  <si>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</si>
  <si>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</si>
  <si>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</si>
  <si>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</si>
  <si>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</si>
  <si>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</si>
  <si>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</si>
  <si>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</si>
  <si>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</si>
  <si>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</si>
  <si>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</si>
  <si>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</si>
  <si>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</si>
  <si>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</si>
  <si>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</si>
  <si>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</si>
  <si>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</si>
  <si>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</si>
  <si>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</si>
  <si>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</si>
  <si>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</si>
  <si>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</si>
  <si>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</si>
  <si>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</si>
  <si>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</si>
  <si>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</si>
  <si>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</si>
  <si>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</si>
  <si>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</si>
  <si>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</si>
  <si>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</si>
  <si>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</si>
  <si>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</si>
  <si>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</si>
  <si>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</si>
  <si>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</si>
  <si>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</si>
  <si>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</si>
  <si>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</si>
  <si>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</si>
  <si>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</si>
  <si>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</si>
  <si>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</si>
  <si>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</si>
  <si>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</si>
  <si>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</si>
  <si>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</si>
  <si>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</si>
  <si>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</si>
  <si>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</si>
  <si>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</si>
  <si>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</si>
  <si>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</si>
  <si>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</si>
  <si>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</si>
  <si>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</si>
  <si>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</si>
  <si>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</si>
  <si>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</si>
  <si>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</si>
  <si>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</si>
  <si>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</si>
  <si>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</si>
  <si>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</si>
  <si>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</si>
  <si>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</si>
  <si>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</si>
  <si>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</si>
  <si>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</si>
  <si>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</si>
  <si>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</si>
  <si>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</si>
  <si>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</si>
  <si>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</si>
  <si>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</si>
  <si>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</si>
  <si>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</si>
  <si>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</si>
  <si>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</si>
  <si>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</si>
  <si>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</si>
  <si>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</si>
  <si>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</si>
  <si>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</si>
  <si>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</si>
  <si>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</si>
  <si>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</si>
  <si>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</si>
  <si>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</si>
  <si>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</si>
  <si>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</si>
  <si>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</si>
  <si>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</si>
  <si>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</si>
  <si>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</si>
  <si>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</si>
  <si>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</si>
  <si>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</si>
  <si>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</si>
  <si>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</si>
  <si>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</si>
  <si>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</si>
  <si>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</si>
  <si>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</si>
  <si>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</si>
  <si>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</si>
  <si>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</si>
  <si>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</si>
  <si>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</si>
  <si>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</si>
  <si>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</si>
  <si>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</si>
  <si>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</si>
  <si>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</si>
  <si>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</si>
  <si>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</si>
  <si>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</si>
  <si>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</si>
  <si>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</si>
  <si>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</si>
  <si>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</si>
  <si>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</si>
  <si>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</si>
  <si>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</si>
  <si>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</si>
  <si>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</si>
  <si>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</si>
  <si>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</si>
  <si>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</si>
  <si>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</si>
  <si>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</si>
  <si>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</si>
  <si>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</si>
  <si>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</si>
  <si>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</si>
  <si>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</si>
  <si>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</si>
  <si>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</si>
  <si>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</si>
  <si>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</si>
  <si>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</si>
  <si>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</si>
  <si>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</si>
  <si>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</si>
  <si>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</si>
  <si>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</si>
  <si>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</si>
  <si>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</si>
  <si>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</si>
  <si>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</si>
  <si>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</si>
  <si>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</si>
  <si>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</si>
  <si>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</si>
  <si>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</si>
  <si>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</si>
  <si>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</si>
  <si>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</si>
  <si>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</si>
  <si>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</si>
  <si>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</si>
  <si>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</si>
  <si>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</si>
  <si>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</si>
  <si>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</si>
  <si>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</si>
  <si>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</si>
  <si>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</si>
  <si>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</si>
  <si>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</si>
  <si>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</si>
  <si>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</si>
  <si>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</si>
  <si>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</si>
  <si>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</si>
  <si>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</si>
  <si>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</si>
  <si>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</si>
  <si>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</si>
  <si>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</si>
  <si>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</si>
  <si>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</si>
  <si>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</si>
  <si>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</si>
  <si>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</si>
  <si>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</si>
  <si>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</si>
  <si>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</si>
  <si>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</si>
  <si>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</si>
  <si>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</si>
  <si>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</si>
  <si>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</si>
  <si>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</si>
  <si>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</si>
  <si>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</si>
  <si>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</si>
  <si>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</si>
  <si>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</si>
  <si>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</si>
  <si>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</si>
  <si>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</si>
  <si>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</si>
  <si>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</si>
  <si>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</si>
  <si>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</si>
  <si>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</si>
  <si>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</si>
  <si>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</si>
  <si>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</si>
  <si>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</si>
  <si>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</si>
  <si>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</si>
  <si>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</si>
  <si>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</si>
  <si>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</si>
  <si>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</si>
  <si>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</si>
  <si>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</si>
  <si>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</si>
  <si>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</si>
  <si>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</si>
  <si>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</si>
  <si>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</si>
  <si>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</si>
  <si>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</si>
  <si>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</si>
  <si>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</si>
  <si>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</si>
  <si>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</si>
  <si>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</si>
  <si>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</si>
  <si>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</si>
  <si>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</si>
  <si>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</si>
  <si>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</si>
  <si>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</si>
  <si>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</si>
  <si>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</si>
  <si>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</si>
  <si>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</si>
  <si>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</si>
  <si>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</si>
  <si>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</si>
  <si>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</si>
  <si>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</si>
  <si>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</si>
  <si>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</si>
  <si>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</si>
  <si>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</si>
  <si>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</si>
  <si>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</si>
  <si>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</si>
  <si>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</si>
  <si>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</si>
  <si>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</si>
  <si>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</si>
  <si>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</si>
  <si>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</si>
  <si>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</si>
  <si>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</si>
  <si>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</si>
  <si>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</si>
  <si>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</si>
  <si>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</si>
  <si>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</si>
  <si>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</si>
  <si>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</si>
  <si>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</si>
  <si>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</si>
  <si>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</si>
  <si>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</si>
  <si>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</si>
  <si>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</si>
  <si>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</si>
  <si>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</si>
  <si>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</si>
  <si>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</si>
  <si>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</si>
  <si>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</si>
  <si>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</si>
  <si>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</si>
  <si>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</si>
  <si>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</si>
  <si>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</si>
  <si>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</si>
  <si>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</si>
  <si>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</si>
  <si>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</si>
  <si>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</si>
  <si>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</si>
  <si>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</si>
  <si>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</si>
  <si>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</si>
  <si>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</si>
  <si>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</si>
  <si>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</si>
  <si>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</si>
  <si>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</si>
  <si>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</si>
  <si>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</si>
  <si>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</si>
  <si>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</si>
  <si>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</si>
  <si>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</si>
  <si>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</si>
  <si>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</si>
  <si>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</si>
  <si>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</si>
  <si>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</si>
  <si>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</si>
  <si>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</si>
  <si>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</si>
  <si>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</si>
  <si>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</si>
  <si>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</si>
  <si>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</si>
  <si>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</si>
  <si>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</si>
  <si>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</si>
  <si>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</si>
  <si>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</si>
  <si>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</si>
  <si>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</si>
  <si>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</si>
  <si>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</si>
  <si>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</si>
  <si>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</si>
  <si>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</si>
  <si>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</si>
  <si>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</si>
  <si>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</si>
  <si>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</si>
  <si>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</si>
  <si>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</si>
  <si>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</si>
  <si>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</si>
  <si>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</si>
  <si>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</si>
  <si>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</si>
  <si>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</si>
  <si>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</si>
  <si>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</si>
  <si>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</si>
  <si>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</si>
  <si>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</si>
  <si>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</si>
  <si>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</si>
  <si>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</si>
  <si>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</si>
  <si>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</si>
  <si>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</si>
  <si>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</si>
  <si>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</si>
  <si>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</si>
  <si>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</si>
  <si>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</si>
  <si>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</si>
  <si>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</si>
  <si>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</si>
  <si>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</si>
  <si>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</si>
  <si>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</si>
  <si>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</si>
  <si>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</si>
  <si>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</si>
  <si>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</si>
  <si>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</si>
  <si>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</si>
  <si>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</si>
  <si>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</si>
  <si>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</si>
  <si>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</si>
  <si>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</si>
  <si>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</si>
  <si>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</si>
  <si>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</si>
  <si>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</si>
  <si>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</si>
  <si>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</si>
  <si>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</si>
  <si>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</si>
  <si>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</si>
  <si>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</si>
  <si>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</si>
  <si>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</si>
  <si>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</si>
  <si>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</si>
  <si>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</si>
  <si>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</si>
  <si>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</si>
  <si>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</si>
  <si>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</si>
  <si>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</si>
  <si>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</si>
  <si>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</si>
  <si>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</si>
  <si>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</si>
  <si>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</si>
  <si>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</si>
  <si>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</si>
  <si>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</si>
  <si>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</si>
  <si>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</si>
  <si>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</si>
  <si>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</si>
  <si>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</si>
  <si>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</si>
  <si>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</si>
  <si>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</si>
  <si>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</si>
  <si>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</si>
  <si>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</si>
  <si>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</si>
  <si>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</si>
  <si>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</si>
  <si>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</si>
  <si>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</si>
  <si>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</si>
  <si>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</si>
  <si>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</si>
  <si>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</si>
  <si>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</si>
  <si>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</si>
  <si>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</si>
  <si>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</si>
  <si>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</si>
  <si>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</si>
  <si>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</si>
  <si>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</si>
  <si>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</si>
  <si>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</si>
  <si>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</si>
  <si>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</si>
  <si>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</si>
  <si>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</si>
  <si>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</si>
  <si>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</si>
  <si>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</si>
  <si>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</si>
  <si>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</si>
  <si>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</si>
  <si>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</si>
  <si>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</si>
  <si>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</si>
  <si>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</si>
  <si>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</si>
  <si>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</si>
  <si>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</si>
  <si>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</si>
  <si>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</si>
  <si>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</si>
  <si>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</si>
  <si>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</si>
  <si>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</si>
  <si>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</si>
  <si>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</si>
  <si>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</si>
  <si>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</si>
  <si>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</si>
  <si>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</si>
  <si>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</si>
  <si>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</si>
  <si>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</si>
  <si>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</si>
  <si>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</si>
  <si>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</si>
  <si>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</si>
  <si>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</si>
  <si>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</si>
  <si>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</si>
  <si>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</si>
  <si>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</si>
  <si>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</si>
  <si>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</si>
  <si>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</si>
  <si>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</si>
  <si>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</si>
  <si>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</si>
  <si>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</si>
  <si>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</si>
  <si>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</si>
  <si>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</si>
  <si>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</si>
  <si>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</si>
  <si>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</si>
  <si>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</si>
  <si>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</si>
  <si>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</si>
  <si>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</si>
  <si>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</si>
  <si>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</si>
  <si>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</si>
  <si>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</si>
  <si>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</si>
  <si>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</si>
  <si>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</si>
  <si>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</si>
  <si>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</si>
  <si>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</si>
  <si>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</si>
  <si>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</si>
  <si>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</si>
  <si>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</si>
  <si>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</si>
  <si>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</si>
  <si>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</si>
  <si>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</si>
  <si>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</si>
  <si>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</si>
  <si>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</si>
  <si>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</si>
  <si>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</si>
  <si>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</si>
  <si>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</si>
  <si>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</si>
  <si>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</si>
  <si>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</si>
  <si>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</si>
  <si>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</si>
  <si>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</si>
  <si>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</si>
  <si>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</si>
  <si>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</si>
  <si>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</si>
  <si>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</si>
  <si>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</si>
  <si>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</si>
  <si>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</si>
  <si>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</si>
  <si>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</si>
  <si>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</si>
  <si>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</si>
  <si>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</si>
  <si>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</si>
  <si>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</si>
  <si>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</si>
  <si>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</si>
  <si>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</si>
  <si>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</si>
  <si>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</si>
  <si>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</si>
  <si>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</si>
  <si>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</si>
  <si>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</si>
  <si>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</si>
  <si>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</si>
  <si>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</si>
  <si>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</si>
  <si>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</si>
  <si>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</si>
  <si>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</si>
  <si>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</si>
  <si>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</si>
  <si>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</si>
  <si>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</si>
  <si>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</si>
  <si>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</si>
  <si>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</si>
  <si>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</si>
  <si>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</si>
  <si>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</si>
  <si>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</si>
  <si>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</si>
  <si>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</si>
  <si>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</si>
  <si>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</si>
  <si>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</si>
  <si>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</si>
  <si>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</si>
  <si>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</si>
  <si>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</si>
  <si>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</si>
  <si>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</si>
  <si>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</si>
  <si>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</si>
  <si>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</si>
  <si>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</si>
  <si>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</si>
  <si>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</si>
  <si>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</si>
  <si>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</si>
  <si>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</si>
  <si>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</si>
  <si>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</si>
  <si>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</si>
  <si>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</si>
  <si>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</si>
  <si>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</si>
  <si>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</si>
  <si>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</si>
  <si>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</si>
  <si>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</si>
  <si>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</si>
  <si>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</si>
  <si>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</si>
  <si>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</si>
  <si>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</si>
  <si>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</si>
  <si>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</si>
  <si>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</si>
  <si>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</si>
  <si>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</si>
  <si>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</si>
  <si>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</si>
  <si>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</si>
  <si>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</si>
  <si>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</si>
  <si>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</si>
  <si>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</si>
  <si>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</si>
  <si>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</si>
  <si>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</si>
  <si>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</si>
  <si>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</si>
  <si>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</si>
  <si>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</si>
  <si>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</si>
  <si>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</si>
  <si>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</si>
  <si>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</si>
  <si>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</si>
  <si>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</si>
  <si>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</si>
  <si>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</si>
  <si>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</si>
  <si>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</si>
  <si>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</si>
  <si>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</si>
  <si>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</si>
  <si>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</si>
  <si>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</si>
  <si>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</si>
  <si>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</si>
  <si>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</si>
  <si>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</si>
  <si>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</si>
  <si>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</si>
  <si>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</si>
  <si>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</si>
  <si>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</si>
  <si>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</si>
  <si>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</si>
  <si>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</si>
  <si>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</si>
  <si>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</si>
  <si>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</si>
  <si>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</si>
  <si>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</si>
  <si>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</si>
  <si>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</si>
  <si>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</si>
  <si>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</si>
  <si>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</si>
  <si>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</si>
  <si>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</si>
  <si>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</si>
  <si>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</si>
  <si>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</si>
  <si>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</si>
  <si>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</si>
  <si>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</si>
  <si>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</si>
  <si>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</si>
  <si>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</si>
  <si>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</si>
  <si>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</si>
  <si>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</si>
  <si>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</si>
  <si>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</si>
  <si>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</si>
  <si>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</si>
  <si>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</si>
  <si>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</si>
  <si>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</si>
  <si>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</si>
  <si>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</si>
  <si>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</si>
  <si>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</si>
  <si>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</si>
  <si>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</si>
  <si>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</si>
  <si>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</si>
  <si>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</si>
  <si>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</si>
  <si>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</si>
  <si>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</si>
  <si>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</si>
  <si>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</si>
  <si>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</si>
  <si>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</si>
  <si>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</si>
  <si>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</si>
  <si>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</si>
  <si>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</si>
  <si>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</si>
  <si>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</si>
  <si>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</si>
  <si>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</si>
  <si>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</si>
  <si>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</si>
  <si>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</si>
  <si>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</si>
  <si>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</si>
  <si>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</si>
  <si>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</si>
  <si>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</si>
  <si>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</si>
  <si>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</si>
  <si>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</si>
  <si>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</si>
  <si>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</si>
  <si>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</si>
  <si>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</si>
  <si>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</si>
  <si>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</si>
  <si>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</si>
  <si>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</si>
  <si>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</si>
  <si>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</si>
  <si>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</si>
  <si>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</si>
  <si>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</si>
  <si>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</si>
  <si>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</si>
  <si>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</si>
  <si>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</si>
  <si>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</si>
  <si>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</si>
  <si>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</si>
  <si>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</si>
  <si>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</si>
  <si>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</si>
  <si>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</si>
  <si>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</si>
  <si>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</si>
  <si>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</si>
  <si>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</si>
  <si>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</si>
  <si>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</si>
  <si>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</si>
  <si>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</si>
  <si>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</si>
  <si>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</si>
  <si>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</si>
  <si>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</si>
  <si>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</si>
  <si>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</si>
  <si>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</si>
  <si>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</si>
  <si>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</si>
  <si>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</si>
  <si>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</si>
  <si>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</si>
  <si>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</si>
  <si>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</si>
  <si>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</si>
  <si>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</si>
  <si>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</si>
  <si>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</si>
  <si>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</si>
  <si>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</si>
  <si>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</si>
  <si>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</si>
  <si>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</si>
  <si>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</si>
  <si>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</si>
  <si>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</si>
  <si>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</si>
  <si>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</si>
  <si>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</si>
  <si>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</si>
  <si>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</si>
  <si>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</si>
  <si>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</si>
  <si>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</si>
  <si>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</si>
  <si>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</si>
  <si>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</si>
  <si>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</si>
  <si>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</si>
  <si>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</si>
  <si>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</si>
  <si>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</si>
  <si>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</si>
  <si>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</si>
  <si>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</si>
  <si>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</si>
  <si>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</si>
  <si>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</si>
  <si>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</si>
  <si>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</si>
  <si>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</si>
  <si>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</si>
  <si>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</si>
  <si>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</si>
  <si>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</si>
  <si>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</si>
  <si>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</si>
  <si>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</si>
  <si>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</si>
  <si>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</si>
  <si>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</si>
  <si>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</si>
  <si>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</si>
  <si>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</si>
  <si>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</si>
  <si>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</si>
  <si>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</si>
  <si>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</si>
  <si>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</si>
  <si>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</si>
  <si>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</si>
  <si>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</si>
  <si>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</si>
  <si>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</si>
  <si>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</si>
  <si>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</si>
  <si>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</si>
  <si>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</si>
  <si>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</si>
  <si>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</si>
  <si>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</si>
  <si>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</si>
  <si>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</si>
  <si>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</si>
  <si>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</si>
  <si>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</si>
  <si>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</si>
  <si>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</si>
  <si>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</si>
  <si>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</si>
  <si>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</si>
  <si>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</si>
  <si>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</si>
  <si>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</si>
  <si>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</si>
  <si>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</si>
  <si>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</si>
  <si>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</si>
  <si>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</si>
  <si>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</si>
  <si>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</si>
  <si>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</si>
  <si>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</si>
  <si>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</si>
  <si>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</si>
  <si>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</si>
  <si>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</si>
  <si>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</si>
  <si>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</si>
  <si>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</si>
  <si>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</si>
  <si>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</si>
  <si>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</si>
  <si>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</si>
  <si>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</si>
  <si>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</si>
  <si>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</si>
  <si>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</si>
  <si>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</si>
  <si>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</si>
  <si>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</si>
  <si>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</si>
  <si>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</si>
  <si>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</si>
  <si>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</si>
  <si>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</si>
  <si>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</si>
  <si>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</si>
  <si>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</si>
  <si>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</si>
  <si>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</si>
  <si>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</si>
  <si>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</si>
  <si>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</si>
  <si>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</si>
  <si>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</si>
  <si>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</si>
  <si>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</si>
  <si>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</si>
  <si>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</si>
  <si>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</si>
  <si>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</si>
  <si>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</si>
  <si>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</si>
  <si>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</si>
  <si>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</si>
  <si>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</si>
  <si>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</si>
  <si>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</si>
  <si>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</si>
  <si>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</si>
  <si>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</si>
  <si>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</si>
  <si>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</si>
  <si>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</si>
  <si>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</si>
  <si>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</si>
  <si>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</si>
  <si>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</si>
  <si>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</si>
  <si>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</si>
  <si>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</si>
  <si>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</si>
  <si>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</si>
  <si>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</si>
  <si>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</si>
  <si>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</si>
  <si>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</si>
  <si>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</si>
  <si>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</si>
  <si>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</si>
  <si>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</si>
  <si>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</si>
  <si>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</si>
  <si>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</si>
  <si>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</si>
  <si>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</si>
  <si>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</si>
  <si>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</si>
  <si>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</si>
  <si>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</si>
  <si>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</si>
  <si>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</si>
  <si>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</si>
  <si>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</si>
  <si>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</si>
  <si>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</si>
  <si>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</si>
  <si>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</si>
  <si>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</si>
  <si>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</si>
  <si>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</si>
  <si>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</si>
  <si>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</si>
  <si>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</si>
  <si>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</si>
  <si>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</si>
  <si>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</si>
  <si>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</si>
  <si>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</si>
  <si>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</si>
  <si>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</si>
  <si>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</si>
  <si>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</si>
  <si>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</si>
  <si>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</si>
  <si>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</si>
  <si>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</si>
  <si>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</si>
  <si>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</si>
  <si>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</si>
  <si>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</si>
  <si>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</si>
  <si>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</si>
  <si>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</si>
  <si>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</si>
  <si>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</si>
  <si>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</si>
  <si>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</si>
  <si>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</si>
  <si>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</si>
  <si>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</si>
  <si>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</si>
  <si>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</si>
  <si>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</si>
  <si>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</si>
  <si>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</si>
  <si>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</si>
  <si>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</si>
  <si>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</si>
  <si>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</si>
  <si>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</si>
  <si>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</si>
  <si>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</si>
  <si>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</si>
  <si>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</si>
  <si>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</si>
  <si>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</si>
  <si>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</si>
  <si>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</si>
  <si>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</si>
  <si>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</si>
  <si>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</si>
  <si>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</si>
  <si>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</si>
  <si>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</si>
  <si>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</si>
  <si>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</si>
  <si>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</si>
  <si>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</si>
  <si>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</si>
  <si>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</si>
  <si>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</si>
  <si>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</si>
  <si>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</si>
  <si>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</si>
  <si>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</si>
  <si>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</si>
  <si>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</si>
  <si>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</si>
  <si>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</si>
  <si>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</si>
  <si>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</si>
  <si>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</si>
  <si>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</si>
  <si>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</si>
  <si>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</si>
  <si>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</si>
  <si>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</si>
  <si>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</si>
  <si>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</si>
  <si>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</si>
  <si>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</si>
  <si>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</si>
  <si>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</si>
  <si>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</si>
  <si>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</si>
  <si>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</si>
  <si>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</si>
  <si>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</si>
  <si>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</si>
  <si>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</si>
  <si>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</si>
  <si>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</si>
  <si>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</si>
  <si>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</si>
  <si>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</si>
  <si>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</si>
  <si>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</si>
  <si>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</si>
  <si>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</si>
  <si>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</si>
  <si>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</si>
  <si>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</si>
  <si>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</si>
  <si>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</si>
  <si>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</si>
  <si>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</si>
  <si>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</si>
  <si>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</si>
  <si>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</si>
  <si>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</si>
  <si>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</si>
  <si>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</si>
  <si>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</si>
  <si>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</si>
  <si>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</si>
  <si>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</si>
  <si>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</si>
  <si>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</si>
  <si>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</si>
  <si>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</si>
  <si>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</si>
  <si>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</si>
  <si>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</si>
  <si>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</si>
  <si>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</si>
  <si>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</si>
  <si>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</si>
  <si>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</si>
  <si>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</si>
  <si>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</si>
  <si>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</si>
  <si>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</si>
  <si>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</si>
  <si>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</si>
  <si>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</si>
  <si>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</si>
  <si>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</si>
  <si>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</si>
  <si>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</si>
  <si>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</si>
  <si>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</si>
  <si>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</si>
  <si>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</si>
  <si>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</si>
  <si>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</si>
  <si>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</si>
  <si>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</si>
  <si>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</si>
  <si>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</si>
  <si>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</si>
  <si>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</si>
  <si>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</si>
  <si>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</si>
  <si>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</si>
  <si>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</si>
  <si>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</si>
  <si>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</si>
  <si>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</si>
  <si>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</si>
  <si>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</si>
  <si>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</si>
  <si>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</si>
  <si>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</si>
  <si>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</si>
  <si>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</si>
  <si>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</si>
  <si>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</si>
  <si>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</si>
  <si>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</si>
  <si>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</si>
  <si>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</si>
  <si>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</si>
  <si>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</si>
  <si>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</si>
  <si>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</si>
  <si>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</si>
  <si>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</si>
  <si>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</si>
  <si>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</si>
  <si>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</si>
  <si>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</si>
  <si>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</si>
  <si>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</si>
  <si>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</si>
  <si>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</si>
  <si>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</si>
  <si>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</si>
  <si>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</si>
  <si>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</si>
  <si>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</si>
  <si>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</si>
  <si>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</si>
  <si>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</si>
  <si>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</si>
  <si>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</si>
  <si>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</si>
  <si>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</si>
  <si>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</si>
  <si>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</si>
  <si>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</si>
  <si>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</si>
  <si>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</si>
  <si>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</si>
  <si>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</si>
  <si>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</si>
  <si>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</si>
  <si>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</si>
  <si>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</si>
  <si>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</si>
  <si>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</si>
  <si>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</si>
  <si>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</si>
  <si>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</si>
  <si>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</si>
  <si>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</si>
  <si>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</si>
  <si>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</si>
  <si>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</si>
  <si>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</si>
  <si>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</si>
  <si>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</si>
  <si>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</si>
  <si>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</si>
  <si>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</si>
  <si>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</si>
  <si>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</si>
  <si>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</si>
  <si>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</si>
  <si>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</si>
  <si>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</si>
  <si>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</si>
  <si>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</si>
  <si>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</si>
  <si>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</si>
  <si>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</si>
  <si>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</si>
  <si>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</si>
  <si>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</si>
  <si>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</si>
  <si>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</si>
  <si>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</si>
  <si>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</si>
  <si>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</si>
  <si>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</si>
  <si>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</si>
  <si>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</si>
  <si>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</si>
  <si>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</si>
  <si>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</si>
  <si>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</si>
  <si>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</si>
  <si>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</si>
  <si>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</si>
  <si>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</si>
  <si>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</si>
  <si>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</si>
  <si>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</si>
  <si>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</si>
  <si>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</si>
  <si>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</si>
  <si>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</si>
  <si>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</si>
  <si>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</si>
  <si>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</si>
  <si>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</si>
  <si>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</si>
  <si>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</si>
  <si>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</si>
  <si>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</si>
  <si>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</si>
  <si>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</si>
  <si>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</si>
  <si>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</si>
  <si>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</si>
  <si>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</si>
  <si>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</si>
  <si>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</si>
  <si>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</si>
  <si>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</si>
  <si>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</si>
  <si>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</si>
  <si>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</si>
  <si>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</si>
  <si>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</si>
  <si>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</si>
  <si>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</si>
  <si>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</si>
  <si>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</si>
  <si>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</si>
  <si>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</si>
  <si>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</si>
  <si>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</si>
  <si>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</si>
  <si>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</si>
  <si>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</si>
  <si>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</si>
  <si>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</si>
  <si>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</si>
  <si>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</si>
  <si>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</si>
  <si>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</si>
  <si>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</si>
  <si>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</si>
  <si>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</si>
  <si>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</si>
  <si>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</si>
  <si>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</si>
  <si>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</si>
  <si>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</si>
  <si>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</si>
  <si>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</si>
  <si>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</si>
  <si>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</si>
  <si>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</si>
  <si>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</si>
  <si>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</si>
  <si>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</si>
  <si>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</si>
  <si>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</si>
  <si>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</si>
  <si>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</si>
  <si>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</si>
  <si>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</si>
  <si>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</si>
  <si>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</si>
  <si>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</si>
  <si>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</si>
  <si>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</si>
  <si>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</si>
  <si>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</si>
  <si>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</si>
  <si>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</si>
  <si>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</si>
  <si>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</si>
  <si>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</si>
  <si>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</si>
  <si>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</si>
  <si>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</si>
  <si>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</si>
  <si>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</si>
  <si>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</si>
  <si>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</si>
  <si>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</si>
  <si>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</si>
  <si>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</si>
  <si>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</si>
  <si>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</si>
  <si>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</si>
  <si>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</si>
  <si>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</si>
  <si>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</si>
  <si>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</si>
  <si>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</si>
  <si>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</si>
  <si>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</si>
  <si>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</si>
  <si>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</si>
  <si>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</si>
  <si>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</si>
  <si>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</si>
  <si>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</si>
  <si>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</si>
  <si>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</si>
  <si>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</si>
  <si>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</si>
  <si>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</si>
  <si>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</si>
  <si>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</si>
  <si>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</si>
  <si>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</si>
  <si>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</si>
  <si>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</si>
  <si>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</si>
  <si>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</si>
  <si>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</si>
  <si>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</si>
  <si>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</si>
  <si>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</si>
  <si>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</si>
  <si>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</si>
  <si>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</si>
  <si>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</si>
  <si>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</si>
  <si>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</si>
  <si>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</si>
  <si>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</si>
  <si>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</si>
  <si>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</si>
  <si>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</si>
  <si>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</si>
  <si>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</si>
  <si>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</si>
  <si>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</si>
  <si>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</si>
  <si>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</si>
  <si>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</si>
  <si>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</si>
  <si>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</si>
  <si>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</si>
  <si>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</si>
  <si>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</si>
  <si>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</si>
  <si>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</si>
  <si>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</si>
  <si>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</si>
  <si>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</si>
  <si>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</si>
  <si>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</si>
  <si>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</si>
  <si>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</si>
  <si>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</si>
  <si>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</si>
  <si>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</si>
  <si>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</si>
  <si>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</si>
  <si>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</si>
  <si>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</si>
  <si>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</si>
  <si>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</si>
  <si>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</si>
  <si>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</si>
  <si>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</si>
  <si>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</si>
  <si>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</si>
  <si>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</si>
  <si>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</si>
  <si>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</si>
  <si>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</si>
  <si>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</si>
  <si>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</si>
  <si>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</si>
  <si>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</si>
  <si>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</si>
  <si>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</si>
  <si>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</si>
  <si>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</si>
  <si>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</si>
  <si>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</si>
  <si>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</si>
  <si>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</si>
  <si>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</si>
  <si>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</si>
  <si>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</si>
  <si>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</si>
  <si>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</si>
  <si>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</si>
  <si>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</si>
  <si>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</si>
  <si>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</si>
  <si>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</si>
  <si>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</si>
  <si>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</si>
  <si>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</si>
  <si>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</si>
  <si>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</si>
  <si>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</si>
  <si>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</si>
  <si>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</si>
  <si>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</si>
  <si>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</si>
  <si>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</si>
  <si>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</si>
  <si>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</si>
  <si>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</si>
  <si>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</si>
  <si>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</si>
  <si>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</si>
  <si>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</si>
  <si>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</si>
  <si>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</si>
  <si>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</si>
  <si>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</si>
  <si>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</si>
  <si>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</si>
  <si>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</si>
  <si>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</si>
  <si>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</si>
  <si>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</si>
  <si>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</si>
  <si>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</si>
  <si>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</si>
  <si>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</si>
  <si>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</si>
  <si>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</si>
  <si>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</si>
  <si>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</si>
  <si>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</si>
  <si>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</si>
  <si>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</si>
  <si>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</si>
  <si>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</si>
  <si>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</si>
  <si>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</si>
  <si>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</si>
  <si>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</si>
  <si>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</si>
  <si>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</si>
  <si>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</si>
  <si>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</si>
  <si>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</si>
  <si>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</si>
  <si>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</si>
  <si>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</si>
  <si>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</si>
  <si>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</si>
  <si>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</si>
  <si>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</si>
  <si>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</si>
  <si>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</si>
  <si>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</si>
  <si>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</si>
  <si>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</si>
  <si>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</si>
  <si>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</si>
  <si>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</si>
  <si>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</si>
  <si>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</si>
  <si>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</si>
  <si>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</si>
  <si>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</si>
  <si>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</si>
  <si>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</si>
  <si>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</si>
  <si>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</si>
  <si>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</si>
  <si>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</si>
  <si>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</si>
  <si>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</si>
  <si>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</si>
  <si>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</si>
  <si>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</si>
  <si>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</si>
  <si>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</si>
  <si>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</si>
  <si>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</si>
  <si>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</si>
  <si>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</si>
  <si>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</si>
  <si>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</si>
  <si>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</si>
  <si>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</si>
  <si>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</si>
  <si>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</si>
  <si>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</si>
  <si>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</si>
  <si>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</si>
  <si>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</si>
  <si>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</si>
  <si>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</si>
  <si>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</si>
  <si>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</si>
  <si>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</si>
  <si>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</si>
  <si>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</si>
  <si>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</si>
  <si>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</si>
  <si>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</si>
  <si>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</si>
  <si>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</si>
  <si>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</si>
  <si>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</si>
  <si>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</si>
  <si>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</si>
  <si>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</si>
  <si>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</si>
  <si>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</si>
  <si>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</si>
  <si>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</si>
  <si>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</si>
  <si>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</si>
  <si>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</si>
  <si>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</si>
  <si>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</si>
  <si>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</si>
  <si>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</si>
  <si>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</si>
  <si>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</si>
  <si>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</si>
  <si>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</si>
  <si>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</si>
  <si>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</si>
  <si>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</si>
  <si>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</si>
  <si>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</si>
  <si>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</si>
  <si>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</si>
  <si>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</si>
  <si>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</si>
  <si>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</si>
  <si>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</si>
  <si>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</si>
  <si>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</si>
  <si>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</si>
  <si>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</si>
  <si>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</si>
  <si>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</si>
  <si>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</si>
  <si>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</si>
  <si>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</si>
  <si>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</si>
  <si>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</si>
  <si>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</si>
  <si>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</si>
  <si>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</si>
  <si>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</si>
  <si>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</si>
  <si>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</si>
  <si>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</si>
  <si>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</si>
  <si>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</si>
  <si>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</si>
  <si>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</si>
  <si>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</si>
  <si>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</si>
  <si>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</si>
  <si>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</si>
  <si>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</si>
  <si>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</si>
  <si>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</si>
  <si>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</si>
  <si>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</si>
  <si>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</si>
  <si>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</si>
  <si>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</si>
  <si>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</si>
  <si>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</si>
  <si>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</si>
  <si>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</si>
  <si>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</si>
  <si>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</si>
  <si>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</si>
  <si>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</si>
  <si>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</si>
  <si>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</si>
  <si>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</si>
  <si>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</si>
  <si>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</si>
  <si>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</si>
  <si>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</si>
  <si>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</si>
  <si>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</si>
  <si>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</si>
  <si>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</si>
  <si>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</si>
  <si>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</si>
  <si>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</si>
  <si>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</si>
  <si>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</si>
  <si>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</si>
  <si>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</si>
  <si>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</si>
  <si>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</si>
  <si>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</si>
  <si>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</si>
  <si>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</si>
  <si>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</si>
  <si>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</si>
  <si>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</si>
  <si>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</si>
  <si>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</si>
  <si>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</si>
  <si>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</si>
  <si>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</si>
  <si>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</si>
  <si>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</si>
  <si>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</si>
  <si>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</si>
  <si>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</si>
  <si>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</si>
  <si>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</si>
  <si>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</si>
  <si>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</si>
  <si>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</si>
  <si>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</si>
  <si>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</si>
  <si>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</si>
  <si>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</si>
  <si>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</si>
  <si>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</si>
  <si>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</si>
  <si>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</si>
  <si>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</si>
  <si>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</si>
  <si>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</si>
  <si>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</si>
  <si>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</si>
  <si>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</si>
  <si>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</si>
  <si>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</si>
  <si>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</si>
  <si>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</si>
  <si>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</si>
  <si>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</si>
  <si>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</si>
  <si>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</si>
  <si>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</si>
  <si>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</si>
  <si>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</si>
  <si>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</si>
  <si>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</si>
  <si>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</si>
  <si>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</si>
  <si>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</si>
  <si>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</si>
  <si>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</si>
  <si>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</si>
  <si>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</si>
  <si>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</si>
  <si>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</si>
  <si>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</si>
  <si>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</si>
  <si>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</si>
  <si>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</si>
  <si>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</si>
  <si>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</si>
  <si>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</si>
  <si>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</si>
  <si>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</si>
  <si>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</si>
  <si>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</si>
  <si>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</si>
  <si>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</si>
  <si>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</si>
  <si>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</si>
  <si>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</si>
  <si>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</si>
  <si>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</si>
  <si>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</si>
  <si>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</si>
  <si>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</si>
  <si>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</si>
  <si>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</si>
  <si>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</si>
  <si>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</si>
  <si>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</si>
  <si>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</si>
  <si>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</si>
  <si>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</si>
  <si>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</si>
  <si>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</si>
  <si>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</si>
  <si>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</si>
  <si>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</si>
  <si>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</si>
  <si>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</si>
  <si>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</si>
  <si>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</si>
  <si>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</si>
  <si>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</si>
  <si>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</si>
  <si>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</si>
  <si>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</si>
  <si>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</si>
  <si>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</si>
  <si>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</si>
  <si>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</si>
  <si>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</si>
  <si>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</si>
  <si>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</si>
  <si>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</si>
  <si>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</si>
  <si>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</si>
  <si>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</si>
  <si>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</si>
  <si>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</si>
  <si>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</si>
  <si>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</si>
  <si>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</si>
  <si>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</si>
  <si>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</si>
  <si>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</si>
  <si>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</si>
  <si>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</si>
  <si>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</si>
  <si>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</si>
  <si>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</si>
  <si>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</si>
  <si>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</si>
  <si>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</si>
  <si>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</si>
  <si>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</si>
  <si>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</si>
  <si>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</si>
  <si>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</si>
  <si>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</si>
  <si>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</si>
  <si>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</si>
  <si>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</si>
  <si>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</si>
  <si>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</si>
  <si>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</si>
  <si>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</si>
  <si>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</si>
  <si>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</si>
  <si>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</si>
  <si>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</si>
  <si>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</si>
  <si>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</si>
  <si>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</si>
  <si>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</si>
  <si>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</si>
  <si>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</si>
  <si>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</si>
  <si>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</si>
  <si>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</si>
  <si>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</si>
  <si>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</si>
  <si>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</si>
  <si>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</si>
  <si>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</si>
  <si>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</si>
  <si>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</si>
  <si>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</si>
  <si>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</si>
  <si>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</si>
  <si>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</si>
  <si>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</si>
  <si>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</si>
  <si>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</si>
  <si>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</si>
  <si>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</si>
  <si>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</si>
  <si>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</si>
  <si>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</si>
  <si>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</si>
  <si>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</si>
  <si>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</si>
  <si>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</si>
  <si>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</si>
  <si>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</si>
  <si>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</si>
  <si>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</si>
  <si>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</si>
  <si>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</si>
  <si>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</si>
  <si>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</si>
  <si>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</si>
  <si>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</si>
  <si>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</si>
  <si>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</si>
  <si>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</si>
  <si>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</si>
  <si>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</si>
  <si>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</si>
  <si>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</si>
  <si>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</si>
  <si>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</si>
  <si>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</si>
  <si>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</si>
  <si>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</si>
  <si>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</si>
  <si>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</si>
  <si>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</si>
  <si>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</si>
  <si>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</si>
  <si>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</si>
  <si>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</si>
  <si>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</si>
  <si>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</si>
  <si>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</si>
  <si>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</si>
  <si>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</si>
  <si>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</si>
  <si>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</si>
  <si>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</si>
  <si>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</si>
  <si>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</si>
  <si>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</si>
  <si>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</si>
  <si>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</si>
  <si>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</si>
  <si>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</si>
  <si>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</si>
  <si>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</si>
  <si>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</si>
  <si>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</si>
  <si>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</si>
  <si>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</si>
  <si>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</si>
  <si>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</si>
  <si>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</si>
  <si>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</si>
  <si>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</si>
  <si>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</si>
  <si>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</si>
  <si>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</si>
  <si>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</si>
  <si>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</si>
  <si>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</si>
  <si>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</si>
  <si>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</si>
  <si>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</si>
  <si>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</si>
  <si>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</si>
  <si>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</si>
  <si>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</si>
  <si>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</si>
  <si>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</si>
  <si>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</si>
  <si>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</si>
  <si>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</si>
  <si>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</si>
  <si>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</si>
  <si>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</si>
  <si>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</si>
  <si>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</si>
  <si>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</si>
  <si>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</si>
  <si>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</si>
  <si>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</si>
  <si>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</si>
  <si>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</si>
  <si>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</si>
  <si>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</si>
  <si>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</si>
  <si>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</si>
  <si>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</si>
  <si>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</si>
  <si>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</si>
  <si>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</si>
  <si>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</si>
  <si>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</si>
  <si>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</si>
  <si>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</si>
  <si>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</si>
  <si>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</si>
  <si>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</si>
  <si>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</si>
  <si>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</si>
  <si>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</si>
  <si>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</si>
  <si>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</si>
  <si>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</si>
  <si>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</si>
  <si>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</si>
  <si>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</si>
  <si>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</si>
  <si>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</si>
  <si>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</si>
  <si>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</si>
  <si>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</si>
  <si>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</si>
  <si>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</si>
  <si>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</si>
  <si>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</si>
  <si>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</si>
  <si>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</si>
  <si>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</si>
  <si>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</si>
  <si>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</si>
  <si>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</si>
  <si>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</si>
  <si>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</si>
  <si>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</si>
  <si>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</si>
  <si>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</si>
  <si>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</si>
  <si>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</si>
  <si>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</si>
  <si>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</si>
  <si>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</si>
  <si>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</si>
  <si>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</si>
  <si>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</si>
  <si>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</si>
  <si>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</si>
  <si>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</si>
  <si>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</si>
  <si>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</si>
  <si>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</si>
  <si>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</si>
  <si>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</si>
  <si>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</si>
  <si>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</si>
  <si>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</si>
  <si>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</si>
  <si>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</si>
  <si>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</si>
  <si>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</si>
  <si>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</si>
  <si>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</si>
  <si>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</si>
  <si>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</si>
  <si>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</si>
  <si>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</si>
  <si>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</si>
  <si>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</si>
  <si>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</si>
  <si>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</si>
  <si>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</si>
  <si>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</si>
  <si>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</si>
  <si>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</si>
  <si>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</si>
  <si>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</si>
  <si>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</si>
  <si>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</si>
  <si>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</si>
  <si>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</si>
  <si>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</si>
  <si>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</si>
  <si>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</si>
  <si>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</si>
  <si>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</si>
  <si>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</si>
  <si>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</si>
  <si>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</si>
  <si>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</si>
  <si>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</si>
  <si>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</si>
  <si>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</si>
  <si>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</si>
  <si>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</si>
  <si>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</si>
  <si>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</si>
  <si>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</si>
  <si>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</si>
  <si>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</si>
  <si>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</si>
  <si>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</si>
  <si>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</si>
  <si>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</si>
  <si>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</si>
  <si>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</si>
  <si>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</si>
  <si>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</si>
  <si>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</si>
  <si>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</si>
  <si>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</si>
  <si>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</si>
  <si>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</si>
  <si>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</si>
  <si>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</si>
  <si>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</si>
  <si>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</si>
  <si>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</si>
  <si>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</si>
  <si>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</si>
  <si>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</si>
  <si>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</si>
  <si>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</si>
  <si>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</si>
  <si>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</si>
  <si>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</si>
  <si>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</si>
  <si>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</si>
  <si>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</si>
  <si>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</si>
  <si>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</si>
  <si>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</si>
  <si>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</si>
  <si>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</si>
  <si>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</si>
  <si>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</si>
  <si>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</si>
  <si>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</si>
  <si>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</si>
  <si>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</si>
  <si>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</si>
  <si>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</si>
  <si>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</si>
  <si>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</si>
  <si>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</si>
  <si>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</si>
  <si>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</si>
  <si>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</si>
  <si>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</si>
  <si>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</si>
  <si>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</si>
  <si>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</si>
  <si>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</si>
  <si>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</si>
  <si>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</si>
  <si>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</si>
  <si>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</si>
  <si>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</si>
  <si>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</si>
  <si>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</si>
  <si>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</si>
  <si>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</si>
  <si>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</si>
  <si>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</si>
  <si>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</si>
  <si>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</si>
  <si>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</si>
  <si>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</si>
  <si>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</si>
  <si>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</si>
  <si>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</si>
  <si>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</si>
  <si>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</si>
  <si>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</si>
  <si>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</si>
  <si>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</si>
  <si>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</si>
  <si>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</si>
  <si>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</si>
  <si>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</si>
  <si>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</si>
  <si>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</si>
  <si>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</si>
  <si>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</si>
  <si>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</si>
  <si>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</si>
  <si>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</si>
  <si>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</si>
  <si>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</si>
  <si>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</si>
  <si>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</si>
  <si>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</si>
  <si>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</si>
  <si>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</si>
  <si>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</si>
  <si>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</si>
  <si>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</si>
  <si>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</si>
  <si>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</si>
  <si>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</si>
  <si>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</si>
  <si>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</si>
  <si>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</si>
  <si>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</si>
  <si>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</si>
  <si>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</si>
  <si>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</si>
  <si>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</si>
  <si>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</si>
  <si>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</si>
  <si>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</si>
  <si>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</si>
  <si>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</si>
  <si>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</si>
  <si>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</si>
  <si>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</si>
  <si>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</si>
  <si>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</si>
  <si>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</si>
  <si>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</si>
  <si>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</si>
  <si>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</si>
  <si>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</si>
  <si>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</si>
  <si>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</si>
  <si>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</si>
  <si>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</si>
  <si>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</si>
  <si>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</si>
  <si>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</si>
  <si>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</si>
  <si>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</si>
  <si>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</si>
  <si>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</si>
  <si>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</si>
  <si>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</si>
  <si>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</si>
  <si>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</si>
  <si>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</si>
  <si>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</si>
  <si>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</si>
  <si>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</si>
  <si>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</si>
  <si>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</si>
  <si>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</si>
  <si>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</si>
  <si>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</si>
  <si>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</si>
  <si>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</si>
  <si>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</si>
  <si>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</si>
  <si>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</si>
  <si>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</si>
  <si>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已注销</t>
  </si>
  <si>
    <t>房地产抵押价值</t>
  </si>
  <si>
    <t>茂华大厦租金统计表</t>
    <phoneticPr fontId="3" type="noConversion"/>
  </si>
  <si>
    <t>单位：元</t>
    <phoneticPr fontId="3" type="noConversion"/>
  </si>
  <si>
    <t>序</t>
    <phoneticPr fontId="3" type="noConversion"/>
  </si>
  <si>
    <t>客户名称</t>
  </si>
  <si>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</si>
  <si>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</si>
  <si>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</si>
  <si>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</si>
  <si>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</si>
  <si>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</si>
  <si>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</si>
  <si>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</si>
  <si>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中国人民财产保险保险股份有限公司北京市石景山支公司</t>
  </si>
  <si>
    <t>101南侧、2层201</t>
    <phoneticPr fontId="3" type="noConversion"/>
  </si>
  <si>
    <t>办公</t>
    <phoneticPr fontId="143" type="noConversion"/>
  </si>
  <si>
    <t>到期分布</t>
    <phoneticPr fontId="255" type="noConversion"/>
  </si>
  <si>
    <t>面积</t>
    <phoneticPr fontId="255" type="noConversion"/>
  </si>
  <si>
    <t>美伊美韩（北京）国际医疗投资管理有限公司</t>
  </si>
  <si>
    <t>1层商业配楼101北侧、地下一层101北侧</t>
    <phoneticPr fontId="3" type="noConversion"/>
  </si>
  <si>
    <t>中信建投证券有限责任公司</t>
  </si>
  <si>
    <t>西侧、1层102</t>
    <phoneticPr fontId="3" type="noConversion"/>
  </si>
  <si>
    <t>202、203</t>
    <phoneticPr fontId="143" type="noConversion"/>
  </si>
  <si>
    <t>北京迪浩永辉技术有限公司</t>
  </si>
  <si>
    <t>盘锦辽河投资控股有限公司</t>
    <phoneticPr fontId="3" type="noConversion"/>
  </si>
  <si>
    <t>301、308、309</t>
    <phoneticPr fontId="3" type="noConversion"/>
  </si>
  <si>
    <t>北京日益盛投资管理有限公司</t>
    <phoneticPr fontId="3" type="noConversion"/>
  </si>
  <si>
    <r>
      <t>302、30</t>
    </r>
    <r>
      <rPr>
        <sz val="10"/>
        <rFont val="宋体"/>
        <family val="3"/>
        <charset val="134"/>
      </rPr>
      <t>3</t>
    </r>
    <r>
      <rPr>
        <sz val="10"/>
        <rFont val="宋体"/>
        <family val="3"/>
        <charset val="134"/>
      </rPr>
      <t>、30</t>
    </r>
    <r>
      <rPr>
        <sz val="10"/>
        <rFont val="宋体"/>
        <family val="3"/>
        <charset val="134"/>
      </rPr>
      <t>4</t>
    </r>
    <r>
      <rPr>
        <sz val="10"/>
        <rFont val="宋体"/>
        <family val="3"/>
        <charset val="134"/>
      </rPr>
      <t>、30</t>
    </r>
    <r>
      <rPr>
        <sz val="10"/>
        <rFont val="宋体"/>
        <family val="3"/>
        <charset val="134"/>
      </rPr>
      <t>5</t>
    </r>
    <phoneticPr fontId="3" type="noConversion"/>
  </si>
  <si>
    <t>合计</t>
    <phoneticPr fontId="255" type="noConversion"/>
  </si>
  <si>
    <t>北京中祥泰达贸易有限公司</t>
  </si>
  <si>
    <t>3、5</t>
    <phoneticPr fontId="3" type="noConversion"/>
  </si>
  <si>
    <t>306、307、501</t>
    <phoneticPr fontId="3" type="noConversion"/>
  </si>
  <si>
    <t>租约期内日均</t>
    <phoneticPr fontId="255" type="noConversion"/>
  </si>
  <si>
    <t>租约期外日均</t>
  </si>
  <si>
    <t>空置</t>
    <phoneticPr fontId="3" type="noConversion"/>
  </si>
  <si>
    <t>市调租金</t>
    <phoneticPr fontId="255" type="noConversion"/>
  </si>
  <si>
    <t>增长率</t>
    <phoneticPr fontId="255" type="noConversion"/>
  </si>
  <si>
    <t>石景山区八角街道办事处</t>
  </si>
  <si>
    <t>最长租约</t>
    <phoneticPr fontId="255" type="noConversion"/>
  </si>
  <si>
    <t>北京磐石之爱文化发展有限公司</t>
    <phoneticPr fontId="3" type="noConversion"/>
  </si>
  <si>
    <t>商业</t>
    <phoneticPr fontId="143" type="noConversion"/>
  </si>
  <si>
    <t>北京铸成博信国防科技发展中心</t>
    <phoneticPr fontId="143" type="noConversion"/>
  </si>
  <si>
    <t>北京金紫荆房地产经纪有限责任公司</t>
  </si>
  <si>
    <t>北京华夏后土文化交流中心</t>
    <phoneticPr fontId="3" type="noConversion"/>
  </si>
  <si>
    <t>北京联众华禹环保科技有限公司</t>
    <phoneticPr fontId="3" type="noConversion"/>
  </si>
  <si>
    <r>
      <t>601、</t>
    </r>
    <r>
      <rPr>
        <sz val="10"/>
        <rFont val="宋体"/>
        <family val="3"/>
        <charset val="134"/>
      </rPr>
      <t>602</t>
    </r>
    <phoneticPr fontId="3" type="noConversion"/>
  </si>
  <si>
    <t>合计</t>
    <phoneticPr fontId="255" type="noConversion"/>
  </si>
  <si>
    <t>中京国际保险销售（北京）有限公司</t>
    <phoneticPr fontId="3" type="noConversion"/>
  </si>
  <si>
    <t>604、605</t>
    <phoneticPr fontId="3" type="noConversion"/>
  </si>
  <si>
    <t>北京金航线教育科技有限公司</t>
    <phoneticPr fontId="3" type="noConversion"/>
  </si>
  <si>
    <t>市调租金</t>
    <phoneticPr fontId="255" type="noConversion"/>
  </si>
  <si>
    <t>北京高泽科技有限公司</t>
  </si>
  <si>
    <t>增长率</t>
    <phoneticPr fontId="255" type="noConversion"/>
  </si>
  <si>
    <t>北京四维祥泰科技有限公司</t>
    <phoneticPr fontId="3" type="noConversion"/>
  </si>
  <si>
    <t>最长租约</t>
    <phoneticPr fontId="255" type="noConversion"/>
  </si>
  <si>
    <t>上海领安生物科技有限公司</t>
    <phoneticPr fontId="3" type="noConversion"/>
  </si>
  <si>
    <t>地下车库</t>
    <phoneticPr fontId="255" type="noConversion"/>
  </si>
  <si>
    <t>到期分布</t>
    <phoneticPr fontId="255" type="noConversion"/>
  </si>
  <si>
    <t>个数</t>
    <phoneticPr fontId="255" type="noConversion"/>
  </si>
  <si>
    <t>月租金</t>
    <phoneticPr fontId="255" type="noConversion"/>
  </si>
  <si>
    <t>年收益</t>
    <phoneticPr fontId="255" type="noConversion"/>
  </si>
  <si>
    <t>周海兴</t>
    <phoneticPr fontId="3" type="noConversion"/>
  </si>
  <si>
    <t>7层</t>
    <phoneticPr fontId="143" type="noConversion"/>
  </si>
  <si>
    <t>长期</t>
    <phoneticPr fontId="255" type="noConversion"/>
  </si>
  <si>
    <t>Triotech Amusement Inc.</t>
    <phoneticPr fontId="3" type="noConversion"/>
  </si>
  <si>
    <t>801、809</t>
    <phoneticPr fontId="3" type="noConversion"/>
  </si>
  <si>
    <t>湖南邵阳商会，暂无合同</t>
    <phoneticPr fontId="3" type="noConversion"/>
  </si>
  <si>
    <t>北京天舟上元信息技术有限公司</t>
    <phoneticPr fontId="3" type="noConversion"/>
  </si>
  <si>
    <t>中能新源（北京）投资有限公司</t>
  </si>
  <si>
    <t>北京漠海奇珍科技有限公司</t>
    <phoneticPr fontId="3" type="noConversion"/>
  </si>
  <si>
    <t>北京恒固防腐工程有限公司</t>
    <phoneticPr fontId="3" type="noConversion"/>
  </si>
  <si>
    <t>北京迪声数字娱乐科技股份有限公司</t>
    <phoneticPr fontId="3" type="noConversion"/>
  </si>
  <si>
    <t>901、902部分、908、909</t>
    <phoneticPr fontId="143" type="noConversion"/>
  </si>
  <si>
    <t>空置</t>
    <phoneticPr fontId="3" type="noConversion"/>
  </si>
  <si>
    <t>903、904、905、906</t>
    <phoneticPr fontId="3" type="noConversion"/>
  </si>
  <si>
    <t>北京骏天资本管理有限公司</t>
    <phoneticPr fontId="3" type="noConversion"/>
  </si>
  <si>
    <r>
      <t>F</t>
    </r>
    <r>
      <rPr>
        <sz val="10"/>
        <rFont val="宋体"/>
        <family val="3"/>
        <charset val="134"/>
      </rPr>
      <t>OS服务式办公空间</t>
    </r>
    <phoneticPr fontId="3" type="noConversion"/>
  </si>
  <si>
    <t>10层</t>
    <phoneticPr fontId="3" type="noConversion"/>
  </si>
  <si>
    <t>北京天舟上元信息技术有限公司</t>
    <phoneticPr fontId="3" type="noConversion"/>
  </si>
  <si>
    <t>法讯参考（北京）影视文化传媒有限公司</t>
    <phoneticPr fontId="3" type="noConversion"/>
  </si>
  <si>
    <t>1601、1609</t>
    <phoneticPr fontId="3" type="noConversion"/>
  </si>
  <si>
    <t>《人民法治》杂志有限公司</t>
    <phoneticPr fontId="143" type="noConversion"/>
  </si>
  <si>
    <t>1701、1709</t>
    <phoneticPr fontId="143" type="noConversion"/>
  </si>
  <si>
    <t>北京中嘉君豪投资管理有限公司</t>
    <phoneticPr fontId="3" type="noConversion"/>
  </si>
  <si>
    <t>16-18层等</t>
  </si>
  <si>
    <t>长期</t>
    <phoneticPr fontId="3" type="noConversion"/>
  </si>
  <si>
    <t>地下一层职工食堂</t>
    <phoneticPr fontId="3" type="noConversion"/>
  </si>
  <si>
    <t>地下二层车库（107个，500元/月）</t>
    <phoneticPr fontId="3" type="noConversion"/>
  </si>
  <si>
    <t>合计</t>
    <phoneticPr fontId="143" type="noConversion"/>
  </si>
  <si>
    <t>办公合计</t>
    <phoneticPr fontId="143" type="noConversion"/>
  </si>
  <si>
    <t>地上商业合计</t>
    <phoneticPr fontId="143" type="noConversion"/>
  </si>
  <si>
    <t>地下商业合计</t>
    <phoneticPr fontId="143" type="noConversion"/>
  </si>
  <si>
    <t>车库合计</t>
    <phoneticPr fontId="143" type="noConversion"/>
  </si>
  <si>
    <t>商务金融用地（商业类）</t>
  </si>
  <si>
    <t>北京北辰万通国际投资有限公司</t>
    <phoneticPr fontId="3" type="noConversion"/>
  </si>
  <si>
    <t>华夏银行股份有限公司北京北沙滩支行</t>
    <phoneticPr fontId="3" type="noConversion"/>
  </si>
  <si>
    <t>北京市</t>
  </si>
  <si>
    <t>企业</t>
  </si>
  <si>
    <t>出让</t>
  </si>
  <si>
    <t>北京北辰万通国际投资有限公司</t>
    <phoneticPr fontId="6" type="noConversion"/>
  </si>
  <si>
    <r>
      <rPr>
        <sz val="12"/>
        <color theme="9" tint="-0.249977111117893"/>
        <rFont val="宋体"/>
        <family val="3"/>
        <charset val="134"/>
      </rPr>
      <t>石景山区时代花园南路</t>
    </r>
    <r>
      <rPr>
        <sz val="12"/>
        <color theme="9" tint="-0.249977111117893"/>
        <rFont val="Arial"/>
        <family val="2"/>
      </rPr>
      <t>17</t>
    </r>
    <r>
      <rPr>
        <sz val="12"/>
        <color theme="9" tint="-0.249977111117893"/>
        <rFont val="宋体"/>
        <family val="3"/>
        <charset val="134"/>
      </rPr>
      <t>号</t>
    </r>
    <phoneticPr fontId="6" type="noConversion"/>
  </si>
  <si>
    <t>是</t>
  </si>
  <si>
    <t>否</t>
  </si>
  <si>
    <t>通路</t>
  </si>
  <si>
    <t>通电</t>
  </si>
  <si>
    <t>通上水</t>
  </si>
  <si>
    <t>通下水</t>
  </si>
  <si>
    <t>通讯</t>
  </si>
  <si>
    <t>通热</t>
  </si>
  <si>
    <t>燃气</t>
  </si>
  <si>
    <t>办公项目</t>
  </si>
  <si>
    <t>现房</t>
  </si>
  <si>
    <t>地上办公</t>
  </si>
  <si>
    <t>地上</t>
  </si>
  <si>
    <t>底商</t>
  </si>
  <si>
    <t>办公楼</t>
  </si>
  <si>
    <t>地下</t>
  </si>
  <si>
    <t>车库—办公</t>
  </si>
  <si>
    <t>车库</t>
  </si>
  <si>
    <t>成新度</t>
  </si>
  <si>
    <t>收益法-商业</t>
  </si>
  <si>
    <t>收益法-办公</t>
  </si>
  <si>
    <t>收益法-车库</t>
  </si>
  <si>
    <t>不临58条商业街</t>
  </si>
  <si>
    <t>有</t>
  </si>
  <si>
    <t>无</t>
  </si>
  <si>
    <t>1000米以外</t>
  </si>
  <si>
    <t>与级别开发程度一致</t>
  </si>
  <si>
    <t>平整</t>
  </si>
  <si>
    <t>按公示增长率计算</t>
  </si>
  <si>
    <t>容积率修正</t>
  </si>
  <si>
    <t>楼层修正</t>
  </si>
  <si>
    <t>地上1层商业</t>
    <phoneticPr fontId="3" type="noConversion"/>
  </si>
  <si>
    <t>较好</t>
  </si>
  <si>
    <t>一般</t>
  </si>
  <si>
    <t>商务金融用地（办公类）</t>
  </si>
  <si>
    <t>未包含在土地购买价格中</t>
  </si>
  <si>
    <t>全部缴纳</t>
  </si>
  <si>
    <t>已包含在土地取得成本中</t>
  </si>
  <si>
    <t>成本法</t>
  </si>
  <si>
    <t>收益法（汇总）</t>
  </si>
  <si>
    <t>押一</t>
  </si>
  <si>
    <t>按租金收入计税</t>
  </si>
  <si>
    <t>钢混</t>
  </si>
  <si>
    <t>非生产用房</t>
  </si>
  <si>
    <t>北京红宇堂科技有限公司</t>
    <phoneticPr fontId="143" type="noConversion"/>
  </si>
  <si>
    <t>北京东方华数信息技术有限公司</t>
    <phoneticPr fontId="3" type="noConversion"/>
  </si>
  <si>
    <t>空置</t>
    <phoneticPr fontId="3" type="noConversion"/>
  </si>
  <si>
    <t>空置</t>
    <phoneticPr fontId="143" type="noConversion"/>
  </si>
  <si>
    <t>北京雨嘉科技有限公司</t>
    <phoneticPr fontId="143" type="noConversion"/>
  </si>
  <si>
    <t>北京麦格天宝科技发展集团有限公司</t>
    <phoneticPr fontId="143" type="noConversion"/>
  </si>
  <si>
    <t>11、12、15</t>
    <phoneticPr fontId="143" type="noConversion"/>
  </si>
  <si>
    <t>1104部分、12层、15层</t>
    <phoneticPr fontId="143" type="noConversion"/>
  </si>
  <si>
    <t>1102、1103部分</t>
    <phoneticPr fontId="143" type="noConversion"/>
  </si>
  <si>
    <t>1103部分、1104部分</t>
    <phoneticPr fontId="143" type="noConversion"/>
  </si>
  <si>
    <t>郭涛</t>
    <phoneticPr fontId="143" type="noConversion"/>
  </si>
  <si>
    <t>1107改1109</t>
    <phoneticPr fontId="143" type="noConversion"/>
  </si>
  <si>
    <t>左宜（北京）科技有限公司</t>
    <phoneticPr fontId="143" type="noConversion"/>
  </si>
  <si>
    <t>蔚蓝在线（北京）教育科技有限公司</t>
    <phoneticPr fontId="143" type="noConversion"/>
  </si>
  <si>
    <t>北京市开创律政法律咨询事务所</t>
    <phoneticPr fontId="143" type="noConversion"/>
  </si>
  <si>
    <t>空置</t>
    <phoneticPr fontId="143" type="noConversion"/>
  </si>
  <si>
    <t>自定义</t>
  </si>
  <si>
    <t>成本比率</t>
  </si>
  <si>
    <t>同一抵押权人同一抵押物续贷</t>
  </si>
  <si>
    <t>项目全部</t>
  </si>
  <si>
    <t>建筑面积</t>
  </si>
  <si>
    <t>土地面积</t>
  </si>
  <si>
    <t>建筑物价值</t>
  </si>
  <si>
    <t>空置率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</si>
</sst>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14" fontId="0" fillId="0" borderId="0" xfId="0" applyNumberFormat="1" applyFill="1">
      <alignment vertical="center"/>
    </xf>
    <xf numFmtId="0" fontId="0" fillId="0" borderId="0" xfId="0" applyFill="1">
      <alignment vertical="center"/>
    </xf>
    <xf numFmtId="0" fontId="83" fillId="0" borderId="1" xfId="17" applyNumberFormat="1" applyFont="1" applyFill="1" applyBorder="1" applyAlignment="1">
      <alignment horizontal="center" vertical="center"/>
    </xf>
    <xf numFmtId="0" fontId="83" fillId="0" borderId="1" xfId="17" applyNumberFormat="1" applyFont="1" applyFill="1" applyBorder="1" applyAlignment="1">
      <alignment horizontal="center" vertical="center" wrapText="1"/>
    </xf>
    <xf numFmtId="0" fontId="19" fillId="5" borderId="1" xfId="17" applyNumberFormat="1" applyFont="1" applyFill="1" applyBorder="1" applyAlignment="1">
      <alignment horizontal="center" vertical="center"/>
    </xf>
    <xf numFmtId="0" fontId="19" fillId="5" borderId="1" xfId="17" applyNumberFormat="1" applyFont="1" applyFill="1" applyBorder="1" applyAlignment="1">
      <alignment horizontal="left" vertical="center"/>
    </xf>
    <xf numFmtId="14" fontId="19" fillId="5" borderId="1" xfId="0" applyNumberFormat="1" applyFont="1" applyFill="1" applyBorder="1" applyAlignment="1">
      <alignment horizontal="center" vertical="center"/>
    </xf>
    <xf numFmtId="14" fontId="19" fillId="5" borderId="1" xfId="17" applyNumberFormat="1" applyFont="1" applyFill="1" applyBorder="1" applyAlignment="1">
      <alignment horizontal="center" vertical="center"/>
    </xf>
    <xf numFmtId="14" fontId="119" fillId="0" borderId="0" xfId="0" applyNumberFormat="1" applyFont="1" applyAlignment="1">
      <alignment horizontal="center" vertical="center"/>
    </xf>
    <xf numFmtId="0" fontId="19" fillId="5" borderId="1" xfId="17" applyNumberFormat="1" applyFont="1" applyFill="1" applyBorder="1" applyAlignment="1">
      <alignment horizontal="left" vertical="center" wrapText="1"/>
    </xf>
    <xf numFmtId="0" fontId="113" fillId="0" borderId="0" xfId="0" applyFont="1" applyAlignment="1">
      <alignment horizontal="center" vertical="center"/>
    </xf>
    <xf numFmtId="43" fontId="113" fillId="0" borderId="0" xfId="0" applyNumberFormat="1" applyFont="1" applyAlignment="1">
      <alignment horizontal="center" vertical="center"/>
    </xf>
    <xf numFmtId="0" fontId="19" fillId="0" borderId="1" xfId="17" applyNumberFormat="1" applyFont="1" applyFill="1" applyBorder="1" applyAlignment="1">
      <alignment horizontal="center" vertical="center"/>
    </xf>
    <xf numFmtId="0" fontId="19" fillId="0" borderId="1" xfId="17" applyNumberFormat="1" applyFont="1" applyFill="1" applyBorder="1" applyAlignment="1">
      <alignment horizontal="left" vertical="center"/>
    </xf>
    <xf numFmtId="14" fontId="19" fillId="0" borderId="1" xfId="0" applyNumberFormat="1" applyFont="1" applyFill="1" applyBorder="1" applyAlignment="1">
      <alignment horizontal="center" vertical="center"/>
    </xf>
    <xf numFmtId="14" fontId="19" fillId="0" borderId="1" xfId="17" applyNumberFormat="1" applyFont="1" applyFill="1" applyBorder="1" applyAlignment="1">
      <alignment horizontal="center" vertical="center"/>
    </xf>
    <xf numFmtId="0" fontId="113" fillId="0" borderId="0" xfId="0" applyNumberFormat="1" applyFont="1" applyAlignment="1">
      <alignment horizontal="center" vertical="center"/>
    </xf>
    <xf numFmtId="0" fontId="19" fillId="0" borderId="1" xfId="17" applyNumberFormat="1" applyFont="1" applyFill="1" applyBorder="1" applyAlignment="1">
      <alignment horizontal="left" vertical="center" wrapText="1"/>
    </xf>
    <xf numFmtId="0" fontId="19" fillId="0" borderId="15" xfId="17" applyNumberFormat="1" applyFont="1" applyFill="1" applyBorder="1" applyAlignment="1">
      <alignment horizontal="center" vertical="center"/>
    </xf>
    <xf numFmtId="0" fontId="19" fillId="0" borderId="15" xfId="17" applyNumberFormat="1" applyFont="1" applyFill="1" applyBorder="1" applyAlignment="1">
      <alignment horizontal="left" vertical="center"/>
    </xf>
    <xf numFmtId="0" fontId="19" fillId="5" borderId="1" xfId="0" applyNumberFormat="1" applyFont="1" applyFill="1" applyBorder="1" applyAlignment="1">
      <alignment horizontal="center" vertical="center" wrapText="1"/>
    </xf>
    <xf numFmtId="0" fontId="19" fillId="5" borderId="1" xfId="0" applyNumberFormat="1" applyFont="1" applyFill="1" applyBorder="1" applyAlignment="1">
      <alignmen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6" borderId="7" xfId="0" applyFont="1" applyFill="1" applyBorder="1" applyAlignment="1" applyProtection="1">
      <alignment horizontal="center" vertical="center" wrapText="1"/>
      <protection locked="0"/>
    </xf>
    <xf numFmtId="0" fontId="19" fillId="9" borderId="1"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wrapText="1"/>
    </xf>
    <xf numFmtId="14" fontId="19" fillId="9" borderId="1" xfId="0" applyNumberFormat="1" applyFont="1" applyFill="1" applyBorder="1" applyAlignment="1">
      <alignment horizontal="center" vertical="center"/>
    </xf>
    <xf numFmtId="14" fontId="19" fillId="9" borderId="1"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xf>
    <xf numFmtId="0" fontId="0" fillId="0" borderId="0" xfId="0" applyNumberFormat="1" applyFill="1">
      <alignment vertical="center"/>
    </xf>
    <xf numFmtId="0" fontId="19" fillId="0" borderId="1" xfId="0" applyNumberFormat="1" applyFont="1" applyFill="1" applyBorder="1" applyAlignment="1">
      <alignment vertical="center"/>
    </xf>
    <xf numFmtId="0" fontId="19" fillId="0" borderId="1" xfId="0" applyNumberFormat="1" applyFont="1" applyFill="1" applyBorder="1" applyAlignment="1">
      <alignment horizontal="center" vertical="center"/>
    </xf>
    <xf numFmtId="0" fontId="119" fillId="0" borderId="0" xfId="0" applyNumberFormat="1" applyFont="1" applyAlignment="1">
      <alignment horizontal="center" vertical="center"/>
    </xf>
    <xf numFmtId="0" fontId="83"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wrapText="1"/>
    </xf>
    <xf numFmtId="0" fontId="84" fillId="0" borderId="1" xfId="17" applyNumberFormat="1" applyFont="1" applyFill="1" applyBorder="1" applyAlignment="1">
      <alignment horizontal="center" vertical="center"/>
    </xf>
    <xf numFmtId="0" fontId="0" fillId="0" borderId="0" xfId="0" applyNumberFormat="1">
      <alignment vertical="center"/>
    </xf>
    <xf numFmtId="0" fontId="19" fillId="5" borderId="1" xfId="0" applyNumberFormat="1" applyFont="1" applyFill="1" applyBorder="1" applyAlignment="1">
      <alignment horizontal="center" vertical="center"/>
    </xf>
    <xf numFmtId="0" fontId="19" fillId="5" borderId="1" xfId="0" applyNumberFormat="1" applyFont="1" applyFill="1" applyBorder="1" applyAlignment="1">
      <alignment vertical="center"/>
    </xf>
    <xf numFmtId="0" fontId="19" fillId="5" borderId="1" xfId="17" applyNumberFormat="1" applyFont="1" applyFill="1" applyBorder="1" applyAlignment="1">
      <alignment vertical="center"/>
    </xf>
    <xf numFmtId="0" fontId="19" fillId="5" borderId="1" xfId="0" applyNumberFormat="1" applyFont="1" applyFill="1" applyBorder="1" applyAlignment="1">
      <alignment horizontal="right" vertical="center"/>
    </xf>
    <xf numFmtId="0" fontId="19" fillId="5" borderId="1"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0" fontId="19" fillId="0" borderId="1" xfId="17" applyNumberFormat="1" applyFont="1" applyFill="1" applyBorder="1" applyAlignment="1">
      <alignment vertical="center"/>
    </xf>
    <xf numFmtId="0" fontId="19" fillId="0" borderId="1" xfId="0" applyNumberFormat="1" applyFont="1" applyFill="1" applyBorder="1" applyAlignment="1">
      <alignment horizontal="right" vertical="center"/>
    </xf>
    <xf numFmtId="0" fontId="19" fillId="9" borderId="1" xfId="0" applyNumberFormat="1" applyFont="1" applyFill="1" applyBorder="1" applyAlignment="1">
      <alignment horizontal="left" vertical="center"/>
    </xf>
    <xf numFmtId="0" fontId="19" fillId="9" borderId="1" xfId="17" applyNumberFormat="1" applyFont="1" applyFill="1" applyBorder="1" applyAlignment="1">
      <alignment vertical="center"/>
    </xf>
    <xf numFmtId="0" fontId="19" fillId="9" borderId="1" xfId="0" applyNumberFormat="1" applyFont="1" applyFill="1" applyBorder="1" applyAlignment="1">
      <alignment horizontal="right" vertical="center"/>
    </xf>
    <xf numFmtId="0" fontId="19" fillId="0" borderId="1" xfId="1" applyNumberFormat="1" applyFont="1" applyFill="1" applyBorder="1" applyAlignment="1">
      <alignment horizontal="left" vertical="center"/>
    </xf>
    <xf numFmtId="0" fontId="119" fillId="0" borderId="0" xfId="0" applyNumberFormat="1" applyFont="1" applyFill="1" applyBorder="1" applyAlignment="1">
      <alignment horizontal="center" vertical="center"/>
    </xf>
    <xf numFmtId="0" fontId="113" fillId="0" borderId="0" xfId="0" applyNumberFormat="1" applyFont="1" applyFill="1" applyAlignment="1">
      <alignment horizontal="center" vertical="center"/>
    </xf>
    <xf numFmtId="0" fontId="19" fillId="0" borderId="1" xfId="0" applyNumberFormat="1" applyFont="1" applyFill="1" applyBorder="1" applyAlignment="1">
      <alignment horizontal="left" vertical="center" wrapText="1"/>
    </xf>
    <xf numFmtId="0" fontId="19" fillId="9" borderId="1" xfId="0" applyNumberFormat="1" applyFont="1" applyFill="1" applyBorder="1" applyAlignment="1">
      <alignment vertical="center"/>
    </xf>
    <xf numFmtId="0" fontId="19" fillId="0" borderId="1" xfId="1" applyNumberFormat="1" applyFont="1" applyFill="1" applyBorder="1" applyAlignment="1">
      <alignment vertical="center"/>
    </xf>
    <xf numFmtId="0" fontId="19" fillId="0" borderId="1" xfId="1" applyNumberFormat="1" applyFont="1" applyFill="1" applyBorder="1" applyAlignment="1">
      <alignment horizontal="right" vertical="center"/>
    </xf>
    <xf numFmtId="0" fontId="19" fillId="0" borderId="15" xfId="0" applyNumberFormat="1" applyFont="1" applyFill="1" applyBorder="1" applyAlignment="1">
      <alignment vertical="center"/>
    </xf>
    <xf numFmtId="0" fontId="19" fillId="0" borderId="15" xfId="17" applyNumberFormat="1" applyFont="1" applyFill="1" applyBorder="1" applyAlignment="1">
      <alignment vertical="center"/>
    </xf>
    <xf numFmtId="0" fontId="19" fillId="0" borderId="15" xfId="0" applyNumberFormat="1" applyFont="1" applyFill="1" applyBorder="1" applyAlignment="1">
      <alignment horizontal="right" vertical="center"/>
    </xf>
    <xf numFmtId="0" fontId="145" fillId="5" borderId="1" xfId="17" applyNumberFormat="1" applyFont="1" applyFill="1" applyBorder="1" applyAlignment="1">
      <alignment horizontal="center" vertical="center"/>
    </xf>
    <xf numFmtId="0" fontId="19" fillId="5" borderId="1" xfId="17" applyNumberFormat="1" applyFont="1" applyFill="1" applyBorder="1">
      <alignment vertical="center"/>
    </xf>
    <xf numFmtId="0" fontId="145" fillId="0" borderId="1" xfId="17" applyNumberFormat="1" applyFont="1" applyFill="1" applyBorder="1" applyAlignment="1">
      <alignment horizontal="center" vertical="center"/>
    </xf>
    <xf numFmtId="0" fontId="99" fillId="0" borderId="0" xfId="0" applyNumberFormat="1" applyFont="1">
      <alignment vertical="center"/>
    </xf>
    <xf numFmtId="0" fontId="99" fillId="0" borderId="0" xfId="0" applyNumberFormat="1" applyFont="1" applyFill="1" applyBorder="1">
      <alignment vertical="center"/>
    </xf>
    <xf numFmtId="14" fontId="113" fillId="0" borderId="0" xfId="0" applyNumberFormat="1" applyFont="1" applyAlignment="1">
      <alignment horizontal="center" vertical="center"/>
    </xf>
    <xf numFmtId="9" fontId="113" fillId="0" borderId="0" xfId="18" applyFont="1" applyAlignment="1">
      <alignment horizontal="center" vertical="center"/>
    </xf>
    <xf numFmtId="181" fontId="55" fillId="17" borderId="61" xfId="0"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181" fontId="47" fillId="17" borderId="1" xfId="0" applyNumberFormat="1"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0" fontId="113" fillId="17" borderId="0" xfId="0" applyNumberFormat="1" applyFont="1" applyFill="1" applyAlignment="1">
      <alignment horizontal="center" vertical="center"/>
    </xf>
    <xf numFmtId="9" fontId="50" fillId="17"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67" fillId="0" borderId="1" xfId="0" applyNumberFormat="1"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113" fillId="0" borderId="0" xfId="0" applyNumberFormat="1" applyFont="1" applyAlignment="1">
      <alignment horizontal="center" vertical="center"/>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15" sqref="D15"/>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北京市石景山区时代花园南路17号房地产抵押价值预评估</v>
      </c>
    </row>
    <row r="3" spans="1:2" s="1589" customFormat="1">
      <c r="A3" s="1587" t="s">
        <v>1217</v>
      </c>
      <c r="B3" s="1588" t="str">
        <f>'预评函-封皮'!B40</f>
        <v>北京北辰万通国际投资有限公司</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受贵公司委托，我公司对北京市石景山区时代花园南路17号房地产抵押价值进行了预评估。</v>
      </c>
    </row>
    <row r="7" spans="1:2" s="1589" customFormat="1">
      <c r="A7" s="1587" t="s">
        <v>1260</v>
      </c>
      <c r="B7" s="1588" t="str">
        <f>'预评函-1'!A7</f>
        <v>估价对象为北京市石景山区时代花园南路17号房地产，为北京北辰万通国际投资有限公司所有。根据《国有土地使用证》[]，估价对象（分摊）出让国有建设用地使用权面积为11364.7平方米，建筑面积为28872.97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石景山区时代花园南路17号房地产,为北京北辰万通国际投资有限公司开发建设的办公项目，该项目尚在开发建设中。根据《国有土地使用证》[]，估价对象（分摊）出让国有建设用地使用权面积为11364.7平方米，规划建筑面积为28872.97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为估价委托人在向华夏银行股份有限公司北京北沙滩支行办理贷款手续过程中，确定房地产抵押贷款额度提供参考依据而评估房地产抵押价值。</v>
      </c>
    </row>
    <row r="12" spans="1:2" s="1589" customFormat="1">
      <c r="A12" s="1587" t="s">
        <v>1222</v>
      </c>
      <c r="B12" s="1588" t="str">
        <f>'预评函-1'!A15</f>
        <v>2019年4月11日（评估专业人员实地查勘之日）</v>
      </c>
    </row>
    <row r="13" spans="1:2" s="1589" customFormat="1">
      <c r="A13" s="1587" t="s">
        <v>1223</v>
      </c>
      <c r="B13" s="1588" t="str">
        <f>'预评函-1'!A18</f>
        <v>本次估价的“房地产价值”是指在正常市场情况下，在价值时点2019年4月11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上水、通下水、通讯、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80085</v>
      </c>
    </row>
    <row r="21" spans="1:2" s="1589" customFormat="1">
      <c r="A21" s="1587" t="s">
        <v>1231</v>
      </c>
      <c r="B21" s="1588">
        <f ca="1">'预评函-2'!D7</f>
        <v>27737</v>
      </c>
    </row>
    <row r="22" spans="1:2" s="1589" customFormat="1">
      <c r="A22" s="1587" t="s">
        <v>1232</v>
      </c>
      <c r="B22" s="1588" t="str">
        <f ca="1">'预评函-2'!D6</f>
        <v>捌亿零捌拾伍万元整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t="str">
        <f>'预评函-2'!D10</f>
        <v>（未扣减，详见特别提示）</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80085</v>
      </c>
    </row>
    <row r="35" spans="1:2" s="1589" customFormat="1">
      <c r="A35" s="1587" t="s">
        <v>1271</v>
      </c>
      <c r="B35" s="1588">
        <f ca="1">'预评函-2'!D18</f>
        <v>27737</v>
      </c>
    </row>
    <row r="36" spans="1:2" s="1589" customFormat="1">
      <c r="A36" s="1587" t="s">
        <v>1238</v>
      </c>
      <c r="B36" s="1588" t="str">
        <f ca="1">'预评函-2'!D17</f>
        <v>捌亿零捌拾伍万元整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北京市石景山区时代花园南路17号房地产</v>
      </c>
    </row>
    <row r="42" spans="1:2" s="1589" customFormat="1">
      <c r="A42" s="1587" t="s">
        <v>1284</v>
      </c>
      <c r="B42" s="1588" t="str">
        <f>'预评函-3'!B2</f>
        <v>建筑面积</v>
      </c>
    </row>
    <row r="43" spans="1:2" s="1589" customFormat="1">
      <c r="A43" s="1587" t="s">
        <v>1285</v>
      </c>
      <c r="B43" s="1588">
        <f>'预评函-3'!B4</f>
        <v>28872.97</v>
      </c>
    </row>
    <row r="44" spans="1:2" s="1589" customFormat="1">
      <c r="A44" s="1587" t="s">
        <v>1269</v>
      </c>
      <c r="B44" s="1588" t="str">
        <f>'预评函-3'!C2</f>
        <v>(分摊)土地面积</v>
      </c>
    </row>
    <row r="45" spans="1:2" s="1589" customFormat="1">
      <c r="A45" s="1587" t="s">
        <v>1241</v>
      </c>
      <c r="B45" s="1588">
        <f>'预评函-3'!C4</f>
        <v>11364.7</v>
      </c>
    </row>
    <row r="46" spans="1:2" s="1589" customFormat="1">
      <c r="A46" s="1587" t="s">
        <v>1267</v>
      </c>
      <c r="B46" s="1588" t="str">
        <f>'预评函-3'!D2</f>
        <v>出让国有建设用地使用权价值</v>
      </c>
    </row>
    <row r="47" spans="1:2" s="1589" customFormat="1">
      <c r="A47" s="1587" t="s">
        <v>1242</v>
      </c>
      <c r="B47" s="1588">
        <f ca="1">'预评函-3'!D4</f>
        <v>65510</v>
      </c>
    </row>
    <row r="48" spans="1:2" s="1589" customFormat="1">
      <c r="A48" s="1587" t="s">
        <v>1243</v>
      </c>
      <c r="B48" s="1588">
        <f ca="1">'预评函-3'!E4</f>
        <v>22689</v>
      </c>
    </row>
    <row r="49" spans="1:2" s="1589" customFormat="1">
      <c r="A49" s="1587" t="s">
        <v>1244</v>
      </c>
      <c r="B49" s="1588" t="str">
        <f ca="1">'预评函-3'!D5</f>
        <v>陆亿伍仟伍佰壹拾万元整</v>
      </c>
    </row>
    <row r="50" spans="1:2" s="1589" customFormat="1">
      <c r="A50" s="1587" t="s">
        <v>1268</v>
      </c>
      <c r="B50" s="1588" t="str">
        <f>'预评函-3'!F2</f>
        <v>建筑物价值</v>
      </c>
    </row>
    <row r="51" spans="1:2" s="1589" customFormat="1">
      <c r="A51" s="1587" t="s">
        <v>1245</v>
      </c>
      <c r="B51" s="1588">
        <f ca="1">'预评函-3'!F4</f>
        <v>14575</v>
      </c>
    </row>
    <row r="52" spans="1:2" s="1589" customFormat="1">
      <c r="A52" s="1587" t="s">
        <v>1246</v>
      </c>
      <c r="B52" s="1588">
        <f ca="1">'预评函-3'!G4</f>
        <v>5048</v>
      </c>
    </row>
    <row r="53" spans="1:2" s="1589" customFormat="1">
      <c r="A53" s="1587" t="s">
        <v>1274</v>
      </c>
      <c r="B53" s="1588" t="str">
        <f ca="1">'预评函-3'!F5</f>
        <v>壹亿肆仟伍佰柒拾伍万元整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为估价委托人在向华夏银行股份有限公司北京北沙滩支行办理贷款手续过程中，确定房地产抵押贷款额度提供参考依据而评估房地产抵押价值。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房地产作为抵押担保物，向华夏银行股份有限公司北京北沙滩支行办理贷款手续。华夏银行股份有限公司北京北沙滩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81"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8" t="s">
        <v>861</v>
      </c>
      <c r="C54" s="2015" t="s">
        <v>1277</v>
      </c>
    </row>
    <row r="55" spans="1:4">
      <c r="A55" s="3081"/>
      <c r="B55" s="2018" t="s">
        <v>862</v>
      </c>
      <c r="C55" s="2015" t="s">
        <v>1278</v>
      </c>
    </row>
    <row r="56" spans="1:4">
      <c r="A56" s="3081"/>
      <c r="B56" s="2018" t="s">
        <v>863</v>
      </c>
      <c r="C56" s="2015" t="s">
        <v>1282</v>
      </c>
    </row>
    <row r="57" spans="1:4">
      <c r="A57" s="3081"/>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90" t="str">
        <f>IF(B10="北京市","北京市",C10)&amp;F10&amp;IF(结果表!G1="在建","出让国有建设用地使用权及在建建筑物",IF(结果表!G1="土地","出让国有建设用地使用权",))&amp;B9&amp;"预评估"</f>
        <v>北京市石景山区时代花园南路17号房地产抵押价值预评估</v>
      </c>
      <c r="C1" s="3091"/>
      <c r="D1" s="3091"/>
      <c r="E1" s="3091"/>
      <c r="F1" s="3091"/>
      <c r="G1" s="3091"/>
      <c r="H1" s="3091"/>
      <c r="I1" s="309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北京市石景山区时代花园南路17号房地产抵押价值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北京市石景山区时代花园南路17号房地产</v>
      </c>
    </row>
    <row r="3" spans="1:19" ht="18" customHeight="1">
      <c r="A3" s="2031" t="s">
        <v>1774</v>
      </c>
      <c r="B3" s="2032">
        <v>43566</v>
      </c>
      <c r="C3" s="2033" t="s">
        <v>1775</v>
      </c>
      <c r="D3" s="2032">
        <v>43566</v>
      </c>
      <c r="E3" s="2022"/>
      <c r="F3" s="2022"/>
      <c r="G3" s="2022"/>
      <c r="H3" s="2022"/>
      <c r="I3" s="2022"/>
      <c r="J3" s="2022"/>
      <c r="K3" s="2023"/>
      <c r="L3" s="2024"/>
      <c r="M3" s="2024"/>
      <c r="N3" s="2025"/>
      <c r="O3" s="2026"/>
      <c r="P3" s="2025"/>
      <c r="Q3" s="2025"/>
      <c r="R3" s="2025"/>
      <c r="S3" s="2027"/>
    </row>
    <row r="4" spans="1:19" ht="18" customHeight="1" thickBot="1">
      <c r="A4" s="2034" t="s">
        <v>1776</v>
      </c>
      <c r="B4" s="2035" t="s">
        <v>3043</v>
      </c>
      <c r="C4" s="1033">
        <f ca="1">SUMIF(注册房地产估价师,B4,估价师及机构信息!B3:B24)</f>
        <v>1120050019</v>
      </c>
      <c r="D4" s="2035" t="s">
        <v>3044</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1777</v>
      </c>
      <c r="B5" s="2987" t="s">
        <v>3141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88" t="s">
        <v>3142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988" t="s">
        <v>3141</v>
      </c>
      <c r="C7" s="2044"/>
      <c r="D7" s="2045"/>
      <c r="E7" s="2030"/>
      <c r="F7" s="2038"/>
      <c r="G7" s="2038"/>
      <c r="H7" s="2038"/>
      <c r="I7" s="2038"/>
      <c r="J7" s="2038"/>
      <c r="K7" s="2047"/>
      <c r="L7" s="2024"/>
      <c r="M7" s="2024"/>
      <c r="N7" s="2025"/>
      <c r="O7" s="2026"/>
      <c r="P7" s="2025"/>
      <c r="Q7" s="2025"/>
      <c r="R7" s="2025"/>
    </row>
    <row r="8" spans="1:19" ht="18" customHeight="1">
      <c r="A8" s="2043" t="s">
        <v>1780</v>
      </c>
      <c r="B8" s="2048" t="s">
        <v>3045</v>
      </c>
      <c r="C8" s="2049"/>
      <c r="D8" s="3093" t="s">
        <v>1781</v>
      </c>
      <c r="E8" s="2050" t="s">
        <v>3046</v>
      </c>
      <c r="F8" s="2051"/>
      <c r="G8" s="2022"/>
      <c r="H8" s="2022"/>
      <c r="I8" s="2022"/>
      <c r="J8" s="2038"/>
      <c r="K8" s="2039"/>
      <c r="L8" s="2024"/>
      <c r="M8" s="2024"/>
      <c r="N8" s="2025"/>
      <c r="O8" s="2026"/>
      <c r="P8" s="2025"/>
      <c r="Q8" s="2025"/>
      <c r="R8" s="2025"/>
    </row>
    <row r="9" spans="1:19" ht="18" customHeight="1" thickBot="1">
      <c r="A9" s="2036" t="s">
        <v>1782</v>
      </c>
      <c r="B9" s="2052" t="s">
        <v>3047</v>
      </c>
      <c r="C9" s="2053"/>
      <c r="D9" s="3094"/>
      <c r="E9" s="2052" t="s">
        <v>70</v>
      </c>
      <c r="F9" s="2054"/>
      <c r="G9" s="2055"/>
      <c r="H9" s="2055"/>
      <c r="I9" s="2055"/>
      <c r="J9" s="2038"/>
      <c r="K9" s="2047"/>
      <c r="L9" s="2024"/>
      <c r="M9" s="2024"/>
      <c r="N9" s="2025"/>
      <c r="O9" s="2026"/>
      <c r="P9" s="2025"/>
      <c r="Q9" s="2025"/>
      <c r="R9" s="2025"/>
    </row>
    <row r="10" spans="1:19" ht="18" customHeight="1" thickTop="1">
      <c r="A10" s="2056" t="s">
        <v>1783</v>
      </c>
      <c r="B10" s="2057" t="s">
        <v>3143</v>
      </c>
      <c r="C10" s="2058"/>
      <c r="D10" s="2042"/>
      <c r="E10" s="2059" t="s">
        <v>1784</v>
      </c>
      <c r="F10" s="2060" t="s">
        <v>3147</v>
      </c>
      <c r="G10" s="2061"/>
      <c r="H10" s="2062"/>
      <c r="I10" s="2042"/>
      <c r="J10" s="2038"/>
      <c r="K10" s="2047"/>
      <c r="L10" s="2024"/>
      <c r="M10" s="2024"/>
      <c r="N10" s="2025"/>
      <c r="O10" s="2026"/>
      <c r="P10" s="2025"/>
      <c r="Q10" s="2025"/>
      <c r="R10" s="2025"/>
    </row>
    <row r="11" spans="1:19" ht="18" customHeight="1">
      <c r="A11" s="2063" t="s">
        <v>1785</v>
      </c>
      <c r="B11" s="2064" t="s">
        <v>3144</v>
      </c>
      <c r="C11" s="2989" t="s">
        <v>3146</v>
      </c>
      <c r="D11" s="2065"/>
      <c r="E11" s="2038"/>
      <c r="F11" s="2038"/>
      <c r="G11" s="2038"/>
      <c r="H11" s="2038"/>
      <c r="I11" s="2038"/>
      <c r="J11" s="2038"/>
      <c r="K11" s="2047"/>
      <c r="L11" s="2024"/>
      <c r="M11" s="2024"/>
      <c r="N11" s="2025"/>
      <c r="O11" s="2026"/>
      <c r="P11" s="2025"/>
      <c r="Q11" s="2025"/>
      <c r="R11" s="2025"/>
    </row>
    <row r="12" spans="1:19" ht="18" customHeight="1">
      <c r="A12" s="2066" t="s">
        <v>1786</v>
      </c>
      <c r="B12" s="2064" t="s">
        <v>3145</v>
      </c>
      <c r="C12" s="2067" t="s">
        <v>1787</v>
      </c>
      <c r="D12" s="2068" t="s">
        <v>1788</v>
      </c>
      <c r="E12" s="2068" t="s">
        <v>1789</v>
      </c>
      <c r="F12" s="2068" t="s">
        <v>1790</v>
      </c>
      <c r="G12" s="2068" t="s">
        <v>1791</v>
      </c>
      <c r="H12" s="2068" t="s">
        <v>1792</v>
      </c>
      <c r="I12" s="2068" t="s">
        <v>1793</v>
      </c>
      <c r="J12" s="2038"/>
      <c r="K12" s="2047"/>
      <c r="L12" s="2024"/>
      <c r="M12" s="2024"/>
      <c r="N12" s="2025"/>
      <c r="O12" s="2026"/>
      <c r="P12" s="2025"/>
      <c r="Q12" s="2025"/>
      <c r="R12" s="2025"/>
    </row>
    <row r="13" spans="1:19" ht="18" customHeight="1">
      <c r="A13" s="2069"/>
      <c r="B13" s="2070"/>
      <c r="C13" s="2071" t="s">
        <v>1794</v>
      </c>
      <c r="D13" s="2072"/>
      <c r="E13" s="2072">
        <v>52938</v>
      </c>
      <c r="F13" s="2072">
        <v>56590</v>
      </c>
      <c r="G13" s="2072">
        <v>56590</v>
      </c>
      <c r="H13" s="2072"/>
      <c r="I13" s="1043"/>
      <c r="J13" s="2038"/>
      <c r="K13" s="2047"/>
      <c r="L13" s="2024"/>
      <c r="M13" s="2024"/>
      <c r="N13" s="2025"/>
      <c r="O13" s="2026"/>
      <c r="P13" s="2025"/>
      <c r="Q13" s="2025"/>
      <c r="R13" s="2025"/>
    </row>
    <row r="14" spans="1:19" ht="18" customHeight="1">
      <c r="A14" s="2069"/>
      <c r="B14" s="2070"/>
      <c r="C14" s="2071" t="s">
        <v>1795</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1796</v>
      </c>
      <c r="D15" s="1045" t="str">
        <f>IF(B12="出让",IF(D13="","",ROUNDDOWN(MIN((D13-$D$3)/365,D14),2)),D14)</f>
        <v/>
      </c>
      <c r="E15" s="1045">
        <f>IF(B12="出让",IF(E13="","",ROUNDDOWN(MIN((E13-$D$3)/365,E14),2)),E14)</f>
        <v>25.67</v>
      </c>
      <c r="F15" s="1045">
        <f>IF(B12="出让",IF(F13="","",ROUNDDOWN(MIN((F13-$D$3)/365,F14),2)),F14)</f>
        <v>35.68</v>
      </c>
      <c r="G15" s="1045">
        <f>IF(B12="出让",IF(G13="","",ROUNDDOWN(MIN((G13-$D$3)/365,G14),2)),G14)</f>
        <v>35.68</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1797</v>
      </c>
      <c r="B16" s="3100"/>
      <c r="C16" s="3101"/>
      <c r="D16" s="3102"/>
      <c r="E16" s="2078" t="s">
        <v>1798</v>
      </c>
      <c r="F16" s="3103"/>
      <c r="G16" s="3104"/>
      <c r="H16" s="3104"/>
      <c r="I16" s="3105"/>
      <c r="J16" s="2025"/>
      <c r="K16" s="2075"/>
      <c r="L16" s="2076"/>
      <c r="M16" s="2076"/>
      <c r="N16" s="2077"/>
      <c r="O16" s="2076"/>
      <c r="P16" s="2077"/>
      <c r="Q16" s="2025"/>
      <c r="R16" s="2025"/>
    </row>
    <row r="17" spans="1:22" ht="18" customHeight="1">
      <c r="A17" s="2079" t="s">
        <v>1799</v>
      </c>
      <c r="B17" s="2031" t="s">
        <v>1800</v>
      </c>
      <c r="C17" s="1050">
        <f>'数据-汇总表'!E3</f>
        <v>28872.97</v>
      </c>
      <c r="D17" s="2080" t="s">
        <v>1801</v>
      </c>
      <c r="E17" s="3106" t="s">
        <v>1802</v>
      </c>
      <c r="F17" s="3107"/>
      <c r="G17" s="3107"/>
      <c r="H17" s="3107"/>
      <c r="I17" s="3108"/>
      <c r="J17" s="2025"/>
      <c r="K17" s="2081"/>
      <c r="L17" s="2076"/>
      <c r="M17" s="2076"/>
      <c r="N17" s="2077"/>
      <c r="O17" s="2076"/>
      <c r="P17" s="2077"/>
      <c r="Q17" s="2025"/>
      <c r="R17" s="2025"/>
      <c r="S17" s="2025"/>
      <c r="T17" s="2025"/>
      <c r="U17" s="2025"/>
      <c r="V17" s="2025"/>
    </row>
    <row r="18" spans="1:22" ht="36" customHeight="1" thickBot="1">
      <c r="A18" s="2082" t="s">
        <v>1803</v>
      </c>
      <c r="B18" s="2034" t="s">
        <v>1804</v>
      </c>
      <c r="C18" s="1440">
        <f>'数据-汇总表'!D3</f>
        <v>11364.7</v>
      </c>
      <c r="D18" s="2083" t="s">
        <v>1801</v>
      </c>
      <c r="E18" s="3109" t="s">
        <v>1805</v>
      </c>
      <c r="F18" s="3110"/>
      <c r="G18" s="3110"/>
      <c r="H18" s="3110"/>
      <c r="I18" s="3111"/>
      <c r="J18" s="2025"/>
      <c r="K18" s="2081"/>
      <c r="L18" s="2076"/>
      <c r="M18" s="2076"/>
      <c r="N18" s="2077"/>
      <c r="O18" s="2076"/>
      <c r="P18" s="2077"/>
      <c r="Q18" s="2025"/>
      <c r="R18" s="2025"/>
      <c r="S18" s="2025"/>
      <c r="T18" s="2025"/>
      <c r="U18" s="2025"/>
      <c r="V18" s="2025"/>
    </row>
    <row r="19" spans="1:22" ht="37.5" customHeight="1" thickTop="1" thickBot="1">
      <c r="A19" s="371" t="s">
        <v>1806</v>
      </c>
      <c r="B19" s="350" t="s">
        <v>1807</v>
      </c>
      <c r="C19" s="2084" t="s">
        <v>3148</v>
      </c>
      <c r="D19" s="2085" t="s">
        <v>1808</v>
      </c>
      <c r="E19" s="2086" t="s">
        <v>3149</v>
      </c>
      <c r="F19" s="2087" t="str">
        <f>IF(AND(C19="是",E19="否"),"是否提供他项权证或相关说明","")</f>
        <v>是否提供他项权证或相关说明</v>
      </c>
      <c r="G19" s="2088"/>
      <c r="H19" s="2038"/>
      <c r="I19" s="2038"/>
      <c r="J19" s="2038"/>
      <c r="K19" s="2047"/>
      <c r="L19" s="2024"/>
      <c r="M19" s="2024"/>
      <c r="N19" s="2077"/>
      <c r="O19" s="2076"/>
      <c r="P19" s="2077"/>
      <c r="Q19" s="2025"/>
      <c r="R19" s="2025"/>
      <c r="S19" s="2025"/>
      <c r="T19" s="2025"/>
      <c r="U19" s="2025"/>
      <c r="V19" s="2025"/>
    </row>
    <row r="20" spans="1:22" ht="18" customHeight="1">
      <c r="A20" s="2089" t="s">
        <v>1809</v>
      </c>
      <c r="B20" s="3096" t="s">
        <v>1810</v>
      </c>
      <c r="C20" s="3097"/>
      <c r="D20" s="3098" t="s">
        <v>1811</v>
      </c>
      <c r="E20" s="3099"/>
      <c r="F20" s="2090" t="s">
        <v>1812</v>
      </c>
      <c r="G20" s="2038"/>
      <c r="H20" s="2038"/>
      <c r="I20" s="2038"/>
      <c r="J20" s="2038"/>
      <c r="K20" s="3095"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1814</v>
      </c>
      <c r="C21" s="2092" t="s">
        <v>1815</v>
      </c>
      <c r="D21" s="2093" t="s">
        <v>1816</v>
      </c>
      <c r="E21" s="2094" t="s">
        <v>1815</v>
      </c>
      <c r="F21" s="2095"/>
      <c r="G21" s="2038"/>
      <c r="H21" s="2038"/>
      <c r="I21" s="2038"/>
      <c r="J21" s="2038"/>
      <c r="K21" s="30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1817</v>
      </c>
      <c r="C22" s="2092" t="s">
        <v>1818</v>
      </c>
      <c r="D22" s="2022"/>
      <c r="E22" s="2022"/>
      <c r="F22" s="2097"/>
      <c r="G22" s="2038"/>
      <c r="H22" s="2038"/>
      <c r="I22" s="2038"/>
      <c r="J22" s="2038"/>
      <c r="K22" s="30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1819</v>
      </c>
      <c r="B23" s="181" t="s">
        <v>1820</v>
      </c>
      <c r="C23" s="2099"/>
      <c r="D23" s="2100" t="s">
        <v>1820</v>
      </c>
      <c r="E23" s="2101"/>
      <c r="F23" s="2097"/>
      <c r="G23" s="2038"/>
      <c r="H23" s="2038"/>
      <c r="I23" s="2038"/>
      <c r="J23" s="2038"/>
      <c r="K23" s="2102"/>
      <c r="L23" s="746"/>
      <c r="M23" s="2024"/>
      <c r="N23" s="2077"/>
      <c r="O23" s="2076"/>
      <c r="P23" s="2077"/>
      <c r="Q23" s="2025"/>
      <c r="R23" s="2025"/>
      <c r="S23" s="2025"/>
      <c r="T23" s="2025"/>
      <c r="U23" s="2025"/>
      <c r="V23" s="2025"/>
    </row>
    <row r="24" spans="1:22" ht="18" customHeight="1">
      <c r="A24" s="2103"/>
      <c r="B24" s="181" t="s">
        <v>1821</v>
      </c>
      <c r="C24" s="2104"/>
      <c r="D24" s="2098" t="s">
        <v>1821</v>
      </c>
      <c r="E24" s="2105"/>
      <c r="F24" s="2097"/>
      <c r="G24" s="2038"/>
      <c r="H24" s="2038"/>
      <c r="I24" s="2038"/>
      <c r="J24" s="2038"/>
      <c r="K24" s="2102"/>
      <c r="L24" s="746"/>
      <c r="M24" s="2024"/>
      <c r="N24" s="2077"/>
      <c r="O24" s="2076"/>
      <c r="P24" s="2077"/>
      <c r="Q24" s="2025"/>
      <c r="R24" s="2025"/>
      <c r="S24" s="2025"/>
      <c r="T24" s="2025"/>
      <c r="U24" s="2025"/>
      <c r="V24" s="2025"/>
    </row>
    <row r="25" spans="1:22" ht="18" customHeight="1">
      <c r="A25" s="2103"/>
      <c r="B25" s="181" t="s">
        <v>1822</v>
      </c>
      <c r="C25" s="2104"/>
      <c r="D25" s="2098" t="s">
        <v>1822</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1823</v>
      </c>
      <c r="C26" s="2108"/>
      <c r="D26" s="2109" t="s">
        <v>1824</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83" t="s">
        <v>1825</v>
      </c>
      <c r="B27" s="2056" t="s">
        <v>1826</v>
      </c>
      <c r="C27" s="2112" t="s">
        <v>3157</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83"/>
      <c r="B28" s="2031" t="s">
        <v>1827</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83"/>
      <c r="B29" s="2031" t="s">
        <v>1828</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84"/>
      <c r="B30" s="2031" t="s">
        <v>1829</v>
      </c>
      <c r="C30" s="3085"/>
      <c r="D30" s="3086"/>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7" t="s">
        <v>1830</v>
      </c>
      <c r="B31" s="2119" t="s">
        <v>3158</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88"/>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88"/>
      <c r="B33" s="2123"/>
      <c r="C33" s="2063"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1831</v>
      </c>
      <c r="B34" s="2126" t="s">
        <v>3150</v>
      </c>
      <c r="C34" s="2126" t="s">
        <v>3151</v>
      </c>
      <c r="D34" s="2126" t="s">
        <v>3152</v>
      </c>
      <c r="E34" s="2126" t="s">
        <v>3153</v>
      </c>
      <c r="F34" s="2126" t="s">
        <v>3154</v>
      </c>
      <c r="G34" s="2126" t="s">
        <v>3155</v>
      </c>
      <c r="H34" s="2126" t="s">
        <v>3156</v>
      </c>
      <c r="I34" s="2038"/>
      <c r="J34" s="2038"/>
      <c r="K34" s="1791">
        <f>COUNTIF(B34:H34,"——")</f>
        <v>0</v>
      </c>
      <c r="L34" s="2067" t="s">
        <v>1832</v>
      </c>
      <c r="M34" s="2067" t="s">
        <v>1833</v>
      </c>
      <c r="N34" s="2067" t="s">
        <v>1834</v>
      </c>
      <c r="O34" s="2067" t="s">
        <v>1835</v>
      </c>
      <c r="P34" s="2067" t="s">
        <v>1836</v>
      </c>
      <c r="Q34" s="2067" t="s">
        <v>1837</v>
      </c>
      <c r="R34" s="2067" t="s">
        <v>1838</v>
      </c>
      <c r="S34" s="3082" t="s">
        <v>1839</v>
      </c>
      <c r="T34" s="2127" t="str">
        <f>NUMBERSTRING(7-K34,1)&amp;"通"</f>
        <v>七通</v>
      </c>
      <c r="U34" s="2025"/>
      <c r="V34" s="2025"/>
    </row>
    <row r="35" spans="1:22" ht="18" customHeight="1">
      <c r="A35" s="2128"/>
      <c r="B35" s="3089" t="s">
        <v>1840</v>
      </c>
      <c r="C35" s="3089"/>
      <c r="D35" s="3089"/>
      <c r="E35" s="3089"/>
      <c r="F35" s="2129">
        <f>C10</f>
        <v>0</v>
      </c>
      <c r="G35" s="2038"/>
      <c r="H35" s="2038"/>
      <c r="I35" s="2038"/>
      <c r="J35" s="2038"/>
      <c r="K35" s="2067"/>
      <c r="L35" s="206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通路、通电、通上水、通下水、通讯、通热、燃气</v>
      </c>
      <c r="S35" s="3082"/>
      <c r="T35" s="48" t="str">
        <f>IF(T34="一通",L35,IF(T34="二通",M35,IF(T34="三通",N35,IF(T34="四通",O35,IF(T34="五通",P35,IF(T34="六通",Q35,R35))))))</f>
        <v>通路、通电、通上水、通下水、通讯、通热、燃气</v>
      </c>
      <c r="U35" s="2025"/>
      <c r="V35" s="2025"/>
    </row>
    <row r="36" spans="1:22" ht="18" customHeight="1">
      <c r="A36" s="2130"/>
      <c r="B36" s="2129" t="s">
        <v>1841</v>
      </c>
      <c r="C36" s="2129" t="s">
        <v>1842</v>
      </c>
      <c r="D36" s="2129" t="s">
        <v>1843</v>
      </c>
      <c r="E36" s="2129" t="s">
        <v>1844</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1845</v>
      </c>
      <c r="B37" s="2133" t="s">
        <v>56</v>
      </c>
      <c r="C37" s="2133" t="s">
        <v>56</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1846</v>
      </c>
      <c r="B38" s="2135" t="s">
        <v>263</v>
      </c>
      <c r="C38" s="2135" t="s">
        <v>263</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4"/>
      <c r="L40" s="2076"/>
      <c r="M40" s="2076"/>
      <c r="N40" s="2077"/>
      <c r="O40" s="2076"/>
      <c r="P40" s="2025"/>
      <c r="Q40" s="2025"/>
      <c r="R40" s="2025"/>
      <c r="S40" s="2025"/>
      <c r="T40" s="2025"/>
      <c r="U40" s="2025"/>
      <c r="V40" s="2025"/>
    </row>
    <row r="41" spans="1:22" ht="18" customHeight="1">
      <c r="A41" s="8" t="s">
        <v>1848</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1849</v>
      </c>
      <c r="B42" s="1791" t="s">
        <v>1850</v>
      </c>
      <c r="C42" s="1791" t="s">
        <v>1851</v>
      </c>
      <c r="D42" s="1791" t="s">
        <v>1852</v>
      </c>
      <c r="E42" s="1791" t="s">
        <v>1853</v>
      </c>
      <c r="F42" s="1791" t="s">
        <v>1854</v>
      </c>
      <c r="G42" s="1791" t="s">
        <v>1855</v>
      </c>
      <c r="H42" s="1791" t="s">
        <v>1856</v>
      </c>
      <c r="I42" s="1791" t="s">
        <v>1857</v>
      </c>
      <c r="J42" s="2145" t="s">
        <v>1858</v>
      </c>
      <c r="K42" s="2068" t="s">
        <v>1859</v>
      </c>
      <c r="L42" s="2068" t="s">
        <v>1860</v>
      </c>
      <c r="M42" s="2068" t="s">
        <v>1861</v>
      </c>
      <c r="N42" s="1791" t="s">
        <v>1862</v>
      </c>
      <c r="O42" s="1791" t="s">
        <v>1863</v>
      </c>
      <c r="P42" s="1791" t="s">
        <v>1864</v>
      </c>
      <c r="Q42" s="2067" t="s">
        <v>1865</v>
      </c>
      <c r="R42" s="2067" t="s">
        <v>1866</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P31" sqref="P31"/>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1872</v>
      </c>
      <c r="AZ2" s="1266"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11364.7</v>
      </c>
      <c r="B3" s="14">
        <f>IF(C3="否",G5-AT5,G5)</f>
        <v>28872.97</v>
      </c>
      <c r="C3" s="2161" t="s">
        <v>1875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799"/>
      <c r="C5" s="1799"/>
      <c r="D5" s="1802"/>
      <c r="E5" s="16" t="s">
        <v>1</v>
      </c>
      <c r="F5" s="16">
        <f>SUM(F13:F587)</f>
        <v>0</v>
      </c>
      <c r="G5" s="16">
        <f>SUM(G13:G587)</f>
        <v>28872.97</v>
      </c>
      <c r="H5" s="16">
        <f t="shared" ref="H5:AT5" si="0">SUM(H13:H656)</f>
        <v>28872.97</v>
      </c>
      <c r="I5" s="16">
        <f t="shared" si="0"/>
        <v>4292.6099999999997</v>
      </c>
      <c r="J5" s="16">
        <f t="shared" si="0"/>
        <v>0</v>
      </c>
      <c r="K5" s="16">
        <f t="shared" si="0"/>
        <v>17274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1876</v>
      </c>
      <c r="AW5" s="1799"/>
      <c r="AX5" s="1799"/>
      <c r="AY5" s="17" t="s">
        <v>3</v>
      </c>
      <c r="AZ5" s="18">
        <f t="shared" ref="AZ5:BT5" si="1">SUM(AZ13:AZ656)</f>
        <v>28872.97</v>
      </c>
      <c r="BA5" s="18">
        <f t="shared" si="1"/>
        <v>28872.97</v>
      </c>
      <c r="BB5" s="18">
        <f t="shared" si="1"/>
        <v>4292.6099999999997</v>
      </c>
      <c r="BC5" s="18">
        <f t="shared" si="1"/>
        <v>17274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1885</v>
      </c>
      <c r="AV7" s="23" t="s">
        <v>1886</v>
      </c>
      <c r="AW7" s="2159" t="s">
        <v>1887</v>
      </c>
      <c r="AX7" s="23" t="s">
        <v>1880</v>
      </c>
      <c r="AY7" s="1799"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4"/>
      <c r="K8" s="1814"/>
      <c r="L8" s="1814"/>
      <c r="M8" s="1814"/>
      <c r="N8" s="1814"/>
      <c r="O8" s="1814"/>
      <c r="P8" s="1814"/>
      <c r="Q8" s="1814"/>
      <c r="R8" s="1814"/>
      <c r="S8" s="1814"/>
      <c r="T8" s="1814"/>
      <c r="U8" s="1814"/>
      <c r="V8" s="2179"/>
      <c r="W8" s="1814"/>
      <c r="X8" s="1814"/>
      <c r="Y8" s="1814"/>
      <c r="Z8" s="1814"/>
      <c r="AA8" s="2179"/>
      <c r="AB8" s="2180"/>
      <c r="AC8" s="977" t="s">
        <v>1891</v>
      </c>
      <c r="AD8" s="2181"/>
      <c r="AE8" s="2173"/>
      <c r="AF8" s="1814"/>
      <c r="AG8" s="1814"/>
      <c r="AH8" s="1814"/>
      <c r="AI8" s="1814"/>
      <c r="AJ8" s="1814"/>
      <c r="AK8" s="1814"/>
      <c r="AL8" s="1814"/>
      <c r="AM8" s="1814"/>
      <c r="AN8" s="1814"/>
      <c r="AO8" s="1814"/>
      <c r="AP8" s="1814"/>
      <c r="AQ8" s="1814"/>
      <c r="AR8" s="1814"/>
      <c r="AS8" s="1814"/>
      <c r="AT8" s="1288" t="s">
        <v>1892</v>
      </c>
      <c r="AU8" s="2175" t="s">
        <v>1893</v>
      </c>
      <c r="AV8" s="1288"/>
      <c r="AW8" s="2158"/>
      <c r="AX8" s="1288"/>
      <c r="AY8" s="2159" t="s">
        <v>1894</v>
      </c>
      <c r="AZ8" s="1813" t="s">
        <v>1895</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1896</v>
      </c>
      <c r="I9" s="2184" t="s">
        <v>3160</v>
      </c>
      <c r="J9" s="977"/>
      <c r="K9" s="2184" t="s">
        <v>3160</v>
      </c>
      <c r="L9" s="977"/>
      <c r="M9" s="2184" t="s">
        <v>3163</v>
      </c>
      <c r="N9" s="977"/>
      <c r="O9" s="2184" t="s">
        <v>3163</v>
      </c>
      <c r="P9" s="977"/>
      <c r="Q9" s="2184"/>
      <c r="R9" s="977"/>
      <c r="S9" s="2184"/>
      <c r="T9" s="977"/>
      <c r="U9" s="2184"/>
      <c r="V9" s="977"/>
      <c r="W9" s="2184"/>
      <c r="X9" s="2185"/>
      <c r="Y9" s="2184"/>
      <c r="Z9" s="977"/>
      <c r="AA9" s="2184"/>
      <c r="AB9" s="977"/>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4"/>
      <c r="BN9" s="2178"/>
      <c r="BO9" s="1814"/>
      <c r="BP9" s="1814"/>
      <c r="BQ9" s="1814"/>
      <c r="BR9" s="1814"/>
      <c r="BS9" s="1814"/>
      <c r="BT9" s="26"/>
    </row>
    <row r="10" spans="1:72" s="2182" customFormat="1" ht="12.75">
      <c r="A10" s="2175"/>
      <c r="B10" s="2175"/>
      <c r="C10" s="2175"/>
      <c r="D10" s="2175"/>
      <c r="E10" s="2175"/>
      <c r="F10" s="2175"/>
      <c r="G10" s="1288"/>
      <c r="H10" s="28"/>
      <c r="I10" s="2184" t="s">
        <v>1373</v>
      </c>
      <c r="J10" s="977"/>
      <c r="K10" s="2190" t="s">
        <v>27</v>
      </c>
      <c r="L10" s="977"/>
      <c r="M10" s="2190" t="s">
        <v>1373</v>
      </c>
      <c r="N10" s="977"/>
      <c r="O10" s="2190" t="s">
        <v>3164</v>
      </c>
      <c r="P10" s="977"/>
      <c r="Q10" s="2190"/>
      <c r="R10" s="977"/>
      <c r="S10" s="2190"/>
      <c r="T10" s="977"/>
      <c r="U10" s="2190"/>
      <c r="V10" s="977"/>
      <c r="W10" s="2190"/>
      <c r="X10" s="977"/>
      <c r="Y10" s="2190"/>
      <c r="Z10" s="977"/>
      <c r="AA10" s="2190"/>
      <c r="AB10" s="977"/>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3161</v>
      </c>
      <c r="J11" s="2196"/>
      <c r="K11" s="2195" t="s">
        <v>3162</v>
      </c>
      <c r="L11" s="2196"/>
      <c r="M11" s="2195" t="s">
        <v>3161</v>
      </c>
      <c r="N11" s="2196"/>
      <c r="O11" s="2195" t="s">
        <v>3165</v>
      </c>
      <c r="P11" s="2196"/>
      <c r="Q11" s="2195"/>
      <c r="R11" s="2196"/>
      <c r="S11" s="2195"/>
      <c r="T11" s="2196"/>
      <c r="U11" s="2195"/>
      <c r="V11" s="2196"/>
      <c r="W11" s="2195"/>
      <c r="X11" s="2196"/>
      <c r="Y11" s="2195"/>
      <c r="Z11" s="2196"/>
      <c r="AA11" s="2195"/>
      <c r="AB11" s="2196"/>
      <c r="AC11" s="1288"/>
      <c r="AD11" s="2197" t="s">
        <v>1906</v>
      </c>
      <c r="AE11" s="1815"/>
      <c r="AF11" s="2197" t="s">
        <v>1906</v>
      </c>
      <c r="AG11" s="1815"/>
      <c r="AH11" s="2197" t="s">
        <v>1907</v>
      </c>
      <c r="AI11" s="2198"/>
      <c r="AJ11" s="2197" t="s">
        <v>1907</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t="str">
        <f>K10</f>
        <v>办公</v>
      </c>
      <c r="BD11" s="2180" t="str">
        <f>M10</f>
        <v>商业</v>
      </c>
      <c r="BE11" s="2180" t="str">
        <f>O10</f>
        <v>车库—办公</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8" t="s">
        <v>1909</v>
      </c>
      <c r="W12" s="11" t="s">
        <v>1908</v>
      </c>
      <c r="X12" s="11" t="s">
        <v>1909</v>
      </c>
      <c r="Y12" s="11" t="s">
        <v>1908</v>
      </c>
      <c r="Z12" s="11" t="s">
        <v>1909</v>
      </c>
      <c r="AA12" s="11" t="s">
        <v>1908</v>
      </c>
      <c r="AB12" s="11" t="s">
        <v>1909</v>
      </c>
      <c r="AC12" s="2202"/>
      <c r="AD12" s="1802"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办公楼</v>
      </c>
      <c r="BD12" s="2205" t="str">
        <f>M11</f>
        <v>底商</v>
      </c>
      <c r="BE12" s="2180" t="str">
        <f>O11</f>
        <v>车库</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1373</v>
      </c>
      <c r="D13" s="2206" t="s">
        <v>3148</v>
      </c>
      <c r="E13" s="16">
        <f>IF($C$3="是",ROUND($A$3*G13/$B$3,2),ROUND($A$3*(G13-AT13)/$B$3,2))</f>
        <v>2680.6</v>
      </c>
      <c r="F13" s="32"/>
      <c r="G13" s="33">
        <f>H13+AC13+AT13</f>
        <v>6810.2999999999993</v>
      </c>
      <c r="H13" s="20">
        <f>SUMIF(I$12:AB$12,"总值",I13:AB13)</f>
        <v>6810.2999999999993</v>
      </c>
      <c r="I13" s="2207">
        <v>4292.6099999999997</v>
      </c>
      <c r="J13" s="2207"/>
      <c r="K13" s="2207"/>
      <c r="L13" s="2207"/>
      <c r="M13" s="2207">
        <v>2517.69</v>
      </c>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2">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146" t="s">
        <v>3159</v>
      </c>
      <c r="D14" s="2206" t="s">
        <v>3148</v>
      </c>
      <c r="E14" s="16">
        <f>IF($C$3="是",ROUND($A$3*G14/$B$3,2),ROUND($A$3*(G14-AT14)/$B$3,2))</f>
        <v>6799.23</v>
      </c>
      <c r="F14" s="32"/>
      <c r="G14" s="33">
        <f>H14+AC14+AT14</f>
        <v>17274</v>
      </c>
      <c r="H14" s="20">
        <f>SUMIF(I$12:AB$12,"总值",I14:AB14)</f>
        <v>17274</v>
      </c>
      <c r="I14" s="2207"/>
      <c r="J14" s="2207"/>
      <c r="K14" s="2207">
        <v>17274</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地上办公</v>
      </c>
      <c r="AY14" s="1802">
        <f>ROUND($AY$6*AZ14/$AZ$5,2)</f>
        <v>6799.23</v>
      </c>
      <c r="AZ14" s="16">
        <f>BA14+BL14</f>
        <v>17274</v>
      </c>
      <c r="BA14" s="16">
        <f>SUM(BB14:BK14)</f>
        <v>17274</v>
      </c>
      <c r="BB14" s="16">
        <f>IF($D14="是",I14-J14,0)</f>
        <v>0</v>
      </c>
      <c r="BC14" s="16">
        <f>IF($D14="是",K14-L14,0)</f>
        <v>17274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48</v>
      </c>
      <c r="D15" s="2206" t="s">
        <v>3148</v>
      </c>
      <c r="E15" s="16">
        <f>IF($C$3="是",ROUND($A$3*G15/$B$3,2),ROUND($A$3*(G15-AT15)/$B$3,2))</f>
        <v>1884.87</v>
      </c>
      <c r="F15" s="32"/>
      <c r="G15" s="33">
        <f>H15+AC15+AT15</f>
        <v>4788.67</v>
      </c>
      <c r="H15" s="20">
        <f>SUMIF(I$12:AB$12,"总值",I15:AB15)</f>
        <v>4788.67</v>
      </c>
      <c r="I15" s="2207"/>
      <c r="J15" s="2207"/>
      <c r="K15" s="2207"/>
      <c r="L15" s="2207"/>
      <c r="M15" s="2207"/>
      <c r="N15" s="2207"/>
      <c r="O15" s="2207">
        <v>4788.67</v>
      </c>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地下车库</v>
      </c>
      <c r="AY15" s="1802">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3" sqref="C4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88"/>
      <c r="C1" s="1388"/>
      <c r="D1" s="1388"/>
      <c r="E1" s="1388"/>
      <c r="F1" s="1388"/>
      <c r="G1" s="1388"/>
      <c r="H1" s="1388"/>
      <c r="I1" s="1388"/>
      <c r="J1" s="1388"/>
      <c r="K1" s="1388"/>
      <c r="L1" s="1388"/>
      <c r="M1" s="1388"/>
      <c r="N1" s="1388"/>
      <c r="O1" s="1388"/>
      <c r="P1" s="1388"/>
    </row>
    <row r="2" spans="1:16" ht="15">
      <c r="A2" s="3123" t="s">
        <v>1936</v>
      </c>
      <c r="B2" s="3123"/>
      <c r="C2" s="3123"/>
      <c r="D2" s="963" t="s">
        <v>1912</v>
      </c>
      <c r="E2" s="2220" t="s">
        <v>1913</v>
      </c>
      <c r="F2" s="1388"/>
      <c r="G2" s="2221"/>
      <c r="H2" s="2222"/>
      <c r="I2" s="2223" t="s">
        <v>1937</v>
      </c>
      <c r="J2" s="1388"/>
      <c r="K2" s="1388"/>
      <c r="L2" s="1388"/>
      <c r="M2" s="1388"/>
      <c r="N2" s="1423"/>
      <c r="O2" s="1388"/>
      <c r="P2" s="1388"/>
    </row>
    <row r="3" spans="1:16" ht="15.75" thickBot="1">
      <c r="A3" s="3124" t="s">
        <v>1910</v>
      </c>
      <c r="B3" s="3124"/>
      <c r="C3" s="3124"/>
      <c r="D3" s="46">
        <f>'数据-基础表'!AY6</f>
        <v>11364.7</v>
      </c>
      <c r="E3" s="46">
        <f>'数据-基础表'!AZ5</f>
        <v>28872.97</v>
      </c>
      <c r="F3" s="1388"/>
      <c r="G3" s="1395"/>
      <c r="H3" s="1243" t="s">
        <v>1911</v>
      </c>
      <c r="I3" s="55">
        <f>ROUND('数据-基础表'!B3/'数据-基础表'!A3,2)</f>
        <v>2.54</v>
      </c>
      <c r="J3" s="1388"/>
      <c r="K3" s="1388"/>
      <c r="L3" s="1388"/>
      <c r="M3" s="1388"/>
      <c r="N3" s="1423"/>
      <c r="O3" s="1388"/>
      <c r="P3" s="1388"/>
    </row>
    <row r="4" spans="1:16" ht="15">
      <c r="A4" s="3125"/>
      <c r="B4" s="3126"/>
      <c r="C4" s="3127"/>
      <c r="D4" s="2224" t="s">
        <v>1912</v>
      </c>
      <c r="E4" s="2225" t="s">
        <v>1913</v>
      </c>
      <c r="F4" s="1388"/>
      <c r="G4" s="2226" t="s">
        <v>1938</v>
      </c>
      <c r="H4" s="1243" t="s">
        <v>1918</v>
      </c>
      <c r="I4" s="55">
        <f>ROUND(SUMIF('数据-基础表'!I9:AS9,"地上",'数据-基础表'!I5:AS5)/'数据-基础表'!A3,2)</f>
        <v>1.9</v>
      </c>
      <c r="J4" s="1388"/>
      <c r="K4" s="1388"/>
      <c r="L4" s="1388"/>
      <c r="M4" s="1388"/>
      <c r="N4" s="1423"/>
      <c r="O4" s="1388"/>
      <c r="P4" s="1388"/>
    </row>
    <row r="5" spans="1:16">
      <c r="A5" s="47" t="s">
        <v>1914</v>
      </c>
      <c r="B5" s="3128" t="s">
        <v>1915</v>
      </c>
      <c r="C5" s="3128"/>
      <c r="D5" s="48">
        <f>ROUND($D$3*E5/$E$3,2)</f>
        <v>0</v>
      </c>
      <c r="E5" s="49">
        <f>SUMIF('数据-基础表'!$11:$11,"住宅",'数据-基础表'!$5:$5)</f>
        <v>0</v>
      </c>
      <c r="F5" s="1388"/>
      <c r="G5" s="1395"/>
      <c r="H5" s="1243" t="s">
        <v>1911</v>
      </c>
      <c r="I5" s="55">
        <f>ROUND(E31/D31,2)</f>
        <v>2.54</v>
      </c>
      <c r="J5" s="1388"/>
      <c r="K5" s="1388"/>
      <c r="L5" s="1388"/>
      <c r="M5" s="1388"/>
      <c r="N5" s="1388"/>
      <c r="O5" s="1388"/>
      <c r="P5" s="1388"/>
    </row>
    <row r="6" spans="1:16" ht="15" thickBot="1">
      <c r="A6" s="2227"/>
      <c r="B6" s="3128" t="s">
        <v>1916</v>
      </c>
      <c r="C6" s="3128"/>
      <c r="D6" s="48">
        <f>ROUND($D$3*E6/$E$3,2)</f>
        <v>11364.7</v>
      </c>
      <c r="E6" s="49">
        <f>E3-E5</f>
        <v>28872.97</v>
      </c>
      <c r="F6" s="1388"/>
      <c r="G6" s="2228" t="s">
        <v>1917</v>
      </c>
      <c r="H6" s="1395" t="s">
        <v>1918</v>
      </c>
      <c r="I6" s="935">
        <f>ROUND(F31/D31,2)</f>
        <v>1.9</v>
      </c>
      <c r="J6" s="1388"/>
      <c r="K6" s="1388"/>
      <c r="L6" s="1388"/>
      <c r="M6" s="1388"/>
      <c r="N6" s="1388"/>
      <c r="O6" s="1388"/>
      <c r="P6" s="1388"/>
    </row>
    <row r="7" spans="1:16" ht="15">
      <c r="A7" s="3120"/>
      <c r="B7" s="3121"/>
      <c r="C7" s="3122"/>
      <c r="D7" s="2224" t="s">
        <v>1912</v>
      </c>
      <c r="E7" s="2229" t="s">
        <v>1919</v>
      </c>
      <c r="F7" s="1388"/>
      <c r="G7" s="2221" t="s">
        <v>1920</v>
      </c>
      <c r="H7" s="64"/>
      <c r="I7" s="418"/>
      <c r="J7" s="1388"/>
      <c r="K7" s="1388"/>
      <c r="L7" s="1388"/>
      <c r="M7" s="1388"/>
      <c r="N7" s="1388"/>
      <c r="O7" s="1388"/>
      <c r="P7" s="1388"/>
    </row>
    <row r="8" spans="1:16">
      <c r="A8" s="47" t="s">
        <v>1921</v>
      </c>
      <c r="B8" s="50" t="s">
        <v>1922</v>
      </c>
      <c r="C8" s="48" t="s">
        <v>1923</v>
      </c>
      <c r="D8" s="48">
        <f t="shared" ref="D8:D15" si="0">ROUND($D$3*E8/$E$3,2)</f>
        <v>8488.84</v>
      </c>
      <c r="E8" s="51">
        <f>SUMIF('数据-基础表'!BB10:BK10,"地上",'数据-基础表'!BB5:BK5)</f>
        <v>21566.61</v>
      </c>
      <c r="F8" s="1388"/>
      <c r="G8" s="2230"/>
      <c r="H8" s="2230"/>
      <c r="I8" s="1388"/>
      <c r="J8" s="1388"/>
      <c r="K8" s="1388"/>
      <c r="L8" s="1388"/>
      <c r="M8" s="1388"/>
      <c r="N8" s="1388"/>
      <c r="O8" s="1388"/>
      <c r="P8" s="1388"/>
    </row>
    <row r="9" spans="1:16">
      <c r="A9" s="2231"/>
      <c r="B9" s="2232"/>
      <c r="C9" s="48" t="s">
        <v>1924</v>
      </c>
      <c r="D9" s="48">
        <f t="shared" si="0"/>
        <v>0</v>
      </c>
      <c r="E9" s="52">
        <v>0</v>
      </c>
      <c r="F9" s="1388"/>
      <c r="G9" s="2230"/>
      <c r="H9" s="2230"/>
      <c r="I9" s="1388"/>
      <c r="J9" s="1388"/>
      <c r="K9" s="1388"/>
      <c r="L9" s="1388"/>
      <c r="M9" s="1388"/>
      <c r="N9" s="1388"/>
      <c r="O9" s="1388"/>
      <c r="P9" s="1388"/>
    </row>
    <row r="10" spans="1:16">
      <c r="A10" s="2231"/>
      <c r="B10" s="2232"/>
      <c r="C10" s="48" t="s">
        <v>1933</v>
      </c>
      <c r="D10" s="48">
        <f t="shared" si="0"/>
        <v>990.99</v>
      </c>
      <c r="E10" s="51">
        <f>SUMPRODUCT(('数据-基础表'!BB10:BK10="地下")*('数据-基础表'!BB11:BK11="商业")*('数据-基础表'!BB5:BK5))</f>
        <v>2517.69</v>
      </c>
      <c r="F10" s="1388"/>
      <c r="G10" s="2230"/>
      <c r="H10" s="2230"/>
      <c r="I10" s="1388"/>
      <c r="J10" s="1388"/>
      <c r="K10" s="1388"/>
      <c r="L10" s="1388"/>
      <c r="M10" s="1388"/>
      <c r="N10" s="1388"/>
      <c r="O10" s="1388"/>
      <c r="P10" s="1388"/>
    </row>
    <row r="11" spans="1:16">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1926</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1927</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1884.87</v>
      </c>
      <c r="E15" s="51">
        <f>SUMPRODUCT(('数据-基础表'!BB10:BK10="地下")*('数据-基础表'!BB11:BK11="车库—办公")*('数据-基础表'!BB5:BK5))</f>
        <v>4788.67</v>
      </c>
      <c r="F15" s="1388"/>
      <c r="G15" s="2230"/>
      <c r="H15" s="2230"/>
      <c r="I15" s="1388"/>
      <c r="J15" s="1388"/>
      <c r="K15" s="1388"/>
      <c r="L15" s="1388"/>
      <c r="M15" s="1388"/>
      <c r="N15" s="1388"/>
      <c r="O15" s="1388"/>
      <c r="P15" s="1388"/>
    </row>
    <row r="16" spans="1:16" ht="15.75" thickBot="1">
      <c r="A16" s="2227"/>
      <c r="B16" s="2232"/>
      <c r="C16" s="50" t="s">
        <v>1928</v>
      </c>
      <c r="D16" s="50">
        <f>SUM(D8:D15)</f>
        <v>11364.7</v>
      </c>
      <c r="E16" s="53">
        <f>SUM(E8:E15)</f>
        <v>28872.97</v>
      </c>
      <c r="F16" s="1388"/>
      <c r="G16" s="2230"/>
      <c r="H16" s="2233" t="s">
        <v>1940</v>
      </c>
      <c r="I16" s="2234"/>
      <c r="J16" s="1388"/>
      <c r="K16" s="3117" t="s">
        <v>1940</v>
      </c>
      <c r="L16" s="3118"/>
      <c r="M16" s="3118"/>
      <c r="N16" s="3118"/>
      <c r="O16" s="3118"/>
      <c r="P16" s="3119"/>
    </row>
    <row r="17" spans="1:19" ht="15">
      <c r="A17" s="2235" t="s">
        <v>1941</v>
      </c>
      <c r="B17" s="2236" t="s">
        <v>1942</v>
      </c>
      <c r="C17" s="2237" t="s">
        <v>1943</v>
      </c>
      <c r="D17" s="2238" t="s">
        <v>1931</v>
      </c>
      <c r="E17" s="2239" t="s">
        <v>1932</v>
      </c>
      <c r="F17" s="2240"/>
      <c r="G17" s="2241"/>
      <c r="H17" s="2242" t="s">
        <v>1944</v>
      </c>
      <c r="I17" s="2243" t="s">
        <v>1929</v>
      </c>
      <c r="J17" s="1388"/>
      <c r="K17" s="3114" t="s">
        <v>1945</v>
      </c>
      <c r="L17" s="3115"/>
      <c r="M17" s="3116"/>
      <c r="N17" s="3114" t="s">
        <v>1946</v>
      </c>
      <c r="O17" s="3115"/>
      <c r="P17" s="3116"/>
      <c r="R17" s="2221" t="s">
        <v>1947</v>
      </c>
      <c r="S17" s="64"/>
    </row>
    <row r="18" spans="1:19" ht="15">
      <c r="A18" s="2231"/>
      <c r="B18" s="2244"/>
      <c r="C18" s="2245"/>
      <c r="D18" s="2246"/>
      <c r="E18" s="2247" t="s">
        <v>1948</v>
      </c>
      <c r="F18" s="2248" t="s">
        <v>1949</v>
      </c>
      <c r="G18" s="2249" t="s">
        <v>1950</v>
      </c>
      <c r="H18" s="1258" t="s">
        <v>1951</v>
      </c>
      <c r="I18" s="2250" t="s">
        <v>1952</v>
      </c>
      <c r="J18" s="1388"/>
      <c r="K18" s="1258" t="s">
        <v>1953</v>
      </c>
      <c r="L18" s="2251" t="s">
        <v>1954</v>
      </c>
      <c r="M18" s="1042" t="s">
        <v>1955</v>
      </c>
      <c r="N18" s="1258" t="s">
        <v>1953</v>
      </c>
      <c r="O18" s="2251" t="s">
        <v>1954</v>
      </c>
      <c r="P18" s="1042" t="s">
        <v>1955</v>
      </c>
      <c r="R18" s="1243" t="s">
        <v>1956</v>
      </c>
      <c r="S18" s="1243" t="s">
        <v>1957</v>
      </c>
    </row>
    <row r="19" spans="1:19">
      <c r="A19" s="2252"/>
      <c r="B19" s="50" t="s">
        <v>1930</v>
      </c>
      <c r="C19" s="2253" t="str">
        <f>'数据-基础表'!C13</f>
        <v>商业</v>
      </c>
      <c r="D19" s="48">
        <f>ROUND($D$3*E19/$E$3,2)</f>
        <v>2680.6</v>
      </c>
      <c r="E19" s="56">
        <f t="shared" ref="E19:E26" si="1">SUM(F19:G19)</f>
        <v>6810.2999999999993</v>
      </c>
      <c r="F19" s="57">
        <f>'数据-基础表'!I13</f>
        <v>4292.6099999999997</v>
      </c>
      <c r="G19" s="58">
        <f>'数据-基础表'!M13</f>
        <v>2517.69</v>
      </c>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2680.6</v>
      </c>
      <c r="S19" s="1244">
        <f t="shared" si="5"/>
        <v>6810.2999999999993</v>
      </c>
    </row>
    <row r="20" spans="1:19">
      <c r="A20" s="2256"/>
      <c r="B20" s="50" t="s">
        <v>1958</v>
      </c>
      <c r="C20" s="2253" t="str">
        <f>'数据-基础表'!C14</f>
        <v>地上办公</v>
      </c>
      <c r="D20" s="48">
        <f t="shared" ref="D20:D26" si="6">ROUND($D$3*E20/$E$3,2)</f>
        <v>6799.23</v>
      </c>
      <c r="E20" s="56">
        <f t="shared" si="1"/>
        <v>17274</v>
      </c>
      <c r="F20" s="57">
        <f>'数据-基础表'!K14</f>
        <v>17274</v>
      </c>
      <c r="G20" s="58"/>
      <c r="H20" s="721">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6799.23</v>
      </c>
      <c r="S20" s="1244">
        <f t="shared" si="5"/>
        <v>17274</v>
      </c>
    </row>
    <row r="21" spans="1:19">
      <c r="A21" s="2256"/>
      <c r="B21" s="50" t="s">
        <v>1958</v>
      </c>
      <c r="C21" s="2253" t="str">
        <f>'数据-基础表'!C15</f>
        <v>地下车库</v>
      </c>
      <c r="D21" s="48">
        <f t="shared" si="6"/>
        <v>1884.87</v>
      </c>
      <c r="E21" s="56">
        <f t="shared" si="1"/>
        <v>4788.67</v>
      </c>
      <c r="F21" s="57"/>
      <c r="G21" s="58">
        <f>'数据-基础表'!O15</f>
        <v>4788.67</v>
      </c>
      <c r="H21" s="721">
        <f t="shared" si="7"/>
        <v>0</v>
      </c>
      <c r="I21" s="51">
        <f t="shared" si="2"/>
        <v>0</v>
      </c>
      <c r="J21" s="1388"/>
      <c r="K21" s="1387">
        <f t="shared" si="3"/>
        <v>0</v>
      </c>
      <c r="L21" s="1243">
        <f t="shared" si="4"/>
        <v>0</v>
      </c>
      <c r="M21" s="1399">
        <f t="shared" si="8"/>
        <v>0</v>
      </c>
      <c r="N21" s="2254"/>
      <c r="O21" s="2255"/>
      <c r="P21" s="1399">
        <f t="shared" si="9"/>
        <v>0</v>
      </c>
      <c r="R21" s="1243">
        <f t="shared" si="5"/>
        <v>1884.87</v>
      </c>
      <c r="S21" s="1244">
        <f t="shared" si="5"/>
        <v>4788.67</v>
      </c>
    </row>
    <row r="22" spans="1:19">
      <c r="A22" s="2256"/>
      <c r="B22" s="50" t="s">
        <v>1958</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1958</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1958</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1959</v>
      </c>
      <c r="D27" s="1389">
        <f>SUM(D19:D26)</f>
        <v>11364.7</v>
      </c>
      <c r="E27" s="1390">
        <f>IF(SUM(E19:E26)='数据-基础表'!BA5,SUM(E19:E26),IF(F27="地上面积有误","面积有误","地下面积有误"))</f>
        <v>28872.97</v>
      </c>
      <c r="F27" s="1389">
        <f>IF(SUM(F19:F26)=E8,SUM(F19:F26),"地上面积有误")</f>
        <v>21566.61</v>
      </c>
      <c r="G27" s="1391">
        <f>SUM(G19:G26)</f>
        <v>7306.3600000000006</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11364.7</v>
      </c>
      <c r="S27" s="1243">
        <f>IF(SUM(S19:S26)=$E$3,SUM(S19:S26),SUM(S19:S26)&amp;"误差"&amp;ROUND(SUM(S19:S26)-E3,2))</f>
        <v>28872.97</v>
      </c>
    </row>
    <row r="28" spans="1:19">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1963</v>
      </c>
      <c r="D31" s="727">
        <f>D27+D30</f>
        <v>11364.7</v>
      </c>
      <c r="E31" s="727">
        <f>E27+E30</f>
        <v>28872.97</v>
      </c>
      <c r="F31" s="728">
        <f>F27+F30</f>
        <v>21566.61</v>
      </c>
      <c r="G31" s="729">
        <f>G27+G30</f>
        <v>7306.3600000000006</v>
      </c>
      <c r="H31" s="1388"/>
      <c r="I31" s="1388"/>
      <c r="J31" s="1388"/>
      <c r="K31" s="1388"/>
      <c r="L31" s="1388"/>
      <c r="M31" s="1388"/>
      <c r="N31" s="1388"/>
      <c r="O31" s="1388"/>
      <c r="P31" s="1388"/>
    </row>
    <row r="32" spans="1:19">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G23" sqref="AG23"/>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0"/>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1966</v>
      </c>
      <c r="B2" s="1262">
        <f>项目基本情况!D3</f>
        <v>43566</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3166</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商业</v>
      </c>
      <c r="B6" s="2300" t="str">
        <f>IF(A6=0,"","经营性")</f>
        <v>经营性</v>
      </c>
      <c r="C6" s="2301" t="s">
        <v>1373</v>
      </c>
      <c r="D6" s="1047">
        <f>SUMIF(项目基本情况!D$12:I$12,C6,项目基本情况!D$14:I$14)</f>
        <v>40</v>
      </c>
      <c r="E6" s="1044">
        <f>IF(B6="","",SUMIF(项目基本情况!D$12:I$12,C6,项目基本情况!D$13:I$13))</f>
        <v>52938</v>
      </c>
      <c r="F6" s="72">
        <f>SUMIF(项目基本情况!D$12:I$12,C6,项目基本情况!D$15:I$15)</f>
        <v>25.67</v>
      </c>
      <c r="G6" s="73">
        <f>IF(ISERROR(ROUND(POWER(1+H6,D6-F6)*(POWER(1+H6,F6)-1)/(POWER(1+H6,D6)-1),3)),0,ROUND(POWER(1+H6,D6-F6)*(POWER(1+H6,F6)-1)/(POWER(1+H6,D6)-1),3))</f>
        <v>0.83199999999999996</v>
      </c>
      <c r="H6" s="800">
        <v>0.05</v>
      </c>
      <c r="I6" s="800">
        <v>0.06</v>
      </c>
      <c r="J6" s="74">
        <v>8.5000000000000006E-2</v>
      </c>
      <c r="K6" s="1247">
        <f>SUMIF('数据-汇总表'!C$19:C$33,A6,'数据-汇总表'!E$19:E$33)</f>
        <v>6810.2999999999993</v>
      </c>
      <c r="L6" s="801">
        <v>4000</v>
      </c>
      <c r="M6" s="75">
        <f t="shared" ref="M6:M14" si="0">ROUND(K6*L6/10000,0)</f>
        <v>2724</v>
      </c>
      <c r="N6" s="799">
        <f>ROUND(1-(2019-2010)/60,2)</f>
        <v>0.85</v>
      </c>
      <c r="O6" s="75" t="str">
        <f>IF($N$5="成新度","——",ROUND(M6*N6,0))</f>
        <v>——</v>
      </c>
      <c r="P6" s="76" t="str">
        <f>IF($N$5="成新度","——",M6-O6)</f>
        <v>——</v>
      </c>
      <c r="Q6" s="3037">
        <v>0.2</v>
      </c>
      <c r="R6" s="77">
        <f ca="1">SUMIF('数据-汇总表'!C$19:C$33,A6,'数据-汇总表'!R$19:R$27)</f>
        <v>2680.6</v>
      </c>
      <c r="S6" s="54">
        <f>IF('数据-汇总表'!$I$17="按面积比例",SUMIF('数据-汇总表'!C$19:C$33,A6,'数据-汇总表'!K$19:K$33),SUMIF('数据-汇总表'!C$19:C$33,A6,'数据-汇总表'!N$19:N$33))</f>
        <v>0</v>
      </c>
      <c r="T6" s="1439">
        <f>ROUND($L$14*S6/10000,0)</f>
        <v>0</v>
      </c>
      <c r="U6" s="78">
        <f>租金!M22</f>
        <v>5.95</v>
      </c>
      <c r="V6" s="79">
        <v>0</v>
      </c>
      <c r="W6" s="79">
        <v>0</v>
      </c>
      <c r="X6" s="1257"/>
      <c r="Y6" s="80">
        <f>N6</f>
        <v>0.85</v>
      </c>
      <c r="Z6" s="81">
        <f>租金!M23</f>
        <v>7.23</v>
      </c>
      <c r="AA6" s="74">
        <f>租金!M25</f>
        <v>0.03</v>
      </c>
      <c r="AB6" s="3035">
        <v>0.05</v>
      </c>
      <c r="AC6" s="1257"/>
      <c r="AD6" s="82">
        <f>ROUND(1-(2024-2010)/60,2)</f>
        <v>0.77</v>
      </c>
      <c r="AE6" s="1258">
        <f ca="1">IF(AN6="",0,SUMIF(INDIRECT("'"&amp;AN6&amp;"'"&amp;"!E:E"),$AE$5,INDIRECT("'"&amp;AN6&amp;"'"&amp;"!F:F")))</f>
        <v>25.67</v>
      </c>
      <c r="AF6" s="1800">
        <f>租金!M26</f>
        <v>5.22</v>
      </c>
      <c r="AG6" s="145">
        <f ca="1">IF(AF6="",0,AE6-AF6)</f>
        <v>20.450000000000003</v>
      </c>
      <c r="AH6" s="83"/>
      <c r="AI6" s="85">
        <v>365</v>
      </c>
      <c r="AJ6" s="86"/>
      <c r="AK6" s="87">
        <v>1.4999999999999999E-2</v>
      </c>
      <c r="AL6" s="88">
        <v>2E-3</v>
      </c>
      <c r="AM6" s="89">
        <v>0.01</v>
      </c>
      <c r="AN6" s="2302" t="s">
        <v>3167</v>
      </c>
      <c r="AO6" s="55">
        <f ca="1">SUMIF(INDIRECT("'"&amp;AN6&amp;"'"&amp;"!A:A"),"总价",INDIRECT("'"&amp;AN6&amp;"'"&amp;"!B:B"))</f>
        <v>19585</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地上办公</v>
      </c>
      <c r="B7" s="2300" t="str">
        <f t="shared" ref="B7:B13" si="1">IF(A7=0,"","经营性")</f>
        <v>经营性</v>
      </c>
      <c r="C7" s="2301" t="s">
        <v>27</v>
      </c>
      <c r="D7" s="1047">
        <f>SUMIF(项目基本情况!D$12:I$12,C7,项目基本情况!D$14:I$14)</f>
        <v>50</v>
      </c>
      <c r="E7" s="1044">
        <f>IF(B7="","",SUMIF(项目基本情况!D$12:I$12,C7,项目基本情况!D$13:I$13))</f>
        <v>56590</v>
      </c>
      <c r="F7" s="72">
        <f>SUMIF(项目基本情况!D$12:I$12,C7,项目基本情况!D$15:I$15)</f>
        <v>35.68</v>
      </c>
      <c r="G7" s="73">
        <f t="shared" ref="G7:G11" si="2">IF(ISERROR(ROUND(POWER(1+H7,D7-F7)*(POWER(1+H7,F7)-1)/(POWER(1+H7,D7)-1),3)),0,ROUND(POWER(1+H7,D7-F7)*(POWER(1+H7,F7)-1)/(POWER(1+H7,D7)-1),3))</f>
        <v>0.89100000000000001</v>
      </c>
      <c r="H7" s="800">
        <v>4.4999999999999998E-2</v>
      </c>
      <c r="I7" s="800">
        <v>0.05</v>
      </c>
      <c r="J7" s="74">
        <v>8.5000000000000006E-2</v>
      </c>
      <c r="K7" s="1247">
        <f>SUMIF('数据-汇总表'!C$19:C$33,A7,'数据-汇总表'!E$19:E$33)</f>
        <v>17274</v>
      </c>
      <c r="L7" s="801">
        <v>3500</v>
      </c>
      <c r="M7" s="75">
        <f t="shared" si="0"/>
        <v>6046</v>
      </c>
      <c r="N7" s="799">
        <f t="shared" ref="N7:N8" si="3">ROUND(1-(2019-2010)/60,2)</f>
        <v>0.85</v>
      </c>
      <c r="O7" s="75" t="str">
        <f t="shared" ref="O7:O14" si="4">IF($N$5="成新度","——",ROUND(M7*N7,0))</f>
        <v>——</v>
      </c>
      <c r="P7" s="76" t="str">
        <f t="shared" ref="P7:P14" si="5">IF($N$5="成新度","——",M7-O7)</f>
        <v>——</v>
      </c>
      <c r="Q7" s="3037">
        <v>0.25</v>
      </c>
      <c r="R7" s="77">
        <f ca="1">SUMIF('数据-汇总表'!C$19:C$33,A7,'数据-汇总表'!R$19:R$27)</f>
        <v>6799.23</v>
      </c>
      <c r="S7" s="54">
        <f>IF('数据-汇总表'!$I$17="按面积比例",SUMIF('数据-汇总表'!C$19:C$33,A7,'数据-汇总表'!K$19:K$33),SUMIF('数据-汇总表'!C$19:C$33,A7,'数据-汇总表'!N$19:N$33))</f>
        <v>0</v>
      </c>
      <c r="T7" s="1439">
        <f t="shared" ref="T7:T13" si="6">ROUND($L$14*S7/10000,0)</f>
        <v>0</v>
      </c>
      <c r="U7" s="78">
        <f>租金!M11</f>
        <v>5.75</v>
      </c>
      <c r="V7" s="79">
        <v>0</v>
      </c>
      <c r="W7" s="3034">
        <v>0</v>
      </c>
      <c r="X7" s="1257"/>
      <c r="Y7" s="80">
        <f>N7</f>
        <v>0.85</v>
      </c>
      <c r="Z7" s="81">
        <f>租金!M12</f>
        <v>6.36</v>
      </c>
      <c r="AA7" s="74">
        <f>租金!M14</f>
        <v>0.03</v>
      </c>
      <c r="AB7" s="3035">
        <v>0.05</v>
      </c>
      <c r="AC7" s="1257"/>
      <c r="AD7" s="82">
        <f>ROUND(1-(2022-2010)/60,2)</f>
        <v>0.8</v>
      </c>
      <c r="AE7" s="1258">
        <f t="shared" ref="AE7:AE13" ca="1" si="7">IF(AN7="",0,SUMIF(INDIRECT("'"&amp;AN7&amp;"'"&amp;"!E:E"),$AE$5,INDIRECT("'"&amp;AN7&amp;"'"&amp;"!F:F")))</f>
        <v>35.68</v>
      </c>
      <c r="AF7" s="1800">
        <f>租金!M15</f>
        <v>3.14</v>
      </c>
      <c r="AG7" s="145">
        <f t="shared" ref="AG7:AG13" ca="1" si="8">IF(AF7="",0,AE7-AF7)</f>
        <v>32.54</v>
      </c>
      <c r="AH7" s="83"/>
      <c r="AI7" s="85">
        <v>365</v>
      </c>
      <c r="AJ7" s="86"/>
      <c r="AK7" s="87">
        <v>1.4999999999999999E-2</v>
      </c>
      <c r="AL7" s="88">
        <v>2E-3</v>
      </c>
      <c r="AM7" s="89">
        <v>0.01</v>
      </c>
      <c r="AN7" s="2302" t="s">
        <v>3168</v>
      </c>
      <c r="AO7" s="55">
        <f t="shared" ref="AO7:AO13" ca="1" si="9">SUMIF(INDIRECT("'"&amp;AN7&amp;"'"&amp;"!A:A"),"总价",INDIRECT("'"&amp;AN7&amp;"'"&amp;"!B:B"))</f>
        <v>66794</v>
      </c>
      <c r="AP7" s="2303">
        <f t="shared" ref="AP7:AP13" si="10">IF(C7="住宅",K7*L7,0)</f>
        <v>0</v>
      </c>
      <c r="AQ7" s="55">
        <f t="shared" ref="AQ7:AQ13" si="11">ROUND($L$14*$N$14*S7/10000,0)</f>
        <v>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地下车库</v>
      </c>
      <c r="B8" s="2300" t="str">
        <f t="shared" si="1"/>
        <v>经营性</v>
      </c>
      <c r="C8" s="2301" t="s">
        <v>3165</v>
      </c>
      <c r="D8" s="1047">
        <f>SUMIF(项目基本情况!D$12:I$12,C8,项目基本情况!D$14:I$14)</f>
        <v>50</v>
      </c>
      <c r="E8" s="1044">
        <f>IF(B8="","",SUMIF(项目基本情况!D$12:I$12,C8,项目基本情况!D$13:I$13))</f>
        <v>56590</v>
      </c>
      <c r="F8" s="72">
        <f>SUMIF(项目基本情况!D$12:I$12,C8,项目基本情况!D$15:I$15)</f>
        <v>35.68</v>
      </c>
      <c r="G8" s="73">
        <f t="shared" si="2"/>
        <v>0.89100000000000001</v>
      </c>
      <c r="H8" s="800">
        <v>4.4999999999999998E-2</v>
      </c>
      <c r="I8" s="800">
        <v>0.05</v>
      </c>
      <c r="J8" s="74">
        <v>8.5000000000000006E-2</v>
      </c>
      <c r="K8" s="1247">
        <f>SUMIF('数据-汇总表'!C$19:C$33,A8,'数据-汇总表'!E$19:E$33)</f>
        <v>4788.67</v>
      </c>
      <c r="L8" s="801">
        <v>2200</v>
      </c>
      <c r="M8" s="75">
        <f>ROUND(K8*L8/10000,0)</f>
        <v>1054</v>
      </c>
      <c r="N8" s="799">
        <f t="shared" si="3"/>
        <v>0.85</v>
      </c>
      <c r="O8" s="75" t="str">
        <f t="shared" si="4"/>
        <v>——</v>
      </c>
      <c r="P8" s="76" t="str">
        <f t="shared" si="5"/>
        <v>——</v>
      </c>
      <c r="Q8" s="802">
        <v>0.1</v>
      </c>
      <c r="R8" s="77">
        <f ca="1">SUMIF('数据-汇总表'!C$19:C$33,A8,'数据-汇总表'!R$19:R$27)</f>
        <v>1884.87</v>
      </c>
      <c r="S8" s="54">
        <f>IF('数据-汇总表'!$I$17="按面积比例",SUMIF('数据-汇总表'!C$19:C$33,A8,'数据-汇总表'!K$19:K$33),SUMIF('数据-汇总表'!C$19:C$33,A8,'数据-汇总表'!N$19:N$33))</f>
        <v>0</v>
      </c>
      <c r="T8" s="1439">
        <f t="shared" si="6"/>
        <v>0</v>
      </c>
      <c r="U8" s="803">
        <v>500</v>
      </c>
      <c r="V8" s="804">
        <v>0</v>
      </c>
      <c r="W8" s="804">
        <v>0</v>
      </c>
      <c r="X8" s="1257"/>
      <c r="Y8" s="805">
        <f>N8</f>
        <v>0.85</v>
      </c>
      <c r="Z8" s="81"/>
      <c r="AA8" s="74"/>
      <c r="AB8" s="74"/>
      <c r="AC8" s="1257"/>
      <c r="AD8" s="82"/>
      <c r="AE8" s="1258">
        <f t="shared" ca="1" si="7"/>
        <v>35.68</v>
      </c>
      <c r="AF8" s="1800"/>
      <c r="AG8" s="145">
        <f t="shared" si="8"/>
        <v>0</v>
      </c>
      <c r="AH8" s="806">
        <v>107</v>
      </c>
      <c r="AI8" s="85">
        <v>12</v>
      </c>
      <c r="AJ8" s="86"/>
      <c r="AK8" s="807">
        <v>1.4999999999999999E-2</v>
      </c>
      <c r="AL8" s="88">
        <v>2E-3</v>
      </c>
      <c r="AM8" s="89">
        <v>0.01</v>
      </c>
      <c r="AN8" s="2302" t="s">
        <v>3169</v>
      </c>
      <c r="AO8" s="55">
        <f t="shared" ca="1" si="9"/>
        <v>425</v>
      </c>
      <c r="AP8" s="2303">
        <f t="shared" si="10"/>
        <v>0</v>
      </c>
      <c r="AQ8" s="55">
        <f t="shared" si="11"/>
        <v>0</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5">
        <f t="shared" si="8"/>
        <v>0</v>
      </c>
      <c r="AH9" s="83"/>
      <c r="AI9" s="85"/>
      <c r="AJ9" s="86"/>
      <c r="AK9" s="87"/>
      <c r="AL9" s="88">
        <v>2E-3</v>
      </c>
      <c r="AM9" s="89">
        <v>1.4999999999999999E-2</v>
      </c>
      <c r="AN9" s="2302"/>
      <c r="AO9" s="55" t="e">
        <f t="shared" ca="1" si="9"/>
        <v>#REF!</v>
      </c>
      <c r="AP9" s="2303">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5">
        <f t="shared" si="8"/>
        <v>0</v>
      </c>
      <c r="AH10" s="83"/>
      <c r="AI10" s="85"/>
      <c r="AJ10" s="86"/>
      <c r="AK10" s="87"/>
      <c r="AL10" s="88">
        <v>2E-3</v>
      </c>
      <c r="AM10" s="89">
        <v>1.4999999999999999E-2</v>
      </c>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5">
        <f t="shared" si="8"/>
        <v>0</v>
      </c>
      <c r="AH11" s="83"/>
      <c r="AI11" s="85"/>
      <c r="AJ11" s="86"/>
      <c r="AK11" s="94"/>
      <c r="AL11" s="88">
        <v>2E-3</v>
      </c>
      <c r="AM11" s="89">
        <v>1.4999999999999999E-2</v>
      </c>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5">
        <f t="shared" si="8"/>
        <v>0</v>
      </c>
      <c r="AH12" s="83"/>
      <c r="AI12" s="85"/>
      <c r="AJ12" s="86"/>
      <c r="AK12" s="94"/>
      <c r="AL12" s="88">
        <v>2E-3</v>
      </c>
      <c r="AM12" s="89">
        <v>1.4999999999999999E-2</v>
      </c>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5">
        <f t="shared" si="8"/>
        <v>0</v>
      </c>
      <c r="AH13" s="83"/>
      <c r="AI13" s="85"/>
      <c r="AJ13" s="86"/>
      <c r="AK13" s="87"/>
      <c r="AL13" s="88">
        <v>2E-3</v>
      </c>
      <c r="AM13" s="89">
        <v>1.4999999999999999E-2</v>
      </c>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2010</v>
      </c>
      <c r="B14" s="2300" t="s">
        <v>2011</v>
      </c>
      <c r="C14" s="2305" t="s">
        <v>2010</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5"/>
      <c r="AH14" s="1258"/>
      <c r="AI14" s="1811"/>
      <c r="AJ14" s="771"/>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2012</v>
      </c>
      <c r="B15" s="2300" t="s">
        <v>2011</v>
      </c>
      <c r="C15" s="2305"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5"/>
      <c r="AH15" s="1258"/>
      <c r="AI15" s="1811"/>
      <c r="AJ15" s="771"/>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2014</v>
      </c>
      <c r="B16" s="95"/>
      <c r="C16" s="1001"/>
      <c r="D16" s="2307"/>
      <c r="E16" s="95"/>
      <c r="F16" s="95"/>
      <c r="G16" s="96">
        <f>ROUND(SUMPRODUCT(G6:G13,K6:K13)/SUMPRODUCT((G6:G13&gt;0)*(K6:K13)),3)</f>
        <v>0.877</v>
      </c>
      <c r="H16" s="97">
        <f>ROUND(SUMPRODUCT(H6:H13,K6:K13)/SUMPRODUCT((H6:H13&gt;0)*(K6:K13)),3)</f>
        <v>4.5999999999999999E-2</v>
      </c>
      <c r="I16" s="98"/>
      <c r="J16" s="98"/>
      <c r="K16" s="99">
        <f>SUM(K6:K15)</f>
        <v>28872.97</v>
      </c>
      <c r="L16" s="100">
        <f>ROUND(M16*10000/SUM(K6:K14),0)</f>
        <v>3402</v>
      </c>
      <c r="M16" s="100">
        <f>SUM(M6:M14)</f>
        <v>9824</v>
      </c>
      <c r="N16" s="101">
        <f>ROUND(SUMPRODUCT(M6:M14,N6:N14)/M16,3)</f>
        <v>0.85</v>
      </c>
      <c r="O16" s="100">
        <f>SUM(O6:O14)</f>
        <v>0</v>
      </c>
      <c r="P16" s="100">
        <f>SUM(P6:P14)</f>
        <v>0</v>
      </c>
      <c r="Q16" s="102">
        <f>ROUND(SUMPRODUCT(Q6:Q13,K6:K13)/SUMPRODUCT((Q6:Q13&gt;0)*(K6:K13)),2)</f>
        <v>0.21</v>
      </c>
      <c r="R16" s="1251">
        <f ca="1">SUM(R6:R13)</f>
        <v>11364.7</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0">
        <v>0</v>
      </c>
      <c r="C19" s="2270" t="s">
        <v>2017</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1">
        <v>2</v>
      </c>
      <c r="C20" s="2270" t="s">
        <v>2019</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1">
        <v>2</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2">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2">
        <f>B19+B21</f>
        <v>2</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3">
        <f>B20-B21</f>
        <v>0</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4">
        <v>160</v>
      </c>
      <c r="C27" s="1760" t="s">
        <v>2028</v>
      </c>
      <c r="D27" s="2316"/>
      <c r="E27" s="1423"/>
      <c r="F27" s="1423"/>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2029</v>
      </c>
      <c r="B28" s="117">
        <v>200</v>
      </c>
      <c r="C28" s="2319"/>
      <c r="D28" s="2316"/>
      <c r="E28" s="1423"/>
      <c r="F28" s="1423"/>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2030</v>
      </c>
      <c r="B29" s="119">
        <f ca="1">成本法!C10</f>
        <v>577</v>
      </c>
      <c r="C29" s="1760" t="s">
        <v>2031</v>
      </c>
      <c r="D29" s="2316"/>
      <c r="E29" s="1423"/>
      <c r="F29" s="1423"/>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2032</v>
      </c>
      <c r="B30" s="722">
        <v>200</v>
      </c>
      <c r="C30" s="2319"/>
      <c r="D30" s="2316"/>
      <c r="E30" s="1423"/>
      <c r="F30" s="1423"/>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2033</v>
      </c>
      <c r="B31" s="118">
        <f>B30-B32</f>
        <v>200</v>
      </c>
      <c r="C31" s="1760"/>
      <c r="D31" s="2316"/>
      <c r="E31" s="1423"/>
      <c r="F31" s="1423"/>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2034</v>
      </c>
      <c r="B32" s="723">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2035</v>
      </c>
      <c r="B33" s="724">
        <v>0.05</v>
      </c>
      <c r="C33" s="1759" t="s">
        <v>2036</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2037</v>
      </c>
      <c r="B34" s="120">
        <v>0</v>
      </c>
      <c r="C34" s="1759" t="s">
        <v>2038</v>
      </c>
      <c r="D34" s="2271" t="s">
        <v>2039</v>
      </c>
      <c r="E34" s="730"/>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2040</v>
      </c>
      <c r="B35" s="117">
        <v>200</v>
      </c>
      <c r="C35" s="1759" t="s">
        <v>2041</v>
      </c>
      <c r="D35" s="2316"/>
      <c r="E35" s="1423"/>
      <c r="F35" s="1423"/>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2042</v>
      </c>
      <c r="B36" s="121">
        <v>1.4999999999999999E-2</v>
      </c>
      <c r="C36" s="1759" t="s">
        <v>2043</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2">
        <v>0.03</v>
      </c>
      <c r="C37" s="1759" t="s">
        <v>2045</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0">
        <v>0.03</v>
      </c>
      <c r="C38" s="1759" t="s">
        <v>2045</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6">
        <v>7.0000000000000007E-2</v>
      </c>
      <c r="C44" s="1759" t="s">
        <v>2054</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4">
        <v>0.03</v>
      </c>
      <c r="C45" s="1760" t="s">
        <v>2056</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4">
        <v>0.02</v>
      </c>
      <c r="C46" s="1760" t="s">
        <v>2058</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7">
        <v>0</v>
      </c>
      <c r="C47" s="1760" t="s">
        <v>2060</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28">
        <v>0.03</v>
      </c>
      <c r="C48" s="1767" t="s">
        <v>2062</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4">
        <v>5.0000000000000001E-4</v>
      </c>
      <c r="C49" s="1767" t="s">
        <v>2064</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29">
        <v>1.2E-2</v>
      </c>
      <c r="C50" s="1423"/>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0">
        <v>0.12</v>
      </c>
      <c r="C51" s="1423"/>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1">
        <f>SUMIF(A54:A63,B53,B54:B63)</f>
        <v>12</v>
      </c>
      <c r="C52" s="1423"/>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329" t="s">
        <v>137</v>
      </c>
      <c r="C53" s="1423" t="s">
        <v>2069</v>
      </c>
      <c r="D53" s="2330" t="s">
        <v>2070</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2071</v>
      </c>
      <c r="B54" s="84">
        <v>30</v>
      </c>
      <c r="C54" s="1423">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2072</v>
      </c>
      <c r="B55" s="84">
        <v>24</v>
      </c>
      <c r="C55" s="1423">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2073</v>
      </c>
      <c r="B56" s="84">
        <v>18</v>
      </c>
      <c r="C56" s="1423">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2074</v>
      </c>
      <c r="B57" s="84">
        <v>12</v>
      </c>
      <c r="C57" s="1423">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2075</v>
      </c>
      <c r="B58" s="84">
        <v>3</v>
      </c>
      <c r="C58" s="1423">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2076</v>
      </c>
      <c r="B59" s="84">
        <v>1.5</v>
      </c>
      <c r="C59" s="1423">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2077</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2078</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2079</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29" t="s">
        <v>2081</v>
      </c>
      <c r="B1" s="3130"/>
      <c r="C1" s="3130"/>
      <c r="D1" s="3130"/>
      <c r="E1" s="3130"/>
      <c r="F1" s="3130"/>
      <c r="G1" s="313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27">
      <c r="A3" s="413" t="s">
        <v>2084</v>
      </c>
      <c r="B3" s="1264" t="s">
        <v>2085</v>
      </c>
      <c r="C3" s="2363"/>
      <c r="D3" s="2364"/>
      <c r="E3" s="429" t="s">
        <v>2084</v>
      </c>
      <c r="F3" s="2365" t="s">
        <v>2086</v>
      </c>
      <c r="G3" s="2366"/>
      <c r="H3" s="2361"/>
      <c r="I3" s="2361"/>
      <c r="J3" s="2361"/>
      <c r="K3" s="2361"/>
      <c r="L3" s="2361"/>
      <c r="M3" s="2361"/>
      <c r="N3" s="2361"/>
      <c r="O3" s="2361"/>
      <c r="P3" s="2361"/>
      <c r="Q3" s="2361"/>
      <c r="R3" s="2361"/>
    </row>
    <row r="4" spans="1:29" ht="15">
      <c r="A4" s="429"/>
      <c r="B4" s="1791" t="s">
        <v>2087</v>
      </c>
      <c r="C4" s="2367"/>
      <c r="D4" s="2364"/>
      <c r="E4" s="2368"/>
      <c r="F4" s="42" t="s">
        <v>2088</v>
      </c>
      <c r="G4" s="2369"/>
      <c r="H4" s="2361"/>
      <c r="I4" s="2361"/>
      <c r="J4" s="2361"/>
      <c r="K4" s="2361"/>
      <c r="L4" s="2361"/>
      <c r="M4" s="2361"/>
      <c r="N4" s="2361"/>
      <c r="O4" s="2361"/>
      <c r="P4" s="2361"/>
      <c r="Q4" s="2361"/>
      <c r="R4" s="2361"/>
    </row>
    <row r="5" spans="1:29" ht="15">
      <c r="A5" s="429"/>
      <c r="B5" s="1791" t="s">
        <v>2089</v>
      </c>
      <c r="C5" s="2367"/>
      <c r="D5" s="2364"/>
      <c r="E5" s="2368"/>
      <c r="F5" s="1791" t="s">
        <v>2090</v>
      </c>
      <c r="G5" s="2369"/>
      <c r="H5" s="2361"/>
      <c r="I5" s="2361"/>
      <c r="J5" s="2361"/>
      <c r="K5" s="2361"/>
      <c r="L5" s="2361"/>
      <c r="M5" s="2361"/>
      <c r="N5" s="2361"/>
      <c r="O5" s="2361"/>
      <c r="P5" s="2361"/>
      <c r="Q5" s="2361"/>
      <c r="R5" s="2361"/>
    </row>
    <row r="6" spans="1:29" ht="15">
      <c r="A6" s="429"/>
      <c r="B6" s="1791" t="s">
        <v>2091</v>
      </c>
      <c r="C6" s="2369"/>
      <c r="D6" s="2364"/>
      <c r="E6" s="2368"/>
      <c r="F6" s="1791" t="s">
        <v>2092</v>
      </c>
      <c r="G6" s="2369"/>
      <c r="H6" s="2361"/>
      <c r="I6" s="2361"/>
      <c r="J6" s="2361"/>
      <c r="K6" s="2361"/>
      <c r="L6" s="2361"/>
      <c r="M6" s="2361"/>
      <c r="N6" s="2361"/>
      <c r="O6" s="2361"/>
      <c r="P6" s="2361"/>
      <c r="Q6" s="2361"/>
      <c r="R6" s="2361"/>
    </row>
    <row r="7" spans="1:29" ht="15.75" thickBot="1">
      <c r="A7" s="429"/>
      <c r="B7" s="1791" t="s">
        <v>2090</v>
      </c>
      <c r="C7" s="2369"/>
      <c r="D7" s="2370"/>
      <c r="E7" s="2371"/>
      <c r="F7" s="2372" t="s">
        <v>2093</v>
      </c>
      <c r="G7" s="2373"/>
      <c r="H7" s="2361"/>
      <c r="I7" s="2361"/>
      <c r="J7" s="2361"/>
      <c r="K7" s="2361"/>
      <c r="L7" s="2361"/>
      <c r="M7" s="2361"/>
      <c r="N7" s="2361"/>
      <c r="O7" s="2361"/>
      <c r="P7" s="2361"/>
      <c r="Q7" s="2361"/>
      <c r="R7" s="2361"/>
    </row>
    <row r="8" spans="1:29" ht="15">
      <c r="A8" s="429"/>
      <c r="B8" s="1791" t="s">
        <v>2092</v>
      </c>
      <c r="C8" s="2369"/>
      <c r="D8" s="2370"/>
      <c r="E8" s="2370"/>
      <c r="F8" s="1129"/>
      <c r="G8" s="1129"/>
      <c r="H8" s="2361"/>
      <c r="I8" s="2361"/>
      <c r="J8" s="2361"/>
      <c r="K8" s="2361"/>
      <c r="L8" s="2361"/>
      <c r="M8" s="2361"/>
      <c r="N8" s="2361"/>
      <c r="O8" s="2361"/>
      <c r="P8" s="2361"/>
      <c r="Q8" s="2361"/>
      <c r="R8" s="2361"/>
    </row>
    <row r="9" spans="1:29" ht="15">
      <c r="A9" s="429"/>
      <c r="B9" s="1791" t="s">
        <v>2094</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2095</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2096</v>
      </c>
      <c r="B13" s="2381"/>
      <c r="C13" s="2381"/>
      <c r="D13" s="2388"/>
      <c r="E13" s="2381"/>
      <c r="F13" s="2381"/>
      <c r="G13" s="2381"/>
    </row>
    <row r="14" spans="1:29" ht="15.75" thickBot="1">
      <c r="A14" s="2392"/>
      <c r="B14" s="2393"/>
      <c r="C14" s="2394" t="s">
        <v>2097</v>
      </c>
      <c r="D14" s="2364"/>
      <c r="E14" s="2395"/>
      <c r="F14" s="2395"/>
      <c r="G14" s="2358" t="s">
        <v>2098</v>
      </c>
    </row>
    <row r="15" spans="1:29" ht="27">
      <c r="A15" s="68" t="s">
        <v>2099</v>
      </c>
      <c r="B15" s="1263" t="s">
        <v>2085</v>
      </c>
      <c r="C15" s="2396">
        <f>C3</f>
        <v>0</v>
      </c>
      <c r="D15" s="2364"/>
      <c r="E15" s="2397" t="s">
        <v>2100</v>
      </c>
      <c r="F15" s="1263" t="s">
        <v>2101</v>
      </c>
      <c r="G15" s="133">
        <f>G3</f>
        <v>0</v>
      </c>
    </row>
    <row r="16" spans="1:29" ht="15">
      <c r="A16" s="643"/>
      <c r="B16" s="2398" t="s">
        <v>2087</v>
      </c>
      <c r="C16" s="2399">
        <f>C4</f>
        <v>0</v>
      </c>
      <c r="D16" s="2364"/>
      <c r="E16" s="2400"/>
      <c r="F16" s="2401" t="s">
        <v>2088</v>
      </c>
      <c r="G16" s="134">
        <f>G4</f>
        <v>0</v>
      </c>
    </row>
    <row r="17" spans="1:18" ht="15">
      <c r="A17" s="643"/>
      <c r="B17" s="2398" t="s">
        <v>2089</v>
      </c>
      <c r="C17" s="2399">
        <f>C5</f>
        <v>0</v>
      </c>
      <c r="D17" s="2370"/>
      <c r="E17" s="2400"/>
      <c r="F17" s="2401" t="s">
        <v>2102</v>
      </c>
      <c r="G17" s="1565"/>
    </row>
    <row r="18" spans="1:18" ht="15">
      <c r="A18" s="643"/>
      <c r="B18" s="2401" t="s">
        <v>2091</v>
      </c>
      <c r="C18" s="134">
        <f>C6</f>
        <v>0</v>
      </c>
      <c r="D18" s="2370"/>
      <c r="E18" s="2400"/>
      <c r="F18" s="2401" t="s">
        <v>2093</v>
      </c>
      <c r="G18" s="134">
        <f>G7</f>
        <v>0</v>
      </c>
    </row>
    <row r="19" spans="1:18" ht="15">
      <c r="A19" s="643"/>
      <c r="B19" s="2401" t="s">
        <v>2103</v>
      </c>
      <c r="C19" s="1565"/>
      <c r="D19" s="2364"/>
      <c r="E19" s="2400"/>
      <c r="F19" s="1791" t="s">
        <v>2090</v>
      </c>
      <c r="G19" s="134">
        <f>G5</f>
        <v>0</v>
      </c>
    </row>
    <row r="20" spans="1:18" ht="15">
      <c r="A20" s="643"/>
      <c r="B20" s="2401" t="s">
        <v>2104</v>
      </c>
      <c r="C20" s="2399">
        <f>C9</f>
        <v>0</v>
      </c>
      <c r="D20" s="2370"/>
      <c r="E20" s="2400"/>
      <c r="F20" s="1791" t="s">
        <v>2105</v>
      </c>
      <c r="G20" s="134">
        <f>G6</f>
        <v>0</v>
      </c>
    </row>
    <row r="21" spans="1:18" ht="15">
      <c r="A21" s="643"/>
      <c r="B21" s="1791" t="s">
        <v>2090</v>
      </c>
      <c r="C21" s="134">
        <f>C7</f>
        <v>0</v>
      </c>
      <c r="D21" s="2364"/>
      <c r="E21" s="2400"/>
      <c r="F21" s="2401" t="s">
        <v>2106</v>
      </c>
      <c r="G21" s="2402"/>
    </row>
    <row r="22" spans="1:18" ht="13.5" customHeight="1">
      <c r="A22" s="643"/>
      <c r="B22" s="1791" t="s">
        <v>2092</v>
      </c>
      <c r="C22" s="134">
        <f>C8</f>
        <v>0</v>
      </c>
      <c r="D22" s="2364"/>
      <c r="E22" s="2400"/>
      <c r="F22" s="2401" t="s">
        <v>2095</v>
      </c>
      <c r="G22" s="1565"/>
    </row>
    <row r="23" spans="1:18" s="2361" customFormat="1" ht="15.75" thickBot="1">
      <c r="A23" s="643"/>
      <c r="B23" s="2401" t="s">
        <v>2106</v>
      </c>
      <c r="C23" s="2402"/>
      <c r="D23" s="2389"/>
      <c r="E23" s="2403"/>
      <c r="F23" s="2404" t="s">
        <v>2107</v>
      </c>
      <c r="G23" s="2405"/>
      <c r="H23" s="2389"/>
      <c r="I23" s="2390"/>
      <c r="J23" s="2389"/>
      <c r="K23" s="2389"/>
      <c r="L23" s="2390"/>
      <c r="M23" s="2389"/>
      <c r="N23" s="2389"/>
      <c r="O23" s="2390"/>
      <c r="P23" s="2389"/>
      <c r="Q23" s="2389"/>
      <c r="R23" s="2391"/>
    </row>
    <row r="24" spans="1:18" s="2361" customFormat="1" ht="15.75" thickBot="1">
      <c r="A24" s="2406"/>
      <c r="B24" s="2404" t="s">
        <v>2108</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topLeftCell="E1" zoomScale="85" zoomScaleNormal="85" workbookViewId="0">
      <selection activeCell="M25" sqref="M25"/>
    </sheetView>
  </sheetViews>
  <sheetFormatPr defaultRowHeight="13.5"/>
  <cols>
    <col min="1" max="1" width="3.25" bestFit="1" customWidth="1"/>
    <col min="2" max="2" width="41.25" customWidth="1"/>
    <col min="3" max="3" width="10" bestFit="1" customWidth="1"/>
    <col min="4" max="4" width="21.25" bestFit="1" customWidth="1"/>
    <col min="5" max="5" width="10.25" bestFit="1" customWidth="1"/>
    <col min="6" max="6" width="13" bestFit="1" customWidth="1"/>
    <col min="7" max="7" width="12.75" bestFit="1" customWidth="1"/>
    <col min="8" max="8" width="13" customWidth="1"/>
    <col min="9" max="9" width="14.125" bestFit="1" customWidth="1"/>
    <col min="10" max="10" width="15.125" bestFit="1" customWidth="1"/>
    <col min="11" max="11" width="10.5" bestFit="1" customWidth="1"/>
    <col min="12" max="12" width="11.375" bestFit="1" customWidth="1"/>
    <col min="13" max="13" width="11.25" bestFit="1" customWidth="1"/>
    <col min="14" max="14" width="15.125" bestFit="1" customWidth="1"/>
    <col min="15" max="17" width="14.125" bestFit="1" customWidth="1"/>
    <col min="18" max="18" width="11.625" bestFit="1" customWidth="1"/>
    <col min="19" max="20" width="14.125" bestFit="1" customWidth="1"/>
  </cols>
  <sheetData>
    <row r="1" spans="1:20" ht="20.25">
      <c r="A1" s="3131" t="s">
        <v>3048</v>
      </c>
      <c r="B1" s="3131"/>
      <c r="C1" s="3131"/>
      <c r="D1" s="3131"/>
      <c r="E1" s="3131"/>
      <c r="F1" s="3131"/>
      <c r="G1" s="3131"/>
      <c r="H1" s="3131"/>
      <c r="I1" s="3131"/>
      <c r="J1" s="3131"/>
      <c r="K1" s="2965">
        <f>项目基本情况!D3</f>
        <v>43566</v>
      </c>
      <c r="L1" s="2996"/>
      <c r="M1" s="2996"/>
      <c r="N1" s="2996"/>
      <c r="O1" s="2996"/>
      <c r="P1" s="2996"/>
      <c r="Q1" s="2996"/>
      <c r="R1" s="2996"/>
      <c r="S1" s="2996"/>
      <c r="T1" s="2966"/>
    </row>
    <row r="2" spans="1:20">
      <c r="A2" s="2997"/>
      <c r="B2" s="2997"/>
      <c r="C2" s="2998"/>
      <c r="D2" s="2997"/>
      <c r="E2" s="2998"/>
      <c r="F2" s="2998"/>
      <c r="G2" s="2997"/>
      <c r="H2" s="2997"/>
      <c r="I2" s="2997"/>
      <c r="J2" s="2998" t="s">
        <v>3049</v>
      </c>
      <c r="K2" s="2996"/>
      <c r="L2" s="2999"/>
      <c r="M2" s="2999"/>
      <c r="N2" s="2999"/>
      <c r="O2" s="2999"/>
      <c r="P2" s="2999"/>
      <c r="Q2" s="2999"/>
      <c r="R2" s="2999"/>
      <c r="S2" s="2999"/>
      <c r="T2" s="2973"/>
    </row>
    <row r="3" spans="1:20" ht="24">
      <c r="A3" s="3000" t="s">
        <v>3050</v>
      </c>
      <c r="B3" s="3000" t="s">
        <v>3051</v>
      </c>
      <c r="C3" s="2967" t="s">
        <v>3052</v>
      </c>
      <c r="D3" s="2968" t="s">
        <v>3053</v>
      </c>
      <c r="E3" s="3001" t="s">
        <v>3054</v>
      </c>
      <c r="F3" s="3001" t="s">
        <v>3055</v>
      </c>
      <c r="G3" s="2967" t="s">
        <v>3056</v>
      </c>
      <c r="H3" s="2968" t="s">
        <v>3057</v>
      </c>
      <c r="I3" s="3000" t="s">
        <v>3058</v>
      </c>
      <c r="J3" s="3002" t="s">
        <v>3059</v>
      </c>
      <c r="K3" s="2981"/>
      <c r="L3" s="3003"/>
      <c r="M3" s="3003"/>
      <c r="N3" s="3003"/>
      <c r="O3" s="3003"/>
      <c r="P3" s="3003"/>
      <c r="Q3" s="3003"/>
      <c r="R3" s="3003"/>
      <c r="S3" s="2996"/>
      <c r="T3" s="2966"/>
    </row>
    <row r="4" spans="1:20">
      <c r="A4" s="3004">
        <v>1</v>
      </c>
      <c r="B4" s="3005" t="s">
        <v>3060</v>
      </c>
      <c r="C4" s="2969">
        <v>1</v>
      </c>
      <c r="D4" s="2970" t="s">
        <v>3061</v>
      </c>
      <c r="E4" s="2971">
        <v>41640</v>
      </c>
      <c r="F4" s="2972">
        <v>44742</v>
      </c>
      <c r="G4" s="3006">
        <f>3050-800</f>
        <v>2250</v>
      </c>
      <c r="H4" s="2969">
        <v>5.5</v>
      </c>
      <c r="I4" s="3007">
        <f>J4/12</f>
        <v>376406.25</v>
      </c>
      <c r="J4" s="3006">
        <f>G4*H4*365</f>
        <v>4516875</v>
      </c>
      <c r="K4" s="2981" t="s">
        <v>3062</v>
      </c>
      <c r="L4" s="2999" t="s">
        <v>3063</v>
      </c>
      <c r="M4" s="2999" t="s">
        <v>3064</v>
      </c>
      <c r="N4" s="2973">
        <v>43830</v>
      </c>
      <c r="O4" s="2973">
        <v>44196</v>
      </c>
      <c r="P4" s="2973">
        <v>44561</v>
      </c>
      <c r="Q4" s="2973">
        <v>44712</v>
      </c>
      <c r="R4" s="2973"/>
      <c r="S4" s="2999"/>
      <c r="T4" s="2973"/>
    </row>
    <row r="5" spans="1:20" ht="24">
      <c r="A5" s="3004">
        <v>2</v>
      </c>
      <c r="B5" s="3005" t="s">
        <v>3065</v>
      </c>
      <c r="C5" s="2969">
        <v>1</v>
      </c>
      <c r="D5" s="2974" t="s">
        <v>3066</v>
      </c>
      <c r="E5" s="2971">
        <v>41821</v>
      </c>
      <c r="F5" s="2972">
        <v>45473</v>
      </c>
      <c r="G5" s="3006">
        <f>3531.98-600</f>
        <v>2931.98</v>
      </c>
      <c r="H5" s="2969">
        <v>5.5</v>
      </c>
      <c r="I5" s="3007">
        <f t="shared" ref="I5:I31" si="0">J5/12</f>
        <v>490495.8208333333</v>
      </c>
      <c r="J5" s="3006">
        <f>G5*H5*365</f>
        <v>5885949.8499999996</v>
      </c>
      <c r="K5" s="2981"/>
      <c r="L5" s="2981">
        <v>2019</v>
      </c>
      <c r="M5" s="2981">
        <f>G15+G19+G23+G26+G28+G49+G39</f>
        <v>2693.05</v>
      </c>
      <c r="N5" s="2981">
        <f>ROUND(J15+J19+J23+J26+J28+J49+J39,2)</f>
        <v>4958568.9000000004</v>
      </c>
      <c r="O5" s="2981">
        <f>O13*$M$5*365</f>
        <v>5868290.6025</v>
      </c>
      <c r="P5" s="2981">
        <f>P13*$M$5*365</f>
        <v>6045223.9875000017</v>
      </c>
      <c r="Q5" s="2981">
        <f>ROUND($Q$13*M5*($Q$4-$P$4),2)</f>
        <v>2578164.4900000002</v>
      </c>
      <c r="R5" s="3030"/>
      <c r="S5" s="2981"/>
      <c r="T5" s="2976"/>
    </row>
    <row r="6" spans="1:20">
      <c r="A6" s="3004">
        <v>3</v>
      </c>
      <c r="B6" s="3005" t="s">
        <v>3067</v>
      </c>
      <c r="C6" s="2969">
        <v>1</v>
      </c>
      <c r="D6" s="2970" t="s">
        <v>3068</v>
      </c>
      <c r="E6" s="2971">
        <v>42700</v>
      </c>
      <c r="F6" s="2972">
        <v>43794</v>
      </c>
      <c r="G6" s="3006">
        <f>629.28-200</f>
        <v>429.28</v>
      </c>
      <c r="H6" s="2969">
        <v>4.7</v>
      </c>
      <c r="I6" s="3007">
        <f t="shared" si="0"/>
        <v>61369.153333333328</v>
      </c>
      <c r="J6" s="3006">
        <f>G6*H6*365</f>
        <v>736429.84</v>
      </c>
      <c r="K6" s="2981"/>
      <c r="L6" s="2981">
        <v>2020</v>
      </c>
      <c r="M6" s="2981">
        <f>G10+G16+G18+G20+G21+G22+G25+G33+G35+G34+G36+G38+G46+G50+G51</f>
        <v>3832.69</v>
      </c>
      <c r="N6" s="2981">
        <f>ROUND(J10+J16+J18+J20+J21+J22+J25+J33+J35+J34+J36+J38+J46+J50+J51,2)</f>
        <v>6319183.6799999997</v>
      </c>
      <c r="O6" s="2981">
        <f>N6</f>
        <v>6319183.6799999997</v>
      </c>
      <c r="P6" s="2981">
        <f>P13*M6*365</f>
        <v>8603430.8775000013</v>
      </c>
      <c r="Q6" s="2981">
        <f t="shared" ref="Q6" si="1">ROUND($Q$13*M6*($Q$4-$P$4),2)</f>
        <v>3669187.44</v>
      </c>
      <c r="R6" s="2981"/>
      <c r="S6" s="2981"/>
      <c r="T6" s="2975"/>
    </row>
    <row r="7" spans="1:20">
      <c r="A7" s="3004">
        <v>4</v>
      </c>
      <c r="B7" s="3008" t="s">
        <v>3192</v>
      </c>
      <c r="C7" s="2969">
        <v>2</v>
      </c>
      <c r="D7" s="2970" t="s">
        <v>3069</v>
      </c>
      <c r="E7" s="2971">
        <v>42923</v>
      </c>
      <c r="F7" s="2972">
        <v>43652</v>
      </c>
      <c r="G7" s="3006">
        <v>332</v>
      </c>
      <c r="H7" s="2969">
        <v>4.3</v>
      </c>
      <c r="I7" s="3007">
        <f t="shared" si="0"/>
        <v>43422.833333333328</v>
      </c>
      <c r="J7" s="3006">
        <f>G7*H7*365</f>
        <v>521073.99999999994</v>
      </c>
      <c r="K7" s="2981"/>
      <c r="L7" s="2981">
        <v>2021</v>
      </c>
      <c r="M7" s="2981">
        <f>G9+G12+G17+G24+G27+G31+G37+G42+G47</f>
        <v>6161.0099999999993</v>
      </c>
      <c r="N7" s="2981">
        <f>ROUND(J9+J12+J17+J24+J27+J31+J37+J42+J47,2)</f>
        <v>11077186.08</v>
      </c>
      <c r="O7" s="2981">
        <f>N7</f>
        <v>11077186.08</v>
      </c>
      <c r="P7" s="2981">
        <f>N7</f>
        <v>11077186.08</v>
      </c>
      <c r="Q7" s="2981">
        <f>ROUND($Q$13*M7*($Q$4-$P$4),2)</f>
        <v>5898181.3099999996</v>
      </c>
      <c r="R7" s="2981"/>
      <c r="S7" s="2981"/>
      <c r="T7" s="2975"/>
    </row>
    <row r="8" spans="1:20">
      <c r="A8" s="3004">
        <v>5</v>
      </c>
      <c r="B8" s="3008" t="s">
        <v>3070</v>
      </c>
      <c r="C8" s="2969">
        <v>2</v>
      </c>
      <c r="D8" s="2970">
        <v>204</v>
      </c>
      <c r="E8" s="2971">
        <v>43005</v>
      </c>
      <c r="F8" s="2972">
        <v>44100</v>
      </c>
      <c r="G8" s="3006">
        <v>306</v>
      </c>
      <c r="H8" s="2969">
        <v>4.3</v>
      </c>
      <c r="I8" s="3007">
        <f t="shared" si="0"/>
        <v>40022.25</v>
      </c>
      <c r="J8" s="3006">
        <f t="shared" ref="J8:J31" si="2">G8*H8*365</f>
        <v>480267</v>
      </c>
      <c r="K8" s="2981"/>
      <c r="L8" s="2981">
        <v>2022</v>
      </c>
      <c r="M8" s="2981">
        <f>G11+G32+G40+G45+G48+G52</f>
        <v>2741.55</v>
      </c>
      <c r="N8" s="2981">
        <f>ROUND(J11+J32+J40+J45+J48+J52,2)</f>
        <v>5960100.7000000002</v>
      </c>
      <c r="O8" s="2981">
        <f>N8</f>
        <v>5960100.7000000002</v>
      </c>
      <c r="P8" s="2981">
        <f>N8</f>
        <v>5960100.7000000002</v>
      </c>
      <c r="Q8" s="2981">
        <f>ROUND(($Q$4-$P$4)/365*P8,2)</f>
        <v>2465685.5</v>
      </c>
      <c r="R8" s="2981"/>
      <c r="S8" s="2981"/>
      <c r="T8" s="2975"/>
    </row>
    <row r="9" spans="1:20">
      <c r="A9" s="2998">
        <v>6</v>
      </c>
      <c r="B9" s="3009" t="s">
        <v>3071</v>
      </c>
      <c r="C9" s="2977">
        <v>3</v>
      </c>
      <c r="D9" s="2978" t="s">
        <v>3072</v>
      </c>
      <c r="E9" s="2979">
        <v>43105</v>
      </c>
      <c r="F9" s="2980">
        <v>44216</v>
      </c>
      <c r="G9" s="3010">
        <v>535.33000000000004</v>
      </c>
      <c r="H9" s="2977">
        <v>4.5</v>
      </c>
      <c r="I9" s="3011">
        <f t="shared" si="0"/>
        <v>73273.293749999997</v>
      </c>
      <c r="J9" s="3010">
        <f t="shared" si="2"/>
        <v>879279.52500000002</v>
      </c>
      <c r="K9" s="3003"/>
      <c r="L9" s="2981" t="s">
        <v>3207</v>
      </c>
      <c r="M9" s="2981">
        <f>G13+G14+G29+G30+G41+G43+G44</f>
        <v>1406.74</v>
      </c>
      <c r="N9" s="2981">
        <f>ROUND($M$9*N13*365*(1-$O$14),2)</f>
        <v>2829165.15</v>
      </c>
      <c r="O9" s="2981">
        <f t="shared" ref="O9:P9" si="3">ROUND($M$9*O13*365*(1-$O$14),2)</f>
        <v>2912088.96</v>
      </c>
      <c r="P9" s="2981">
        <f t="shared" si="3"/>
        <v>2999890.63</v>
      </c>
      <c r="Q9" s="2981">
        <f>ROUND($Q$13*M9*($Q$4-$P$4)*(1-O14),2)</f>
        <v>1279392.05</v>
      </c>
      <c r="R9" s="2981"/>
      <c r="S9" s="3003"/>
      <c r="T9" s="2981"/>
    </row>
    <row r="10" spans="1:20">
      <c r="A10" s="2998">
        <v>7</v>
      </c>
      <c r="B10" s="2997" t="s">
        <v>3073</v>
      </c>
      <c r="C10" s="2977">
        <v>3</v>
      </c>
      <c r="D10" s="2978" t="s">
        <v>3074</v>
      </c>
      <c r="E10" s="2979">
        <v>42795</v>
      </c>
      <c r="F10" s="2980">
        <v>43890</v>
      </c>
      <c r="G10" s="3010">
        <v>597.98</v>
      </c>
      <c r="H10" s="2977">
        <v>4.5</v>
      </c>
      <c r="I10" s="3011">
        <f t="shared" si="0"/>
        <v>81848.512499999997</v>
      </c>
      <c r="J10" s="3010">
        <f t="shared" si="2"/>
        <v>982182.14999999991</v>
      </c>
      <c r="K10" s="2981"/>
      <c r="L10" s="2981" t="s">
        <v>3075</v>
      </c>
      <c r="M10" s="2981">
        <f>SUM(M5:M9)</f>
        <v>16835.04</v>
      </c>
      <c r="N10" s="2981">
        <f>SUM(N5:N8)</f>
        <v>28315039.359999999</v>
      </c>
      <c r="O10" s="2981">
        <f t="shared" ref="O10:P10" si="4">SUM(O5:O9)</f>
        <v>32136850.022499997</v>
      </c>
      <c r="P10" s="2981">
        <f t="shared" si="4"/>
        <v>34685832.274999999</v>
      </c>
      <c r="Q10" s="2981">
        <f>SUM(Q5:Q9)</f>
        <v>15890610.789999999</v>
      </c>
      <c r="R10" s="2981"/>
      <c r="S10" s="2981"/>
      <c r="T10" s="2975"/>
    </row>
    <row r="11" spans="1:20">
      <c r="A11" s="2998">
        <v>8</v>
      </c>
      <c r="B11" s="3009" t="s">
        <v>3076</v>
      </c>
      <c r="C11" s="2977" t="s">
        <v>3077</v>
      </c>
      <c r="D11" s="2978" t="s">
        <v>3078</v>
      </c>
      <c r="E11" s="2979">
        <v>42887</v>
      </c>
      <c r="F11" s="2980">
        <v>44712</v>
      </c>
      <c r="G11" s="3010">
        <v>467.67</v>
      </c>
      <c r="H11" s="2977">
        <v>4.4000000000000004</v>
      </c>
      <c r="I11" s="3011">
        <f t="shared" si="0"/>
        <v>62589.834999999999</v>
      </c>
      <c r="J11" s="3010">
        <f t="shared" si="2"/>
        <v>751078.02</v>
      </c>
      <c r="K11" s="2981"/>
      <c r="L11" s="2981" t="s">
        <v>3079</v>
      </c>
      <c r="M11" s="2981">
        <f>ROUND(SUM(N10:Q10)/M10/365/M15,2)</f>
        <v>5.75</v>
      </c>
      <c r="N11" s="2981"/>
      <c r="O11" s="2981"/>
      <c r="P11" s="2981"/>
      <c r="Q11" s="2981"/>
      <c r="R11" s="2981"/>
      <c r="S11" s="2981"/>
      <c r="T11" s="2975"/>
    </row>
    <row r="12" spans="1:20">
      <c r="A12" s="2998">
        <v>9</v>
      </c>
      <c r="B12" s="3009" t="s">
        <v>3193</v>
      </c>
      <c r="C12" s="2977">
        <v>5</v>
      </c>
      <c r="D12" s="2978">
        <v>502</v>
      </c>
      <c r="E12" s="2979">
        <v>43532</v>
      </c>
      <c r="F12" s="2980">
        <v>44262</v>
      </c>
      <c r="G12" s="3010">
        <v>164.51</v>
      </c>
      <c r="H12" s="2977">
        <v>4.5999999999999996</v>
      </c>
      <c r="I12" s="3011">
        <f>J12/12</f>
        <v>23017.69083333333</v>
      </c>
      <c r="J12" s="3010">
        <f>G12*H12*365</f>
        <v>276212.28999999998</v>
      </c>
      <c r="K12" s="2981"/>
      <c r="L12" s="2981" t="s">
        <v>3080</v>
      </c>
      <c r="M12" s="2981">
        <f>ROUND(M13*(1+M14)^M15,2)</f>
        <v>6.36</v>
      </c>
      <c r="N12" s="2981"/>
      <c r="O12" s="2981"/>
      <c r="P12" s="2981"/>
      <c r="Q12" s="2981"/>
      <c r="R12" s="2981"/>
      <c r="S12" s="2981"/>
      <c r="T12" s="2975"/>
    </row>
    <row r="13" spans="1:20">
      <c r="A13" s="2998">
        <v>10</v>
      </c>
      <c r="B13" s="3012" t="s">
        <v>3081</v>
      </c>
      <c r="C13" s="2991">
        <v>5</v>
      </c>
      <c r="D13" s="2995">
        <v>503</v>
      </c>
      <c r="E13" s="2993"/>
      <c r="F13" s="2994"/>
      <c r="G13" s="3013">
        <v>243.99</v>
      </c>
      <c r="H13" s="2991"/>
      <c r="I13" s="3014">
        <f t="shared" si="0"/>
        <v>0</v>
      </c>
      <c r="J13" s="3013">
        <f>G13*H13*365</f>
        <v>0</v>
      </c>
      <c r="K13" s="2981"/>
      <c r="L13" s="2981" t="s">
        <v>3082</v>
      </c>
      <c r="M13" s="3036">
        <v>5.8</v>
      </c>
      <c r="N13" s="2981">
        <f>M13</f>
        <v>5.8</v>
      </c>
      <c r="O13" s="2981">
        <f>ROUND(N13*(1+M14),2)</f>
        <v>5.97</v>
      </c>
      <c r="P13" s="2981">
        <f>ROUND(N13*(1+M14)^2,2)</f>
        <v>6.15</v>
      </c>
      <c r="Q13" s="2981">
        <f>ROUND(N13*(1+M14)^3,2)</f>
        <v>6.34</v>
      </c>
      <c r="R13" s="2981"/>
      <c r="S13" s="2981"/>
      <c r="T13" s="2975"/>
    </row>
    <row r="14" spans="1:20">
      <c r="A14" s="2998">
        <v>11</v>
      </c>
      <c r="B14" s="3012" t="s">
        <v>3194</v>
      </c>
      <c r="C14" s="2991">
        <v>5</v>
      </c>
      <c r="D14" s="2995">
        <v>504</v>
      </c>
      <c r="E14" s="2993"/>
      <c r="F14" s="2994"/>
      <c r="G14" s="3013">
        <v>98.35</v>
      </c>
      <c r="H14" s="2991"/>
      <c r="I14" s="3014">
        <f t="shared" si="0"/>
        <v>0</v>
      </c>
      <c r="J14" s="3013">
        <f>G14*H14*365</f>
        <v>0</v>
      </c>
      <c r="K14" s="2981"/>
      <c r="L14" s="2981" t="s">
        <v>3083</v>
      </c>
      <c r="M14" s="3031">
        <v>0.03</v>
      </c>
      <c r="N14" s="2981" t="s">
        <v>3215</v>
      </c>
      <c r="O14" s="3368">
        <v>0.05</v>
      </c>
      <c r="P14" s="2981"/>
      <c r="Q14" s="2981"/>
      <c r="R14" s="2981"/>
      <c r="S14" s="2981"/>
      <c r="T14" s="2975"/>
    </row>
    <row r="15" spans="1:20">
      <c r="A15" s="2998">
        <v>12</v>
      </c>
      <c r="B15" s="3009" t="s">
        <v>3084</v>
      </c>
      <c r="C15" s="2977">
        <v>5</v>
      </c>
      <c r="D15" s="2978">
        <v>505</v>
      </c>
      <c r="E15" s="2979">
        <v>43227</v>
      </c>
      <c r="F15" s="2980">
        <v>43591</v>
      </c>
      <c r="G15" s="3010">
        <v>99.96</v>
      </c>
      <c r="H15" s="2977">
        <v>1.973393</v>
      </c>
      <c r="I15" s="3011">
        <f t="shared" si="0"/>
        <v>6000.0002468499988</v>
      </c>
      <c r="J15" s="3010">
        <f>G15*H15*365-0.03</f>
        <v>72000.002962199986</v>
      </c>
      <c r="K15" s="2981"/>
      <c r="L15" s="2981" t="s">
        <v>3085</v>
      </c>
      <c r="M15" s="2981">
        <f>ROUND((Q4-K1)/365,2)</f>
        <v>3.14</v>
      </c>
      <c r="N15" s="2981"/>
      <c r="O15" s="2981"/>
      <c r="P15" s="2981"/>
      <c r="Q15" s="2981"/>
      <c r="R15" s="2981"/>
      <c r="S15" s="2981"/>
      <c r="T15" s="2973"/>
    </row>
    <row r="16" spans="1:20">
      <c r="A16" s="2998">
        <v>13</v>
      </c>
      <c r="B16" s="3009" t="s">
        <v>3086</v>
      </c>
      <c r="C16" s="2977">
        <v>5</v>
      </c>
      <c r="D16" s="2978">
        <v>506</v>
      </c>
      <c r="E16" s="2979">
        <v>43221</v>
      </c>
      <c r="F16" s="2980">
        <v>43951</v>
      </c>
      <c r="G16" s="3010">
        <v>105.45</v>
      </c>
      <c r="H16" s="2977">
        <v>4.5</v>
      </c>
      <c r="I16" s="3011">
        <f t="shared" si="0"/>
        <v>14433.46875</v>
      </c>
      <c r="J16" s="3010">
        <f t="shared" si="2"/>
        <v>173201.625</v>
      </c>
      <c r="K16" s="2981" t="s">
        <v>3087</v>
      </c>
      <c r="L16" s="2999" t="s">
        <v>3063</v>
      </c>
      <c r="M16" s="2999" t="s">
        <v>3064</v>
      </c>
      <c r="N16" s="2973">
        <v>43830</v>
      </c>
      <c r="O16" s="2973">
        <v>44196</v>
      </c>
      <c r="P16" s="2973">
        <v>44561</v>
      </c>
      <c r="Q16" s="2973">
        <v>44926</v>
      </c>
      <c r="R16" s="2973">
        <v>45291</v>
      </c>
      <c r="S16" s="2973">
        <v>45473</v>
      </c>
      <c r="T16" s="2975"/>
    </row>
    <row r="17" spans="1:20">
      <c r="A17" s="2998">
        <v>14</v>
      </c>
      <c r="B17" s="3009" t="s">
        <v>3088</v>
      </c>
      <c r="C17" s="2977">
        <v>5</v>
      </c>
      <c r="D17" s="2978">
        <v>507</v>
      </c>
      <c r="E17" s="2979">
        <v>43222</v>
      </c>
      <c r="F17" s="2980">
        <v>44317</v>
      </c>
      <c r="G17" s="3010">
        <v>174.58</v>
      </c>
      <c r="H17" s="2977">
        <v>4.5999999999999996</v>
      </c>
      <c r="I17" s="3011">
        <f t="shared" si="0"/>
        <v>24426.651666666668</v>
      </c>
      <c r="J17" s="3010">
        <f>G17*H17*365</f>
        <v>293119.82</v>
      </c>
      <c r="K17" s="2981"/>
      <c r="L17" s="2981">
        <v>2019</v>
      </c>
      <c r="M17" s="2981">
        <f>G6+G7</f>
        <v>761.28</v>
      </c>
      <c r="N17" s="2981">
        <f>J6+J7</f>
        <v>1257503.8399999999</v>
      </c>
      <c r="O17" s="2981">
        <f>O24*$M$17*365</f>
        <v>1775571.4079999998</v>
      </c>
      <c r="P17" s="2981">
        <f>$P$24*M17*365</f>
        <v>1828366.176</v>
      </c>
      <c r="Q17" s="2981">
        <f>$Q$24*M17*365</f>
        <v>1881160.9439999997</v>
      </c>
      <c r="R17" s="2981">
        <f>$R$24*M17*365</f>
        <v>1939513.0560000001</v>
      </c>
      <c r="S17" s="2981">
        <f>ROUND($S$24*M17*($S$16-$R$16),2)</f>
        <v>996195.78</v>
      </c>
      <c r="T17" s="2975"/>
    </row>
    <row r="18" spans="1:20">
      <c r="A18" s="2998">
        <v>15</v>
      </c>
      <c r="B18" s="3009" t="s">
        <v>3089</v>
      </c>
      <c r="C18" s="2977">
        <v>5</v>
      </c>
      <c r="D18" s="2978">
        <v>508</v>
      </c>
      <c r="E18" s="2979">
        <v>43270</v>
      </c>
      <c r="F18" s="2979">
        <v>44000</v>
      </c>
      <c r="G18" s="3010">
        <v>99.96</v>
      </c>
      <c r="H18" s="2977">
        <v>4.8</v>
      </c>
      <c r="I18" s="3011">
        <f t="shared" si="0"/>
        <v>14594.159999999998</v>
      </c>
      <c r="J18" s="3010">
        <f t="shared" si="2"/>
        <v>175129.91999999998</v>
      </c>
      <c r="L18" s="2981">
        <v>2020</v>
      </c>
      <c r="M18" s="2981">
        <f>G8</f>
        <v>306</v>
      </c>
      <c r="N18" s="2981">
        <f>J8</f>
        <v>480267</v>
      </c>
      <c r="O18" s="2981">
        <f>N18</f>
        <v>480267</v>
      </c>
      <c r="P18" s="2981">
        <f>$P$24*M18*365</f>
        <v>734920.2</v>
      </c>
      <c r="Q18" s="2981">
        <f>$Q$24*M18*365</f>
        <v>756141.29999999993</v>
      </c>
      <c r="R18" s="2981">
        <f>$R$24*M18*365</f>
        <v>779596.20000000007</v>
      </c>
      <c r="S18" s="2981">
        <f t="shared" ref="S18:S20" si="5">ROUND($S$24*M18*($S$16-$R$16),2)</f>
        <v>400425.48</v>
      </c>
      <c r="T18" s="2975"/>
    </row>
    <row r="19" spans="1:20">
      <c r="A19" s="2998">
        <v>16</v>
      </c>
      <c r="B19" s="3015" t="s">
        <v>3090</v>
      </c>
      <c r="C19" s="2977">
        <v>5</v>
      </c>
      <c r="D19" s="2978">
        <v>509</v>
      </c>
      <c r="E19" s="2979">
        <v>42988</v>
      </c>
      <c r="F19" s="2979">
        <v>43717</v>
      </c>
      <c r="G19" s="3010">
        <v>57.6</v>
      </c>
      <c r="H19" s="2977">
        <v>4.3</v>
      </c>
      <c r="I19" s="3011">
        <f t="shared" si="0"/>
        <v>7533.5999999999995</v>
      </c>
      <c r="J19" s="3010">
        <f t="shared" si="2"/>
        <v>90403.199999999997</v>
      </c>
      <c r="K19" s="2981"/>
      <c r="L19" s="2981">
        <v>2022</v>
      </c>
      <c r="M19" s="2981">
        <f>G4</f>
        <v>2250</v>
      </c>
      <c r="N19" s="2981">
        <f>J4</f>
        <v>4516875</v>
      </c>
      <c r="O19" s="2981">
        <f>N19</f>
        <v>4516875</v>
      </c>
      <c r="P19" s="2981">
        <f>N19</f>
        <v>4516875</v>
      </c>
      <c r="Q19" s="2981">
        <f>N19</f>
        <v>4516875</v>
      </c>
      <c r="R19" s="2981">
        <f>$R$24*M19*365</f>
        <v>5732325.0000000009</v>
      </c>
      <c r="S19" s="2981">
        <f t="shared" si="5"/>
        <v>2944305</v>
      </c>
      <c r="T19" s="2975"/>
    </row>
    <row r="20" spans="1:20">
      <c r="A20" s="2998">
        <v>17</v>
      </c>
      <c r="B20" s="3015" t="s">
        <v>3091</v>
      </c>
      <c r="C20" s="2977">
        <v>6</v>
      </c>
      <c r="D20" s="2978" t="s">
        <v>3092</v>
      </c>
      <c r="E20" s="2979">
        <v>42755</v>
      </c>
      <c r="F20" s="2980">
        <v>43849</v>
      </c>
      <c r="G20" s="3010">
        <v>411.9</v>
      </c>
      <c r="H20" s="2977">
        <v>3.5</v>
      </c>
      <c r="I20" s="3011">
        <f t="shared" si="0"/>
        <v>43850.1875</v>
      </c>
      <c r="J20" s="3010">
        <f t="shared" si="2"/>
        <v>526202.25</v>
      </c>
      <c r="K20" s="2981"/>
      <c r="L20" s="2981">
        <v>2024</v>
      </c>
      <c r="M20" s="2981">
        <f>G5+G53</f>
        <v>3931.98</v>
      </c>
      <c r="N20" s="2981">
        <f>J5+J53</f>
        <v>7385949.8499999996</v>
      </c>
      <c r="O20" s="2981">
        <f>N20</f>
        <v>7385949.8499999996</v>
      </c>
      <c r="P20" s="2981">
        <f t="shared" ref="P20:Q20" si="6">O20</f>
        <v>7385949.8499999996</v>
      </c>
      <c r="Q20" s="2981">
        <f t="shared" si="6"/>
        <v>7385949.8499999996</v>
      </c>
      <c r="R20" s="2981">
        <f>Q20</f>
        <v>7385949.8499999996</v>
      </c>
      <c r="S20" s="2981">
        <f t="shared" si="5"/>
        <v>5145310.3899999997</v>
      </c>
      <c r="T20" s="2975"/>
    </row>
    <row r="21" spans="1:20">
      <c r="A21" s="2998">
        <v>18</v>
      </c>
      <c r="B21" s="3009" t="s">
        <v>3094</v>
      </c>
      <c r="C21" s="2977">
        <v>6</v>
      </c>
      <c r="D21" s="2978">
        <v>603</v>
      </c>
      <c r="E21" s="2979">
        <v>43497</v>
      </c>
      <c r="F21" s="2980">
        <v>44179</v>
      </c>
      <c r="G21" s="3010">
        <v>243.99</v>
      </c>
      <c r="H21" s="2977">
        <v>4.7</v>
      </c>
      <c r="I21" s="3011">
        <f t="shared" si="0"/>
        <v>34880.403750000005</v>
      </c>
      <c r="J21" s="3010">
        <f>G21*H21*365</f>
        <v>418564.84500000003</v>
      </c>
      <c r="K21" s="2981"/>
      <c r="L21" s="2981" t="s">
        <v>3093</v>
      </c>
      <c r="M21" s="2981">
        <f t="shared" ref="M21:S21" si="7">SUM(M17:M20)</f>
        <v>7249.26</v>
      </c>
      <c r="N21" s="2981">
        <f t="shared" si="7"/>
        <v>13640595.689999999</v>
      </c>
      <c r="O21" s="2981">
        <f t="shared" si="7"/>
        <v>14158663.257999999</v>
      </c>
      <c r="P21" s="2981">
        <f t="shared" si="7"/>
        <v>14466111.226</v>
      </c>
      <c r="Q21" s="2981">
        <f t="shared" si="7"/>
        <v>14540127.093999999</v>
      </c>
      <c r="R21" s="2981">
        <f t="shared" si="7"/>
        <v>15837384.106000001</v>
      </c>
      <c r="S21" s="2981">
        <f t="shared" si="7"/>
        <v>9486236.6499999985</v>
      </c>
      <c r="T21" s="2975"/>
    </row>
    <row r="22" spans="1:20">
      <c r="A22" s="2998">
        <v>19</v>
      </c>
      <c r="B22" s="3009" t="s">
        <v>3094</v>
      </c>
      <c r="C22" s="2977">
        <v>6</v>
      </c>
      <c r="D22" s="2978" t="s">
        <v>3095</v>
      </c>
      <c r="E22" s="2979">
        <v>43497</v>
      </c>
      <c r="F22" s="2980">
        <v>44179</v>
      </c>
      <c r="G22" s="3010">
        <v>195.58</v>
      </c>
      <c r="H22" s="2977">
        <v>4.7</v>
      </c>
      <c r="I22" s="3011">
        <f t="shared" si="0"/>
        <v>27959.790833333336</v>
      </c>
      <c r="J22" s="3010">
        <f t="shared" si="2"/>
        <v>335517.49000000005</v>
      </c>
      <c r="K22" s="2981"/>
      <c r="L22" s="2981" t="s">
        <v>3079</v>
      </c>
      <c r="M22" s="2981">
        <f>ROUND(SUM(N21:S21)/M21/365/M26,2)</f>
        <v>5.95</v>
      </c>
      <c r="N22" s="2981"/>
      <c r="O22" s="2981"/>
      <c r="P22" s="2981"/>
      <c r="Q22" s="2981"/>
      <c r="R22" s="2981"/>
      <c r="S22" s="2981"/>
      <c r="T22" s="2975"/>
    </row>
    <row r="23" spans="1:20">
      <c r="A23" s="2998">
        <v>20</v>
      </c>
      <c r="B23" s="3009" t="s">
        <v>3096</v>
      </c>
      <c r="C23" s="2977">
        <v>6</v>
      </c>
      <c r="D23" s="2978">
        <v>606</v>
      </c>
      <c r="E23" s="2979">
        <v>42917</v>
      </c>
      <c r="F23" s="2980">
        <v>43646</v>
      </c>
      <c r="G23" s="3010">
        <v>105.45</v>
      </c>
      <c r="H23" s="2977">
        <v>4.4000000000000004</v>
      </c>
      <c r="I23" s="3011">
        <f t="shared" si="0"/>
        <v>14112.725000000004</v>
      </c>
      <c r="J23" s="3010">
        <f t="shared" si="2"/>
        <v>169352.70000000004</v>
      </c>
      <c r="K23" s="2981"/>
      <c r="L23" s="2981" t="s">
        <v>3080</v>
      </c>
      <c r="M23" s="2981">
        <f>ROUND(M24*(1+M25)^M26,2)</f>
        <v>7.23</v>
      </c>
      <c r="N23" s="2981"/>
      <c r="O23" s="2981"/>
      <c r="P23" s="2981"/>
      <c r="Q23" s="2981"/>
      <c r="R23" s="2981"/>
      <c r="S23" s="2981"/>
      <c r="T23" s="2975"/>
    </row>
    <row r="24" spans="1:20">
      <c r="A24" s="2998">
        <v>21</v>
      </c>
      <c r="B24" s="3009" t="s">
        <v>3098</v>
      </c>
      <c r="C24" s="2977">
        <v>6</v>
      </c>
      <c r="D24" s="2978">
        <v>607</v>
      </c>
      <c r="E24" s="2979">
        <v>43121</v>
      </c>
      <c r="F24" s="2980">
        <v>44216</v>
      </c>
      <c r="G24" s="3010">
        <v>177.43</v>
      </c>
      <c r="H24" s="2977">
        <v>4.7</v>
      </c>
      <c r="I24" s="3011">
        <f t="shared" si="0"/>
        <v>25365.097083333338</v>
      </c>
      <c r="J24" s="3010">
        <f t="shared" si="2"/>
        <v>304381.16500000004</v>
      </c>
      <c r="K24" s="2981"/>
      <c r="L24" s="2981" t="s">
        <v>3097</v>
      </c>
      <c r="M24" s="3036">
        <v>6.2</v>
      </c>
      <c r="N24" s="2981">
        <f>M24</f>
        <v>6.2</v>
      </c>
      <c r="O24" s="2981">
        <f>ROUND(M24*(1+M25),2)</f>
        <v>6.39</v>
      </c>
      <c r="P24" s="2981">
        <f>ROUND(M24*(1+M25)^2,2)</f>
        <v>6.58</v>
      </c>
      <c r="Q24" s="2981">
        <f>ROUND(M24*(1+M25)^3,2)</f>
        <v>6.77</v>
      </c>
      <c r="R24" s="2981">
        <f>ROUND(M24*(1+M25)^4,2)</f>
        <v>6.98</v>
      </c>
      <c r="S24" s="2981">
        <f>ROUND(M24*(1+M25)^5,2)</f>
        <v>7.19</v>
      </c>
      <c r="T24" s="2975"/>
    </row>
    <row r="25" spans="1:20">
      <c r="A25" s="2998">
        <v>22</v>
      </c>
      <c r="B25" s="3009" t="s">
        <v>3100</v>
      </c>
      <c r="C25" s="2977">
        <v>6</v>
      </c>
      <c r="D25" s="2978">
        <v>608</v>
      </c>
      <c r="E25" s="2979">
        <v>43154</v>
      </c>
      <c r="F25" s="2980">
        <v>43883</v>
      </c>
      <c r="G25" s="3010">
        <v>98.35</v>
      </c>
      <c r="H25" s="2977">
        <v>4.8</v>
      </c>
      <c r="I25" s="3011">
        <f t="shared" si="0"/>
        <v>14359.099999999999</v>
      </c>
      <c r="J25" s="3010">
        <f t="shared" si="2"/>
        <v>172309.19999999998</v>
      </c>
      <c r="K25" s="2981"/>
      <c r="L25" s="2981" t="s">
        <v>3099</v>
      </c>
      <c r="M25" s="3031">
        <v>0.03</v>
      </c>
      <c r="N25" s="2981"/>
      <c r="O25" s="2981"/>
      <c r="P25" s="2981"/>
      <c r="Q25" s="2981"/>
      <c r="R25" s="2981"/>
      <c r="S25" s="2981"/>
      <c r="T25" s="2966"/>
    </row>
    <row r="26" spans="1:20">
      <c r="A26" s="2998">
        <v>23</v>
      </c>
      <c r="B26" s="3009" t="s">
        <v>3102</v>
      </c>
      <c r="C26" s="2977">
        <v>6</v>
      </c>
      <c r="D26" s="2978">
        <v>609</v>
      </c>
      <c r="E26" s="2979">
        <v>43442</v>
      </c>
      <c r="F26" s="2980">
        <v>43806</v>
      </c>
      <c r="G26" s="3010">
        <v>98.82</v>
      </c>
      <c r="H26" s="2977">
        <v>5</v>
      </c>
      <c r="I26" s="3011">
        <f t="shared" si="0"/>
        <v>15028.875</v>
      </c>
      <c r="J26" s="3010">
        <f t="shared" si="2"/>
        <v>180346.5</v>
      </c>
      <c r="K26" s="2981"/>
      <c r="L26" s="2981" t="s">
        <v>3101</v>
      </c>
      <c r="M26" s="2981">
        <f>ROUND((S16-K1)/365,2)</f>
        <v>5.22</v>
      </c>
      <c r="N26" s="2981"/>
      <c r="O26" s="2981"/>
      <c r="P26" s="2981"/>
      <c r="Q26" s="2981"/>
      <c r="R26" s="2981"/>
      <c r="S26" s="2981"/>
      <c r="T26" s="2966"/>
    </row>
    <row r="27" spans="1:20">
      <c r="A27" s="2998">
        <v>24</v>
      </c>
      <c r="B27" s="3009" t="s">
        <v>3108</v>
      </c>
      <c r="C27" s="2977">
        <v>7</v>
      </c>
      <c r="D27" s="2978" t="s">
        <v>3109</v>
      </c>
      <c r="E27" s="2979">
        <v>43202</v>
      </c>
      <c r="F27" s="2979">
        <v>44297</v>
      </c>
      <c r="G27" s="3010">
        <v>1512.36</v>
      </c>
      <c r="H27" s="2977">
        <v>4.4000000000000004</v>
      </c>
      <c r="I27" s="3011">
        <f t="shared" si="0"/>
        <v>202404.18000000002</v>
      </c>
      <c r="J27" s="3010">
        <f t="shared" si="2"/>
        <v>2428850.16</v>
      </c>
      <c r="K27" s="2981" t="s">
        <v>3103</v>
      </c>
      <c r="L27" s="2999" t="s">
        <v>3104</v>
      </c>
      <c r="M27" s="2999" t="s">
        <v>3105</v>
      </c>
      <c r="N27" s="2999" t="s">
        <v>3106</v>
      </c>
      <c r="O27" s="3016" t="s">
        <v>3107</v>
      </c>
      <c r="P27" s="2996"/>
      <c r="Q27" s="2996"/>
      <c r="R27" s="2996"/>
      <c r="S27" s="2996"/>
    </row>
    <row r="28" spans="1:20">
      <c r="A28" s="2998">
        <v>25</v>
      </c>
      <c r="B28" s="3009" t="s">
        <v>3111</v>
      </c>
      <c r="C28" s="2977">
        <v>8</v>
      </c>
      <c r="D28" s="2978" t="s">
        <v>3112</v>
      </c>
      <c r="E28" s="2979">
        <v>43313</v>
      </c>
      <c r="F28" s="2980">
        <v>43677</v>
      </c>
      <c r="G28" s="3010">
        <v>341.22</v>
      </c>
      <c r="H28" s="2977">
        <v>5</v>
      </c>
      <c r="I28" s="3011">
        <f t="shared" si="0"/>
        <v>51893.875</v>
      </c>
      <c r="J28" s="3010">
        <f t="shared" si="2"/>
        <v>622726.5</v>
      </c>
      <c r="K28" s="2996"/>
      <c r="L28" s="3017" t="s">
        <v>3110</v>
      </c>
      <c r="M28" s="2981">
        <v>107</v>
      </c>
      <c r="N28" s="2981">
        <v>500</v>
      </c>
      <c r="O28" s="2981">
        <f>N28*M28*12</f>
        <v>642000</v>
      </c>
      <c r="P28" s="2996"/>
      <c r="Q28" s="2996"/>
      <c r="R28" s="2996"/>
      <c r="S28" s="2996"/>
      <c r="T28" s="2966"/>
    </row>
    <row r="29" spans="1:20">
      <c r="A29" s="2998">
        <v>26</v>
      </c>
      <c r="B29" s="3012" t="s">
        <v>3195</v>
      </c>
      <c r="C29" s="2991">
        <v>8</v>
      </c>
      <c r="D29" s="2995">
        <v>802</v>
      </c>
      <c r="E29" s="2993"/>
      <c r="F29" s="2994"/>
      <c r="G29" s="3013">
        <v>167.19</v>
      </c>
      <c r="H29" s="2991"/>
      <c r="I29" s="3014">
        <f t="shared" si="0"/>
        <v>0</v>
      </c>
      <c r="J29" s="3013">
        <f t="shared" si="2"/>
        <v>0</v>
      </c>
      <c r="K29" s="2996"/>
      <c r="L29" s="2996"/>
      <c r="M29" s="2996"/>
      <c r="N29" s="2996"/>
      <c r="O29" s="2996"/>
      <c r="P29" s="2996"/>
      <c r="Q29" s="2996"/>
      <c r="R29" s="2996"/>
      <c r="S29" s="2996"/>
      <c r="T29" s="2966"/>
    </row>
    <row r="30" spans="1:20">
      <c r="A30" s="2998">
        <v>27</v>
      </c>
      <c r="B30" s="3012" t="s">
        <v>3195</v>
      </c>
      <c r="C30" s="2991">
        <v>8</v>
      </c>
      <c r="D30" s="2995">
        <v>803</v>
      </c>
      <c r="E30" s="2993"/>
      <c r="F30" s="2994"/>
      <c r="G30" s="3013">
        <v>243.99</v>
      </c>
      <c r="H30" s="2991"/>
      <c r="I30" s="3014">
        <f t="shared" si="0"/>
        <v>0</v>
      </c>
      <c r="J30" s="3013">
        <f t="shared" si="2"/>
        <v>0</v>
      </c>
      <c r="K30" s="2996"/>
      <c r="L30" s="2996"/>
      <c r="M30" s="2996"/>
      <c r="N30" s="2996"/>
      <c r="O30" s="2996"/>
      <c r="P30" s="2996"/>
      <c r="Q30" s="2996"/>
      <c r="R30" s="2996"/>
      <c r="S30" s="2996"/>
      <c r="T30" s="2966"/>
    </row>
    <row r="31" spans="1:20">
      <c r="A31" s="2998">
        <v>28</v>
      </c>
      <c r="B31" s="3018" t="s">
        <v>3113</v>
      </c>
      <c r="C31" s="2977">
        <v>8</v>
      </c>
      <c r="D31" s="2978">
        <v>804</v>
      </c>
      <c r="E31" s="2979">
        <v>43286</v>
      </c>
      <c r="F31" s="2980">
        <v>44381</v>
      </c>
      <c r="G31" s="3010">
        <v>97.23</v>
      </c>
      <c r="H31" s="2977">
        <v>4.5999999999999996</v>
      </c>
      <c r="I31" s="3011">
        <f t="shared" si="0"/>
        <v>13604.097499999998</v>
      </c>
      <c r="J31" s="3010">
        <f t="shared" si="2"/>
        <v>163249.16999999998</v>
      </c>
      <c r="K31" s="2996"/>
      <c r="L31" s="2996"/>
      <c r="M31" s="2996"/>
      <c r="N31" s="2996"/>
      <c r="O31" s="2996"/>
      <c r="P31" s="2996"/>
      <c r="Q31" s="2996"/>
      <c r="R31" s="2996"/>
      <c r="S31" s="2996"/>
      <c r="T31" s="2966"/>
    </row>
    <row r="32" spans="1:20">
      <c r="A32" s="2998">
        <v>29</v>
      </c>
      <c r="B32" s="3009" t="s">
        <v>3114</v>
      </c>
      <c r="C32" s="2977">
        <v>8</v>
      </c>
      <c r="D32" s="2978">
        <v>805</v>
      </c>
      <c r="E32" s="2979">
        <v>43617</v>
      </c>
      <c r="F32" s="2979">
        <v>44712</v>
      </c>
      <c r="G32" s="3010">
        <v>98.35</v>
      </c>
      <c r="H32" s="2977">
        <v>5.0999999999999996</v>
      </c>
      <c r="I32" s="3011">
        <f>J32/12</f>
        <v>15256.543749999997</v>
      </c>
      <c r="J32" s="3010">
        <f>G32*H32*365</f>
        <v>183078.52499999997</v>
      </c>
      <c r="K32" s="2996"/>
      <c r="L32" s="2996"/>
      <c r="M32" s="2996"/>
      <c r="N32" s="2996"/>
      <c r="O32" s="2996"/>
      <c r="P32" s="2996"/>
      <c r="Q32" s="2996"/>
      <c r="R32" s="2996"/>
      <c r="S32" s="2996"/>
      <c r="T32" s="2966"/>
    </row>
    <row r="33" spans="1:20">
      <c r="A33" s="2998">
        <v>30</v>
      </c>
      <c r="B33" s="3009" t="s">
        <v>3115</v>
      </c>
      <c r="C33" s="2977">
        <v>8</v>
      </c>
      <c r="D33" s="2978">
        <v>806</v>
      </c>
      <c r="E33" s="2979">
        <v>42795</v>
      </c>
      <c r="F33" s="2980">
        <v>43889</v>
      </c>
      <c r="G33" s="3010">
        <v>107.17</v>
      </c>
      <c r="H33" s="2977">
        <v>4.2</v>
      </c>
      <c r="I33" s="3011">
        <f t="shared" ref="I33:I47" si="8">J33/12</f>
        <v>13690.967500000001</v>
      </c>
      <c r="J33" s="3010">
        <f>G33*H33*365</f>
        <v>164291.61000000002</v>
      </c>
      <c r="K33" s="2996"/>
      <c r="L33" s="2996"/>
      <c r="M33" s="2996"/>
      <c r="N33" s="2996"/>
      <c r="O33" s="2996"/>
      <c r="P33" s="2996"/>
      <c r="Q33" s="2996"/>
      <c r="R33" s="2996"/>
      <c r="S33" s="2996"/>
      <c r="T33" s="2966"/>
    </row>
    <row r="34" spans="1:20">
      <c r="A34" s="2998">
        <v>31</v>
      </c>
      <c r="B34" s="3009" t="s">
        <v>3116</v>
      </c>
      <c r="C34" s="2977">
        <v>8</v>
      </c>
      <c r="D34" s="2978">
        <v>807</v>
      </c>
      <c r="E34" s="2979">
        <v>43328</v>
      </c>
      <c r="F34" s="2980">
        <v>44058</v>
      </c>
      <c r="G34" s="3010">
        <v>174.58</v>
      </c>
      <c r="H34" s="2977">
        <v>4.5</v>
      </c>
      <c r="I34" s="3011">
        <f t="shared" si="8"/>
        <v>23895.637500000001</v>
      </c>
      <c r="J34" s="3010">
        <f>G34*H34*365</f>
        <v>286747.65000000002</v>
      </c>
      <c r="K34" s="2996"/>
      <c r="L34" s="2996"/>
      <c r="M34" s="2996"/>
      <c r="N34" s="2996"/>
      <c r="O34" s="2996"/>
      <c r="P34" s="2996"/>
      <c r="Q34" s="2996"/>
      <c r="R34" s="2996"/>
      <c r="S34" s="2996"/>
      <c r="T34" s="2966"/>
    </row>
    <row r="35" spans="1:20">
      <c r="A35" s="2998">
        <v>32</v>
      </c>
      <c r="B35" s="3009" t="s">
        <v>3117</v>
      </c>
      <c r="C35" s="2977">
        <v>8</v>
      </c>
      <c r="D35" s="2978">
        <v>808</v>
      </c>
      <c r="E35" s="2979">
        <v>42948</v>
      </c>
      <c r="F35" s="2980">
        <v>44043</v>
      </c>
      <c r="G35" s="3010">
        <v>97.23</v>
      </c>
      <c r="H35" s="2977">
        <v>4.5</v>
      </c>
      <c r="I35" s="3011">
        <f t="shared" si="8"/>
        <v>13308.356250000003</v>
      </c>
      <c r="J35" s="3010">
        <f>G35*H35*365</f>
        <v>159700.27500000002</v>
      </c>
      <c r="K35" s="2996"/>
      <c r="L35" s="2996"/>
      <c r="M35" s="2996"/>
      <c r="N35" s="2996"/>
      <c r="O35" s="2996"/>
      <c r="P35" s="2996"/>
      <c r="Q35" s="2996"/>
      <c r="R35" s="2996"/>
      <c r="S35" s="2996"/>
      <c r="T35" s="2966"/>
    </row>
    <row r="36" spans="1:20">
      <c r="A36" s="2998">
        <v>33</v>
      </c>
      <c r="B36" s="3009" t="s">
        <v>3118</v>
      </c>
      <c r="C36" s="2977">
        <v>9</v>
      </c>
      <c r="D36" s="2978" t="s">
        <v>3119</v>
      </c>
      <c r="E36" s="2979">
        <v>43101</v>
      </c>
      <c r="F36" s="2980">
        <v>43921</v>
      </c>
      <c r="G36" s="3010">
        <v>558.35</v>
      </c>
      <c r="H36" s="2977">
        <v>4.7</v>
      </c>
      <c r="I36" s="3011">
        <f t="shared" si="8"/>
        <v>79820.78541666668</v>
      </c>
      <c r="J36" s="3010">
        <f>G36*H36*365</f>
        <v>957849.42500000016</v>
      </c>
      <c r="K36" s="2996"/>
      <c r="L36" s="2996"/>
      <c r="M36" s="2996"/>
      <c r="N36" s="2996"/>
      <c r="O36" s="2996"/>
      <c r="P36" s="2996"/>
      <c r="Q36" s="2996"/>
      <c r="R36" s="2996"/>
      <c r="S36" s="2996"/>
      <c r="T36" s="2966"/>
    </row>
    <row r="37" spans="1:20">
      <c r="A37" s="2998">
        <v>34</v>
      </c>
      <c r="B37" s="3009" t="s">
        <v>3120</v>
      </c>
      <c r="C37" s="2977">
        <v>9</v>
      </c>
      <c r="D37" s="2978" t="s">
        <v>3121</v>
      </c>
      <c r="E37" s="2979">
        <v>43237</v>
      </c>
      <c r="F37" s="2980">
        <v>44332</v>
      </c>
      <c r="G37" s="3010">
        <v>634.99</v>
      </c>
      <c r="H37" s="2977">
        <v>4.5</v>
      </c>
      <c r="I37" s="3011">
        <f t="shared" si="8"/>
        <v>86914.256249999991</v>
      </c>
      <c r="J37" s="3010">
        <f t="shared" ref="J37:J38" si="9">G37*H37*365</f>
        <v>1042971.075</v>
      </c>
      <c r="K37" s="2996"/>
      <c r="L37" s="2996"/>
      <c r="M37" s="2996"/>
      <c r="N37" s="2996"/>
      <c r="O37" s="2996"/>
      <c r="P37" s="2996"/>
      <c r="Q37" s="2996"/>
      <c r="R37" s="2996"/>
      <c r="S37" s="2996"/>
      <c r="T37" s="2966"/>
    </row>
    <row r="38" spans="1:20">
      <c r="A38" s="2998">
        <v>35</v>
      </c>
      <c r="B38" s="3009" t="s">
        <v>3122</v>
      </c>
      <c r="C38" s="2977">
        <v>9</v>
      </c>
      <c r="D38" s="2978">
        <v>907</v>
      </c>
      <c r="E38" s="2979">
        <v>43184</v>
      </c>
      <c r="F38" s="2980">
        <v>43914</v>
      </c>
      <c r="G38" s="3010">
        <v>174.58</v>
      </c>
      <c r="H38" s="2977">
        <v>4.7</v>
      </c>
      <c r="I38" s="3011">
        <f t="shared" si="8"/>
        <v>24957.665833333336</v>
      </c>
      <c r="J38" s="3010">
        <f t="shared" si="9"/>
        <v>299491.99000000005</v>
      </c>
      <c r="K38" s="2996"/>
      <c r="L38" s="2996"/>
      <c r="M38" s="2996"/>
      <c r="N38" s="2996"/>
      <c r="O38" s="2996"/>
      <c r="P38" s="2996"/>
      <c r="Q38" s="2996"/>
      <c r="R38" s="2996"/>
      <c r="S38" s="2996"/>
      <c r="T38" s="2966"/>
    </row>
    <row r="39" spans="1:20">
      <c r="A39" s="2998">
        <v>36</v>
      </c>
      <c r="B39" s="3009" t="s">
        <v>3123</v>
      </c>
      <c r="C39" s="2977">
        <v>10</v>
      </c>
      <c r="D39" s="2978" t="s">
        <v>3124</v>
      </c>
      <c r="E39" s="2979">
        <v>42515</v>
      </c>
      <c r="F39" s="2980">
        <v>43610</v>
      </c>
      <c r="G39" s="3010">
        <v>1320</v>
      </c>
      <c r="H39" s="2977">
        <v>5.5</v>
      </c>
      <c r="I39" s="3011">
        <f t="shared" si="8"/>
        <v>220825</v>
      </c>
      <c r="J39" s="3010">
        <f t="shared" ref="J39:J52" si="10">G39*H39*365</f>
        <v>2649900</v>
      </c>
      <c r="K39" s="2996"/>
      <c r="L39" s="2996"/>
      <c r="M39" s="2996"/>
      <c r="N39" s="2996"/>
      <c r="O39" s="2996"/>
      <c r="P39" s="2996"/>
      <c r="Q39" s="2996"/>
      <c r="R39" s="2996"/>
      <c r="S39" s="2996"/>
      <c r="T39" s="2966"/>
    </row>
    <row r="40" spans="1:20">
      <c r="A40" s="2998">
        <v>37</v>
      </c>
      <c r="B40" s="2997" t="s">
        <v>3196</v>
      </c>
      <c r="C40" s="2977">
        <v>11</v>
      </c>
      <c r="D40" s="2982">
        <v>1101</v>
      </c>
      <c r="E40" s="2979">
        <v>43544</v>
      </c>
      <c r="F40" s="2980">
        <v>44639</v>
      </c>
      <c r="G40" s="3010">
        <v>197</v>
      </c>
      <c r="H40" s="2977">
        <v>4.7</v>
      </c>
      <c r="I40" s="3011">
        <f t="shared" si="8"/>
        <v>28162.791666666672</v>
      </c>
      <c r="J40" s="3010">
        <f t="shared" si="10"/>
        <v>337953.50000000006</v>
      </c>
      <c r="K40" s="2996"/>
      <c r="L40" s="2996"/>
      <c r="M40" s="2996"/>
      <c r="N40" s="2996"/>
      <c r="O40" s="2996"/>
      <c r="P40" s="2996"/>
      <c r="Q40" s="2996"/>
      <c r="R40" s="2996"/>
      <c r="S40" s="2996"/>
      <c r="T40" s="2966"/>
    </row>
    <row r="41" spans="1:20">
      <c r="A41" s="2998">
        <v>38</v>
      </c>
      <c r="B41" s="3019" t="s">
        <v>3195</v>
      </c>
      <c r="C41" s="2991">
        <v>11</v>
      </c>
      <c r="D41" s="2992" t="s">
        <v>3200</v>
      </c>
      <c r="E41" s="2993"/>
      <c r="F41" s="2994"/>
      <c r="G41" s="3013">
        <v>365.71</v>
      </c>
      <c r="H41" s="2991"/>
      <c r="I41" s="3014">
        <f t="shared" si="8"/>
        <v>0</v>
      </c>
      <c r="J41" s="3013">
        <f t="shared" si="10"/>
        <v>0</v>
      </c>
      <c r="K41" s="2996"/>
      <c r="L41" s="2996"/>
      <c r="M41" s="2996"/>
      <c r="N41" s="2996"/>
      <c r="O41" s="2996"/>
      <c r="P41" s="2996"/>
      <c r="Q41" s="2996"/>
      <c r="R41" s="2996"/>
      <c r="S41" s="2996"/>
      <c r="T41" s="2966"/>
    </row>
    <row r="42" spans="1:20">
      <c r="A42" s="2998">
        <v>39</v>
      </c>
      <c r="B42" s="2997" t="s">
        <v>3197</v>
      </c>
      <c r="C42" s="2977" t="s">
        <v>3198</v>
      </c>
      <c r="D42" s="2982" t="s">
        <v>3199</v>
      </c>
      <c r="E42" s="2979">
        <v>43435</v>
      </c>
      <c r="F42" s="2980">
        <v>44408</v>
      </c>
      <c r="G42" s="3010">
        <v>2653.89</v>
      </c>
      <c r="H42" s="2977">
        <v>5.5</v>
      </c>
      <c r="I42" s="3011">
        <f t="shared" si="8"/>
        <v>443973.68124999997</v>
      </c>
      <c r="J42" s="3010">
        <f t="shared" si="10"/>
        <v>5327684.1749999998</v>
      </c>
      <c r="K42" s="2996"/>
      <c r="L42" s="2996"/>
      <c r="M42" s="2996"/>
      <c r="N42" s="2996"/>
      <c r="O42" s="2996"/>
      <c r="P42" s="2996"/>
      <c r="Q42" s="2996"/>
      <c r="R42" s="2996"/>
      <c r="S42" s="2996"/>
      <c r="T42" s="2966"/>
    </row>
    <row r="43" spans="1:20">
      <c r="A43" s="2998">
        <v>40</v>
      </c>
      <c r="B43" s="3019" t="s">
        <v>3195</v>
      </c>
      <c r="C43" s="2991">
        <v>11</v>
      </c>
      <c r="D43" s="2992" t="s">
        <v>3201</v>
      </c>
      <c r="E43" s="2993"/>
      <c r="F43" s="2994"/>
      <c r="G43" s="3013">
        <v>156.22999999999999</v>
      </c>
      <c r="H43" s="2991"/>
      <c r="I43" s="3014">
        <f t="shared" si="8"/>
        <v>0</v>
      </c>
      <c r="J43" s="3013">
        <f t="shared" si="10"/>
        <v>0</v>
      </c>
      <c r="K43" s="2996"/>
      <c r="L43" s="2996"/>
      <c r="M43" s="2996"/>
      <c r="N43" s="2996"/>
      <c r="O43" s="2996"/>
      <c r="P43" s="2996"/>
      <c r="Q43" s="2996"/>
      <c r="R43" s="2996"/>
      <c r="S43" s="2996"/>
      <c r="T43" s="2966"/>
    </row>
    <row r="44" spans="1:20">
      <c r="A44" s="2998">
        <v>41</v>
      </c>
      <c r="B44" s="3019" t="s">
        <v>3195</v>
      </c>
      <c r="C44" s="2991">
        <v>11</v>
      </c>
      <c r="D44" s="2992">
        <v>1105</v>
      </c>
      <c r="E44" s="2993"/>
      <c r="F44" s="2994"/>
      <c r="G44" s="3013">
        <v>131.28</v>
      </c>
      <c r="H44" s="2991"/>
      <c r="I44" s="3014">
        <f t="shared" si="8"/>
        <v>0</v>
      </c>
      <c r="J44" s="3013">
        <f t="shared" si="10"/>
        <v>0</v>
      </c>
      <c r="K44" s="2996"/>
      <c r="L44" s="2996"/>
      <c r="M44" s="2996"/>
      <c r="N44" s="2996"/>
      <c r="O44" s="2996"/>
      <c r="P44" s="2996"/>
      <c r="Q44" s="2996"/>
      <c r="R44" s="2996"/>
      <c r="S44" s="2996"/>
      <c r="T44" s="2966"/>
    </row>
    <row r="45" spans="1:20">
      <c r="A45" s="2998">
        <v>42</v>
      </c>
      <c r="B45" s="2997" t="s">
        <v>3202</v>
      </c>
      <c r="C45" s="2977">
        <v>11</v>
      </c>
      <c r="D45" s="2982">
        <v>1106</v>
      </c>
      <c r="E45" s="2979">
        <v>43528</v>
      </c>
      <c r="F45" s="2980">
        <v>44623</v>
      </c>
      <c r="G45" s="3010">
        <v>51</v>
      </c>
      <c r="H45" s="2977">
        <v>4.5999999999999996</v>
      </c>
      <c r="I45" s="3011">
        <f t="shared" si="8"/>
        <v>7135.75</v>
      </c>
      <c r="J45" s="3010">
        <f t="shared" si="10"/>
        <v>85629</v>
      </c>
      <c r="K45" s="2996"/>
      <c r="L45" s="2996"/>
      <c r="M45" s="2996"/>
      <c r="N45" s="2996"/>
      <c r="O45" s="2996"/>
      <c r="P45" s="2996"/>
      <c r="Q45" s="2996"/>
      <c r="R45" s="2996"/>
      <c r="S45" s="2996"/>
      <c r="T45" s="2966"/>
    </row>
    <row r="46" spans="1:20">
      <c r="A46" s="2998">
        <v>43</v>
      </c>
      <c r="B46" s="2997" t="s">
        <v>3204</v>
      </c>
      <c r="C46" s="2977">
        <v>11</v>
      </c>
      <c r="D46" s="2982" t="s">
        <v>3203</v>
      </c>
      <c r="E46" s="2979">
        <v>43315</v>
      </c>
      <c r="F46" s="2980">
        <v>44045</v>
      </c>
      <c r="G46" s="3010">
        <v>95.57</v>
      </c>
      <c r="H46" s="2977">
        <v>5</v>
      </c>
      <c r="I46" s="3011">
        <f t="shared" si="8"/>
        <v>14534.604166666666</v>
      </c>
      <c r="J46" s="3010">
        <f t="shared" si="10"/>
        <v>174415.25</v>
      </c>
      <c r="K46" s="2996"/>
      <c r="L46" s="2996"/>
      <c r="M46" s="2996"/>
      <c r="N46" s="2996"/>
      <c r="O46" s="2996"/>
      <c r="P46" s="2996"/>
      <c r="Q46" s="2996"/>
      <c r="R46" s="2996"/>
      <c r="S46" s="2996"/>
      <c r="T46" s="2966"/>
    </row>
    <row r="47" spans="1:20">
      <c r="A47" s="2998">
        <v>44</v>
      </c>
      <c r="B47" s="2997" t="s">
        <v>3205</v>
      </c>
      <c r="C47" s="2977">
        <v>11</v>
      </c>
      <c r="D47" s="2978">
        <v>1108</v>
      </c>
      <c r="E47" s="2979">
        <v>43534</v>
      </c>
      <c r="F47" s="2980">
        <v>44332</v>
      </c>
      <c r="G47" s="3010">
        <v>210.69</v>
      </c>
      <c r="H47" s="2977">
        <v>4.7</v>
      </c>
      <c r="I47" s="3011">
        <f t="shared" si="8"/>
        <v>30119.891250000001</v>
      </c>
      <c r="J47" s="3010">
        <f t="shared" si="10"/>
        <v>361438.69500000001</v>
      </c>
      <c r="K47" s="2996"/>
      <c r="L47" s="2996"/>
      <c r="M47" s="2996"/>
      <c r="N47" s="2996"/>
      <c r="O47" s="2996"/>
      <c r="P47" s="2996"/>
      <c r="Q47" s="2996"/>
      <c r="R47" s="2996"/>
      <c r="S47" s="2996"/>
      <c r="T47" s="2966"/>
    </row>
    <row r="48" spans="1:20">
      <c r="A48" s="2998">
        <v>45</v>
      </c>
      <c r="B48" s="2997" t="s">
        <v>3125</v>
      </c>
      <c r="C48" s="2977">
        <v>16</v>
      </c>
      <c r="D48" s="2978">
        <v>1603</v>
      </c>
      <c r="E48" s="2980">
        <v>43617</v>
      </c>
      <c r="F48" s="2980">
        <v>44712</v>
      </c>
      <c r="G48" s="3010">
        <v>465</v>
      </c>
      <c r="H48" s="2977">
        <v>5.0999999999999996</v>
      </c>
      <c r="I48" s="3011">
        <f>J48/12</f>
        <v>72133.125</v>
      </c>
      <c r="J48" s="3010">
        <f t="shared" si="10"/>
        <v>865597.5</v>
      </c>
      <c r="K48" s="2996"/>
      <c r="L48" s="2996"/>
      <c r="M48" s="2996"/>
      <c r="N48" s="2996"/>
      <c r="O48" s="2996"/>
      <c r="P48" s="2996"/>
      <c r="Q48" s="2996"/>
      <c r="R48" s="2996"/>
      <c r="S48" s="2996"/>
      <c r="T48" s="2966"/>
    </row>
    <row r="49" spans="1:20">
      <c r="A49" s="2998">
        <v>46</v>
      </c>
      <c r="B49" s="3009" t="s">
        <v>3126</v>
      </c>
      <c r="C49" s="2977">
        <v>16</v>
      </c>
      <c r="D49" s="2978" t="s">
        <v>3127</v>
      </c>
      <c r="E49" s="2980">
        <v>43005</v>
      </c>
      <c r="F49" s="2980">
        <v>43734</v>
      </c>
      <c r="G49" s="3010">
        <v>670</v>
      </c>
      <c r="H49" s="2977">
        <v>4.8</v>
      </c>
      <c r="I49" s="3011">
        <f>J49/12</f>
        <v>97820</v>
      </c>
      <c r="J49" s="3010">
        <f t="shared" si="10"/>
        <v>1173840</v>
      </c>
      <c r="K49" s="2996"/>
      <c r="L49" s="2996"/>
      <c r="M49" s="2996"/>
      <c r="N49" s="2996"/>
      <c r="O49" s="2996"/>
      <c r="P49" s="2996"/>
      <c r="Q49" s="2996"/>
      <c r="R49" s="2996"/>
      <c r="S49" s="2996"/>
      <c r="T49" s="2966"/>
    </row>
    <row r="50" spans="1:20">
      <c r="A50" s="2998">
        <v>47</v>
      </c>
      <c r="B50" s="3020" t="s">
        <v>3206</v>
      </c>
      <c r="C50" s="2977">
        <v>16</v>
      </c>
      <c r="D50" s="2978">
        <v>1607</v>
      </c>
      <c r="E50" s="2979">
        <v>43393</v>
      </c>
      <c r="F50" s="2980">
        <v>44123</v>
      </c>
      <c r="G50" s="3010">
        <v>202</v>
      </c>
      <c r="H50" s="2977">
        <v>5</v>
      </c>
      <c r="I50" s="3021">
        <f>J50/12</f>
        <v>30720.833333333332</v>
      </c>
      <c r="J50" s="3010">
        <f t="shared" si="10"/>
        <v>368650</v>
      </c>
      <c r="K50" s="2996"/>
      <c r="L50" s="2996"/>
      <c r="M50" s="2996"/>
      <c r="N50" s="2996"/>
      <c r="O50" s="2996"/>
      <c r="P50" s="2996"/>
      <c r="Q50" s="2996"/>
      <c r="R50" s="2996"/>
      <c r="S50" s="2996"/>
      <c r="T50" s="2966"/>
    </row>
    <row r="51" spans="1:20">
      <c r="A51" s="2998">
        <v>48</v>
      </c>
      <c r="B51" s="3022" t="s">
        <v>3128</v>
      </c>
      <c r="C51" s="2983">
        <v>17</v>
      </c>
      <c r="D51" s="2984" t="s">
        <v>3129</v>
      </c>
      <c r="E51" s="2980">
        <v>42962</v>
      </c>
      <c r="F51" s="2980">
        <v>44057</v>
      </c>
      <c r="G51" s="3023">
        <v>670</v>
      </c>
      <c r="H51" s="2983">
        <v>4.5999999999999996</v>
      </c>
      <c r="I51" s="3024">
        <f>J51/12</f>
        <v>93744.166666666642</v>
      </c>
      <c r="J51" s="3023">
        <f t="shared" si="10"/>
        <v>1124929.9999999998</v>
      </c>
      <c r="K51" s="2996"/>
      <c r="L51" s="2996"/>
      <c r="M51" s="2996"/>
      <c r="N51" s="2996"/>
      <c r="O51" s="2996"/>
      <c r="P51" s="2996"/>
      <c r="Q51" s="2996"/>
      <c r="R51" s="2996"/>
      <c r="S51" s="2996"/>
      <c r="T51" s="2966"/>
    </row>
    <row r="52" spans="1:20">
      <c r="A52" s="2998">
        <v>49</v>
      </c>
      <c r="B52" s="3009" t="s">
        <v>3130</v>
      </c>
      <c r="C52" s="2977" t="s">
        <v>3131</v>
      </c>
      <c r="D52" s="2978"/>
      <c r="E52" s="2998" t="s">
        <v>3132</v>
      </c>
      <c r="F52" s="2998"/>
      <c r="G52" s="3010">
        <v>1462.53</v>
      </c>
      <c r="H52" s="2977">
        <v>7</v>
      </c>
      <c r="I52" s="3011">
        <f t="shared" ref="I52:I54" si="11">J52/12</f>
        <v>311397.01250000001</v>
      </c>
      <c r="J52" s="3010">
        <f t="shared" si="10"/>
        <v>3736764.15</v>
      </c>
      <c r="K52" s="2996"/>
      <c r="L52" s="2996"/>
      <c r="M52" s="2996"/>
      <c r="N52" s="2996"/>
      <c r="O52" s="2996"/>
      <c r="P52" s="2996"/>
      <c r="Q52" s="2996"/>
      <c r="R52" s="2996"/>
      <c r="S52" s="2996"/>
      <c r="T52" s="2966"/>
    </row>
    <row r="53" spans="1:20">
      <c r="A53" s="2998">
        <v>50</v>
      </c>
      <c r="B53" s="3008" t="s">
        <v>3133</v>
      </c>
      <c r="C53" s="2985"/>
      <c r="D53" s="2986"/>
      <c r="E53" s="3004" t="s">
        <v>3132</v>
      </c>
      <c r="F53" s="3004"/>
      <c r="G53" s="3006">
        <v>1000</v>
      </c>
      <c r="H53" s="3025">
        <v>4.17</v>
      </c>
      <c r="I53" s="3007">
        <f t="shared" si="11"/>
        <v>125000</v>
      </c>
      <c r="J53" s="3026">
        <v>1500000</v>
      </c>
      <c r="K53" s="2996"/>
      <c r="L53" s="2996"/>
      <c r="M53" s="2996"/>
      <c r="N53" s="2996"/>
      <c r="O53" s="2996"/>
      <c r="P53" s="2996"/>
      <c r="Q53" s="2996"/>
      <c r="R53" s="2996"/>
      <c r="S53" s="2996"/>
      <c r="T53" s="2966"/>
    </row>
    <row r="54" spans="1:20">
      <c r="A54" s="2998">
        <v>51</v>
      </c>
      <c r="B54" s="3009" t="s">
        <v>3134</v>
      </c>
      <c r="C54" s="2998"/>
      <c r="D54" s="2998"/>
      <c r="E54" s="2998" t="s">
        <v>3132</v>
      </c>
      <c r="F54" s="2998"/>
      <c r="G54" s="3010">
        <v>4788.67</v>
      </c>
      <c r="H54" s="3027">
        <v>0.37</v>
      </c>
      <c r="I54" s="3011">
        <f t="shared" si="11"/>
        <v>53500</v>
      </c>
      <c r="J54" s="3010">
        <v>642000</v>
      </c>
      <c r="K54" s="2996"/>
      <c r="L54" s="2996"/>
      <c r="M54" s="2996"/>
      <c r="N54" s="2996"/>
      <c r="O54" s="2996"/>
      <c r="P54" s="2996"/>
      <c r="Q54" s="2996"/>
      <c r="R54" s="2996"/>
      <c r="S54" s="2996"/>
      <c r="T54" s="2966"/>
    </row>
    <row r="55" spans="1:20">
      <c r="A55" s="2998"/>
      <c r="B55" s="3010" t="s">
        <v>3135</v>
      </c>
      <c r="C55" s="3010"/>
      <c r="D55" s="3010"/>
      <c r="E55" s="3010"/>
      <c r="F55" s="3010"/>
      <c r="G55" s="3010">
        <f>SUM(G4:G54)</f>
        <v>28872.969999999994</v>
      </c>
      <c r="H55" s="3010"/>
      <c r="I55" s="3010">
        <f>SUM(I4:I54)</f>
        <v>3549802.9202468498</v>
      </c>
      <c r="J55" s="3010">
        <f>SUM(J4:J54)</f>
        <v>42597635.042962186</v>
      </c>
      <c r="K55" s="2996"/>
      <c r="L55" s="2996"/>
      <c r="M55" s="2996"/>
      <c r="N55" s="2996"/>
      <c r="O55" s="2996"/>
      <c r="P55" s="2996"/>
      <c r="Q55" s="2996"/>
      <c r="R55" s="2996"/>
      <c r="S55" s="2996"/>
      <c r="T55" s="2966"/>
    </row>
    <row r="56" spans="1:20">
      <c r="A56" s="3003"/>
      <c r="B56" s="3003"/>
      <c r="C56" s="3003"/>
      <c r="D56" s="3003"/>
      <c r="E56" s="3003"/>
      <c r="F56" s="3028" t="s">
        <v>3136</v>
      </c>
      <c r="G56" s="3003">
        <f>SUM(G9:G52)</f>
        <v>16835.039999999997</v>
      </c>
      <c r="H56" s="3003"/>
      <c r="I56" s="3003"/>
      <c r="J56" s="3003"/>
      <c r="K56" s="2996"/>
      <c r="L56" s="2996"/>
      <c r="M56" s="2996"/>
      <c r="N56" s="2996"/>
      <c r="O56" s="2996"/>
      <c r="P56" s="2996"/>
      <c r="Q56" s="2996"/>
      <c r="R56" s="2996"/>
      <c r="S56" s="2996"/>
      <c r="T56" s="2966"/>
    </row>
    <row r="57" spans="1:20">
      <c r="A57" s="3003"/>
      <c r="B57" s="3003"/>
      <c r="C57" s="3003"/>
      <c r="D57" s="3003"/>
      <c r="E57" s="3003"/>
      <c r="F57" s="3028" t="s">
        <v>3137</v>
      </c>
      <c r="G57" s="3003">
        <f>SUM(G4:G8)</f>
        <v>6249.2599999999993</v>
      </c>
      <c r="H57" s="3003"/>
      <c r="I57" s="3003"/>
      <c r="J57" s="3003"/>
      <c r="K57" s="2996"/>
      <c r="L57" s="2996"/>
      <c r="M57" s="2996"/>
      <c r="N57" s="2996"/>
      <c r="O57" s="2996"/>
      <c r="P57" s="2996"/>
      <c r="Q57" s="2996"/>
      <c r="R57" s="2996"/>
      <c r="S57" s="2996"/>
      <c r="T57" s="2966"/>
    </row>
    <row r="58" spans="1:20">
      <c r="A58" s="3003"/>
      <c r="B58" s="3003"/>
      <c r="C58" s="3003"/>
      <c r="D58" s="3003"/>
      <c r="E58" s="3003"/>
      <c r="F58" s="3028" t="s">
        <v>3138</v>
      </c>
      <c r="G58" s="3003">
        <f>G53</f>
        <v>1000</v>
      </c>
      <c r="H58" s="3003"/>
      <c r="I58" s="3003"/>
      <c r="J58" s="3003"/>
      <c r="K58" s="3003"/>
      <c r="L58" s="3003"/>
      <c r="M58" s="3003"/>
      <c r="N58" s="3003"/>
      <c r="O58" s="3003"/>
      <c r="P58" s="3003"/>
      <c r="Q58" s="3003"/>
      <c r="R58" s="3003"/>
      <c r="S58" s="3003"/>
    </row>
    <row r="59" spans="1:20">
      <c r="A59" s="3003"/>
      <c r="B59" s="3003"/>
      <c r="C59" s="3003"/>
      <c r="D59" s="3003"/>
      <c r="E59" s="3003"/>
      <c r="F59" s="3029" t="s">
        <v>3139</v>
      </c>
      <c r="G59" s="3003">
        <f>G54</f>
        <v>4788.67</v>
      </c>
      <c r="H59" s="3003"/>
      <c r="I59" s="3003"/>
      <c r="J59" s="3003"/>
      <c r="K59" s="3003"/>
      <c r="L59" s="3003"/>
      <c r="M59" s="3003"/>
      <c r="N59" s="3003"/>
      <c r="O59" s="3003"/>
      <c r="P59" s="3003"/>
      <c r="Q59" s="3003"/>
      <c r="R59" s="3003"/>
      <c r="S59" s="3003"/>
    </row>
  </sheetData>
  <mergeCells count="1">
    <mergeCell ref="A1:J1"/>
  </mergeCells>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28872.97</v>
      </c>
      <c r="C1" s="1738"/>
      <c r="D1" s="1738"/>
      <c r="E1" s="1738"/>
      <c r="F1" s="1738"/>
      <c r="G1" s="1736"/>
    </row>
    <row r="2" spans="1:10" ht="16.5">
      <c r="A2" s="1739" t="s">
        <v>1349</v>
      </c>
      <c r="B2" s="1739">
        <f>SUM(C14:C23)</f>
        <v>11364.7</v>
      </c>
      <c r="C2" s="1738"/>
      <c r="D2" s="1738"/>
      <c r="E2" s="1738"/>
      <c r="F2" s="1738"/>
      <c r="G2" s="1736"/>
    </row>
    <row r="3" spans="1:10" ht="16.5">
      <c r="A3" s="1739" t="s">
        <v>1358</v>
      </c>
      <c r="B3" s="1740">
        <f>项目基本情况!D3</f>
        <v>43566</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80085</v>
      </c>
      <c r="C5" s="1739">
        <f ca="1">ROUND(B5*10000/$B$1,0)</f>
        <v>27737</v>
      </c>
      <c r="D5" s="1739">
        <f ca="1">ROUND(B5*10000/$B$2,0)</f>
        <v>70468</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80085</v>
      </c>
      <c r="C7" s="1739">
        <f ca="1">ROUND(B7*10000/$B$1,0)</f>
        <v>27737</v>
      </c>
      <c r="D7" s="1739">
        <f ca="1">ROUND(B7*10000/$B$2,0)</f>
        <v>70468</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28872.97</v>
      </c>
      <c r="C14" s="1737">
        <f>结果表!C118</f>
        <v>11364.7</v>
      </c>
      <c r="D14" s="1737">
        <f ca="1">结果表!H118</f>
        <v>80085</v>
      </c>
      <c r="E14" s="1737">
        <f ca="1">ROUND(D14*10000/B14,0)</f>
        <v>27737</v>
      </c>
      <c r="F14" s="1737">
        <f ca="1">ROUND(D14*10000/C14,0)</f>
        <v>70468</v>
      </c>
      <c r="G14" s="1737" t="str">
        <f>结果表!D122</f>
        <v>——</v>
      </c>
      <c r="H14" s="1737">
        <f ca="1">结果表!D124</f>
        <v>80085</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F38" sqref="F38"/>
    </sheetView>
  </sheetViews>
  <sheetFormatPr defaultColWidth="12.625" defaultRowHeight="21.75" customHeight="1"/>
  <cols>
    <col min="1" max="2" width="12.625" style="2418"/>
    <col min="3" max="4" width="12.625" style="2418" customWidth="1"/>
    <col min="5" max="7" width="12.625" style="2418"/>
    <col min="8" max="8" width="12.5" style="2418" customWidth="1"/>
    <col min="9"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8" t="s">
        <v>2109</v>
      </c>
      <c r="B1" s="2412"/>
      <c r="C1" s="2413"/>
      <c r="D1" s="2412"/>
      <c r="E1" s="2412"/>
      <c r="F1" s="2414" t="s">
        <v>2110</v>
      </c>
      <c r="G1" s="2064" t="s">
        <v>3158</v>
      </c>
      <c r="H1" s="2415" t="str">
        <f>IF(G1="现房","——","估价对象范围")</f>
        <v>——</v>
      </c>
      <c r="I1" s="2416" t="s">
        <v>3211</v>
      </c>
    </row>
    <row r="2" spans="1:12" ht="21.75" customHeight="1" thickBot="1">
      <c r="A2" s="3165" t="str">
        <f>项目基本情况!S2</f>
        <v>北京市石景山区时代花园南路17号房地产</v>
      </c>
      <c r="B2" s="3166"/>
      <c r="C2" s="3166"/>
      <c r="D2" s="3166"/>
      <c r="E2" s="3166"/>
      <c r="F2" s="3166"/>
      <c r="G2" s="3166"/>
      <c r="H2" s="3166"/>
      <c r="I2" s="3167"/>
    </row>
    <row r="3" spans="1:12" ht="12.75">
      <c r="A3" s="3169" t="s">
        <v>2111</v>
      </c>
      <c r="B3" s="3170"/>
      <c r="C3" s="3170"/>
      <c r="D3" s="3170"/>
      <c r="E3" s="3170"/>
      <c r="F3" s="3170"/>
      <c r="G3" s="3170"/>
      <c r="H3" s="3170"/>
      <c r="I3" s="3170"/>
    </row>
    <row r="4" spans="1:12" ht="14.25">
      <c r="A4" s="2419" t="s">
        <v>2112</v>
      </c>
      <c r="B4" s="2420" t="s">
        <v>2113</v>
      </c>
      <c r="C4" s="2421" t="s">
        <v>3186</v>
      </c>
      <c r="D4" s="2421" t="s">
        <v>3187</v>
      </c>
      <c r="E4" s="3162" t="s">
        <v>2114</v>
      </c>
      <c r="F4" s="3163"/>
      <c r="G4" s="3163"/>
      <c r="H4" s="3163"/>
      <c r="I4" s="317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hidden="1">
      <c r="A5" s="3145" t="s">
        <v>2115</v>
      </c>
      <c r="B5" s="3082">
        <v>25</v>
      </c>
      <c r="C5" s="3148"/>
      <c r="D5" s="3168"/>
      <c r="E5" s="138" t="s">
        <v>2116</v>
      </c>
      <c r="F5" s="2423"/>
      <c r="G5" s="2423"/>
      <c r="H5" s="2423"/>
      <c r="I5" s="1827"/>
    </row>
    <row r="6" spans="1:12" ht="12.75" hidden="1">
      <c r="A6" s="3145"/>
      <c r="B6" s="3082"/>
      <c r="C6" s="3149"/>
      <c r="D6" s="3168"/>
      <c r="E6" s="138" t="s">
        <v>2117</v>
      </c>
      <c r="F6" s="2423"/>
      <c r="G6" s="2423"/>
      <c r="H6" s="2423"/>
      <c r="I6" s="1827"/>
    </row>
    <row r="7" spans="1:12" ht="12.75" hidden="1">
      <c r="A7" s="3145"/>
      <c r="B7" s="3082"/>
      <c r="C7" s="3150"/>
      <c r="D7" s="3168"/>
      <c r="E7" s="138" t="s">
        <v>2118</v>
      </c>
      <c r="F7" s="2423"/>
      <c r="G7" s="2423"/>
      <c r="H7" s="2423"/>
      <c r="I7" s="1827"/>
    </row>
    <row r="8" spans="1:12" ht="12.75" hidden="1">
      <c r="A8" s="3145" t="s">
        <v>2119</v>
      </c>
      <c r="B8" s="3082">
        <v>15</v>
      </c>
      <c r="C8" s="3148"/>
      <c r="D8" s="3168"/>
      <c r="E8" s="138" t="s">
        <v>2120</v>
      </c>
      <c r="F8" s="2423"/>
      <c r="G8" s="2423"/>
      <c r="H8" s="2423"/>
      <c r="I8" s="1827"/>
    </row>
    <row r="9" spans="1:12" ht="12.75" hidden="1">
      <c r="A9" s="3145"/>
      <c r="B9" s="3082"/>
      <c r="C9" s="3150"/>
      <c r="D9" s="3168"/>
      <c r="E9" s="138" t="s">
        <v>2121</v>
      </c>
      <c r="F9" s="2423"/>
      <c r="G9" s="2423"/>
      <c r="H9" s="2423"/>
      <c r="I9" s="1827"/>
    </row>
    <row r="10" spans="1:12" ht="12.75" hidden="1">
      <c r="A10" s="3145" t="s">
        <v>2122</v>
      </c>
      <c r="B10" s="3082">
        <v>15</v>
      </c>
      <c r="C10" s="3148"/>
      <c r="D10" s="3168"/>
      <c r="E10" s="138" t="s">
        <v>2123</v>
      </c>
      <c r="F10" s="2423"/>
      <c r="G10" s="2423"/>
      <c r="H10" s="2423"/>
      <c r="I10" s="1827"/>
    </row>
    <row r="11" spans="1:12" ht="12.75" hidden="1">
      <c r="A11" s="3145"/>
      <c r="B11" s="3082"/>
      <c r="C11" s="3150"/>
      <c r="D11" s="3168"/>
      <c r="E11" s="138" t="s">
        <v>2124</v>
      </c>
      <c r="F11" s="2423"/>
      <c r="G11" s="2423"/>
      <c r="H11" s="2423"/>
      <c r="I11" s="1827"/>
    </row>
    <row r="12" spans="1:12" ht="12.75" hidden="1">
      <c r="A12" s="3145" t="s">
        <v>2125</v>
      </c>
      <c r="B12" s="3082">
        <v>15</v>
      </c>
      <c r="C12" s="3148"/>
      <c r="D12" s="3168"/>
      <c r="E12" s="138" t="s">
        <v>2126</v>
      </c>
      <c r="F12" s="2423"/>
      <c r="G12" s="2423"/>
      <c r="H12" s="2423"/>
      <c r="I12" s="1827"/>
    </row>
    <row r="13" spans="1:12" ht="12.75" hidden="1">
      <c r="A13" s="3145"/>
      <c r="B13" s="3082"/>
      <c r="C13" s="3150"/>
      <c r="D13" s="3168"/>
      <c r="E13" s="138" t="s">
        <v>2127</v>
      </c>
      <c r="F13" s="2423"/>
      <c r="G13" s="2423"/>
      <c r="H13" s="2423"/>
      <c r="I13" s="1827"/>
    </row>
    <row r="14" spans="1:12" ht="12.75">
      <c r="A14" s="3145" t="s">
        <v>2128</v>
      </c>
      <c r="B14" s="3082">
        <v>30</v>
      </c>
      <c r="C14" s="3148">
        <v>5</v>
      </c>
      <c r="D14" s="3168">
        <v>5</v>
      </c>
      <c r="E14" s="138" t="s">
        <v>2129</v>
      </c>
      <c r="F14" s="2423"/>
      <c r="G14" s="2423"/>
      <c r="H14" s="2423"/>
      <c r="I14" s="1827"/>
    </row>
    <row r="15" spans="1:12" ht="12.75">
      <c r="A15" s="3145"/>
      <c r="B15" s="3082"/>
      <c r="C15" s="3149"/>
      <c r="D15" s="3168"/>
      <c r="E15" s="138" t="s">
        <v>2130</v>
      </c>
      <c r="F15" s="2423"/>
      <c r="G15" s="2423"/>
      <c r="H15" s="2423"/>
      <c r="I15" s="1827"/>
    </row>
    <row r="16" spans="1:12" ht="12.75">
      <c r="A16" s="3145"/>
      <c r="B16" s="3082"/>
      <c r="C16" s="3150"/>
      <c r="D16" s="3168"/>
      <c r="E16" s="138" t="s">
        <v>2131</v>
      </c>
      <c r="F16" s="2423"/>
      <c r="G16" s="2423"/>
      <c r="H16" s="2423"/>
      <c r="I16" s="1827"/>
    </row>
    <row r="17" spans="1:35" ht="15">
      <c r="A17" s="2424" t="s">
        <v>2132</v>
      </c>
      <c r="B17" s="64"/>
      <c r="C17" s="139">
        <f>SUM(C5:C16)</f>
        <v>5</v>
      </c>
      <c r="D17" s="139">
        <f>SUM(D5:D16)</f>
        <v>5</v>
      </c>
      <c r="E17" s="136"/>
      <c r="F17" s="136"/>
      <c r="G17" s="136"/>
      <c r="H17" s="136"/>
      <c r="I17" s="136"/>
      <c r="K17" s="2422"/>
      <c r="L17" s="2425" t="s">
        <v>2133</v>
      </c>
      <c r="M17" s="2425" t="s">
        <v>2134</v>
      </c>
    </row>
    <row r="18" spans="1:35" ht="15.75" thickBot="1">
      <c r="A18" s="2426" t="s">
        <v>2135</v>
      </c>
      <c r="B18" s="2427"/>
      <c r="C18" s="140">
        <f>ROUND(C17/SUM(C17:D17),2)</f>
        <v>0.5</v>
      </c>
      <c r="D18" s="140">
        <f>1-C18</f>
        <v>0.5</v>
      </c>
      <c r="E18" s="136"/>
      <c r="F18" s="136"/>
      <c r="G18" s="136"/>
      <c r="H18" s="136"/>
      <c r="I18" s="136"/>
      <c r="K18" s="2422" t="s">
        <v>2136</v>
      </c>
      <c r="L18" s="2422">
        <f>IF(C1="",'数据-汇总表'!E3,SUMIF(项目类型,C1,'数据-汇总表'!E17:E26)+SUMIF(项目类型,C1,'数据-汇总表'!I17:I26))</f>
        <v>28872.97</v>
      </c>
      <c r="M18" s="2422">
        <f>IF(C1="",'数据-汇总表'!E3,SUMIF(项目类型,C1,'数据-汇总表'!E17:E26))</f>
        <v>28872.97</v>
      </c>
    </row>
    <row r="19" spans="1:35" ht="15">
      <c r="A19" s="2428" t="s">
        <v>2137</v>
      </c>
      <c r="B19" s="2429" t="s">
        <v>2138</v>
      </c>
      <c r="C19" s="141">
        <f ca="1">SUMIF(INDIRECT("'"&amp;C4&amp;"'"&amp;"!A:A"),结果表!B19,INDIRECT("'"&amp;C4&amp;"'"&amp;"!B:B"))</f>
        <v>73366</v>
      </c>
      <c r="D19" s="142">
        <f ca="1">SUMIF(INDIRECT("'"&amp;D4&amp;"'"&amp;"!A:A"),结果表!B19,INDIRECT("'"&amp;D4&amp;"'"&amp;"!B:B"))</f>
        <v>86804</v>
      </c>
      <c r="E19" s="2428" t="s">
        <v>2139</v>
      </c>
      <c r="F19" s="2429" t="s">
        <v>2138</v>
      </c>
      <c r="G19" s="143">
        <f ca="1">ROUND(C19*$C$18+D19*$D$18,0)</f>
        <v>80085</v>
      </c>
      <c r="H19" s="2430" t="s">
        <v>2140</v>
      </c>
      <c r="I19" s="136"/>
      <c r="K19" s="2422" t="s">
        <v>2141</v>
      </c>
      <c r="L19" s="2422">
        <f>IF(C1="",'数据-汇总表'!D3,SUMIF(项目类型,C1,'数据-汇总表'!D17:D26)+SUMIF(项目类型,C1,'数据-汇总表'!H17:H27))</f>
        <v>11364.7</v>
      </c>
      <c r="M19" s="2422">
        <f>IF(C1="",'数据-汇总表'!D3,SUMIF(项目类型,C1,'数据-汇总表'!D17:D26))</f>
        <v>11364.7</v>
      </c>
    </row>
    <row r="20" spans="1:35" ht="15">
      <c r="A20" s="2431"/>
      <c r="B20" s="1243" t="s">
        <v>2142</v>
      </c>
      <c r="C20" s="144">
        <f ca="1">SUMIF(INDIRECT("'"&amp;C4&amp;"'"&amp;"!A:A"),结果表!B20,INDIRECT("'"&amp;C4&amp;"'"&amp;"!B:B"))</f>
        <v>25410</v>
      </c>
      <c r="D20" s="145">
        <f ca="1">SUMIF(INDIRECT("'"&amp;D4&amp;"'"&amp;"!A:A"),结果表!B20,INDIRECT("'"&amp;D4&amp;"'"&amp;"!B:B"))</f>
        <v>30064</v>
      </c>
      <c r="E20" s="2431"/>
      <c r="F20" s="1243" t="s">
        <v>2142</v>
      </c>
      <c r="G20" s="146">
        <f ca="1">ROUND(C20*$C$18+D20*$D$18,0)</f>
        <v>27737</v>
      </c>
      <c r="H20" s="976" t="s">
        <v>2143</v>
      </c>
      <c r="I20" s="136"/>
    </row>
    <row r="21" spans="1:35" ht="15" customHeight="1" thickBot="1">
      <c r="A21" s="996"/>
      <c r="B21" s="2432" t="s">
        <v>2144</v>
      </c>
      <c r="C21" s="787">
        <f ca="1">ROUND(C19*10000/L19,0)</f>
        <v>64556</v>
      </c>
      <c r="D21" s="788">
        <f ca="1">ROUND(D19*10000/L19,0)</f>
        <v>76380</v>
      </c>
      <c r="E21" s="996"/>
      <c r="F21" s="2432" t="s">
        <v>2144</v>
      </c>
      <c r="G21" s="147">
        <f ca="1">ROUND(G19*10000/L19,0)</f>
        <v>70468</v>
      </c>
      <c r="H21" s="2433" t="s">
        <v>2143</v>
      </c>
      <c r="I21" s="136"/>
    </row>
    <row r="22" spans="1:35" ht="15" thickBot="1">
      <c r="A22" s="2274" t="s">
        <v>2145</v>
      </c>
      <c r="B22" s="2434"/>
      <c r="C22" s="2435"/>
      <c r="D22" s="789">
        <f ca="1">IF(C19&lt;D19,D19/C19-1,C19/D19-1)</f>
        <v>0.18316386336995349</v>
      </c>
      <c r="E22" s="136"/>
      <c r="F22" s="136"/>
      <c r="G22" s="136"/>
      <c r="H22" s="136"/>
      <c r="I22" s="136"/>
    </row>
    <row r="23" spans="1:35" ht="13.5" hidden="1" thickBot="1">
      <c r="A23" s="2412"/>
      <c r="B23" s="2412"/>
      <c r="C23" s="2412"/>
      <c r="D23" s="2412"/>
      <c r="E23" s="136"/>
      <c r="F23" s="136"/>
      <c r="G23" s="136"/>
      <c r="H23" s="136"/>
      <c r="I23" s="136"/>
    </row>
    <row r="24" spans="1:35" ht="14.25" hidden="1">
      <c r="A24" s="3139" t="s">
        <v>2146</v>
      </c>
      <c r="B24" s="2429" t="s">
        <v>2138</v>
      </c>
      <c r="C24" s="143">
        <f>IF(B30=0,0,D30)</f>
        <v>0</v>
      </c>
      <c r="D24" s="2436"/>
      <c r="E24" s="136"/>
      <c r="F24" s="136"/>
      <c r="G24" s="136"/>
      <c r="H24" s="136"/>
      <c r="I24" s="136"/>
    </row>
    <row r="25" spans="1:35" ht="14.25" hidden="1">
      <c r="A25" s="3140"/>
      <c r="B25" s="1243" t="s">
        <v>2142</v>
      </c>
      <c r="C25" s="148">
        <f>IF(B30=0,0,C30)</f>
        <v>0</v>
      </c>
      <c r="D25" s="2437"/>
      <c r="E25" s="136"/>
      <c r="F25" s="136"/>
      <c r="G25" s="136"/>
      <c r="H25" s="136"/>
      <c r="I25" s="136"/>
    </row>
    <row r="26" spans="1:35" ht="13.5" hidden="1" customHeight="1">
      <c r="A26" s="2438" t="s">
        <v>2147</v>
      </c>
      <c r="B26" s="149" t="s">
        <v>2148</v>
      </c>
      <c r="C26" s="149" t="s">
        <v>2149</v>
      </c>
      <c r="D26" s="150" t="s">
        <v>2150</v>
      </c>
      <c r="E26" s="136"/>
      <c r="F26" s="136"/>
      <c r="G26" s="136"/>
      <c r="H26" s="136"/>
      <c r="I26" s="136"/>
    </row>
    <row r="27" spans="1:35" ht="14.25" hidden="1">
      <c r="A27" s="2438"/>
      <c r="B27" s="149">
        <v>0</v>
      </c>
      <c r="C27" s="149">
        <v>0</v>
      </c>
      <c r="D27" s="150">
        <f>ROUND(C27*B27/10000,0)</f>
        <v>0</v>
      </c>
      <c r="E27" s="136"/>
      <c r="F27" s="136"/>
      <c r="G27" s="136"/>
      <c r="H27" s="136"/>
      <c r="I27" s="136"/>
    </row>
    <row r="28" spans="1:35" ht="14.25" hidden="1">
      <c r="A28" s="2438"/>
      <c r="B28" s="149"/>
      <c r="C28" s="149"/>
      <c r="D28" s="150"/>
      <c r="E28" s="136"/>
      <c r="F28" s="136"/>
      <c r="G28" s="136"/>
      <c r="H28" s="136"/>
      <c r="I28" s="136"/>
    </row>
    <row r="29" spans="1:35" ht="14.25" hidden="1">
      <c r="A29" s="2438"/>
      <c r="B29" s="149"/>
      <c r="C29" s="149"/>
      <c r="D29" s="150"/>
      <c r="E29" s="136"/>
      <c r="F29" s="136"/>
      <c r="G29" s="136"/>
      <c r="H29" s="136"/>
      <c r="I29" s="136"/>
    </row>
    <row r="30" spans="1:35" ht="14.25" hidden="1">
      <c r="A30" s="149" t="s">
        <v>2151</v>
      </c>
      <c r="B30" s="149"/>
      <c r="C30" s="149"/>
      <c r="D30" s="149"/>
      <c r="E30" s="2911" t="s">
        <v>3024</v>
      </c>
      <c r="F30" s="136"/>
      <c r="G30" s="136"/>
      <c r="H30" s="136"/>
      <c r="I30" s="136"/>
    </row>
    <row r="31" spans="1:35" s="2440" customFormat="1" ht="15" hidden="1" thickBot="1">
      <c r="A31" s="2439"/>
      <c r="B31" s="2439"/>
      <c r="C31" s="2439"/>
      <c r="D31" s="2439"/>
      <c r="E31" s="136"/>
      <c r="F31" s="136"/>
      <c r="G31" s="136"/>
      <c r="H31" s="136"/>
      <c r="I31" s="136"/>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2152</v>
      </c>
      <c r="B32" s="2442"/>
      <c r="C32" s="151">
        <f ca="1">IF(D32="总价",G19-C24,G20-C25)</f>
        <v>80085</v>
      </c>
      <c r="D32" s="2443" t="s">
        <v>2153</v>
      </c>
      <c r="E32" s="136"/>
      <c r="F32" s="136"/>
      <c r="G32" s="136"/>
      <c r="H32" s="136"/>
      <c r="I32" s="136"/>
    </row>
    <row r="33" spans="1:15" ht="15">
      <c r="A33" s="953" t="s">
        <v>2154</v>
      </c>
      <c r="B33" s="2444"/>
      <c r="C33" s="2445" t="s">
        <v>3209</v>
      </c>
      <c r="D33" s="2446" t="s">
        <v>3186</v>
      </c>
      <c r="E33" s="2447" t="s">
        <v>2155</v>
      </c>
      <c r="F33" s="2448" t="str">
        <f>IF(D32="楼面单价","取值（单价）","取值（总价）")</f>
        <v>取值（总价）</v>
      </c>
      <c r="G33" s="136"/>
      <c r="H33" s="136"/>
      <c r="I33" s="136"/>
    </row>
    <row r="34" spans="1:15" ht="15">
      <c r="A34" s="2449"/>
      <c r="B34" s="2450" t="s">
        <v>2156</v>
      </c>
      <c r="C34" s="155">
        <f ca="1">IF(C33="自定义",F34,C32-C35)</f>
        <v>65510</v>
      </c>
      <c r="D34" s="1051">
        <f ca="1">IF(C33="自定义",ROUND(C34/C32,3),IF(C33="收益比率",SUMIF(INDIRECT("'"&amp;D33&amp;"'"&amp;"!b:b"),"土地收益比率",INDIRECT("'"&amp;D33&amp;"'"&amp;"!c:c")),SUMIF(INDIRECT("'"&amp;D33&amp;"'"&amp;"!b:b"),"土地成本比率",INDIRECT("'"&amp;D33&amp;"'"&amp;"!c:c"))))</f>
        <v>0.81800000000000006</v>
      </c>
      <c r="E34" s="2451" t="s">
        <v>2157</v>
      </c>
      <c r="F34" s="1732"/>
      <c r="G34" s="136"/>
      <c r="H34" s="136"/>
      <c r="I34" s="136"/>
    </row>
    <row r="35" spans="1:15" ht="15.75" thickBot="1">
      <c r="A35" s="2452"/>
      <c r="B35" s="2453" t="s">
        <v>2158</v>
      </c>
      <c r="C35" s="1437">
        <f ca="1">IF(C33="自定义",F35,ROUND(C32*D35,0))</f>
        <v>14575</v>
      </c>
      <c r="D35" s="1438">
        <f ca="1">IF(C33="自定义",ROUND(C35/C32,3),IF(C33="收益比率",SUMIF(INDIRECT("'"&amp;D33&amp;"'"&amp;"!b:b"),"建筑物收益比率",INDIRECT("'"&amp;D33&amp;"'"&amp;"!c:c")),SUMIF(INDIRECT("'"&amp;D33&amp;"'"&amp;"!b:b"),"建筑物成本比率",INDIRECT("'"&amp;D33&amp;"'"&amp;"!c:c"))))</f>
        <v>0.182</v>
      </c>
      <c r="E35" s="2454" t="s">
        <v>2159</v>
      </c>
      <c r="F35" s="161"/>
      <c r="G35" s="136"/>
      <c r="H35" s="136"/>
      <c r="I35" s="136"/>
    </row>
    <row r="36" spans="1:15" ht="15.75" thickBot="1">
      <c r="A36" s="3157" t="s">
        <v>2160</v>
      </c>
      <c r="B36" s="2455" t="s">
        <v>2161</v>
      </c>
      <c r="C36" s="152"/>
      <c r="D36" s="2456" t="s">
        <v>3210</v>
      </c>
      <c r="E36" s="2457"/>
      <c r="F36" s="2458"/>
      <c r="G36" s="136"/>
      <c r="H36" s="136"/>
      <c r="I36" s="136"/>
    </row>
    <row r="37" spans="1:15" ht="15.75" thickBot="1">
      <c r="A37" s="3158"/>
      <c r="B37" s="2260" t="s">
        <v>2162</v>
      </c>
      <c r="C37" s="154"/>
      <c r="D37" s="1388"/>
      <c r="E37" s="1388"/>
      <c r="F37" s="2458"/>
      <c r="G37" s="136"/>
      <c r="H37" s="136"/>
      <c r="I37" s="136"/>
    </row>
    <row r="38" spans="1:15" ht="15.75" thickBot="1">
      <c r="A38" s="3159"/>
      <c r="B38" s="2459" t="s">
        <v>2163</v>
      </c>
      <c r="C38" s="725"/>
      <c r="D38" s="2460" t="s">
        <v>2164</v>
      </c>
      <c r="E38" s="1388"/>
      <c r="F38" s="2458"/>
      <c r="G38" s="136"/>
      <c r="H38" s="136"/>
      <c r="I38" s="136"/>
    </row>
    <row r="39" spans="1:15" ht="15" hidden="1">
      <c r="A39" s="2431" t="s">
        <v>2165</v>
      </c>
      <c r="B39" s="2461" t="s">
        <v>2166</v>
      </c>
      <c r="C39" s="2462" t="s">
        <v>2167</v>
      </c>
      <c r="D39" s="2462" t="s">
        <v>2168</v>
      </c>
      <c r="E39" s="2463" t="s">
        <v>2169</v>
      </c>
      <c r="F39" s="2458"/>
      <c r="G39" s="136"/>
      <c r="H39" s="136"/>
      <c r="I39" s="136"/>
    </row>
    <row r="40" spans="1:15" ht="14.25" hidden="1">
      <c r="A40" s="2464" t="s">
        <v>2170</v>
      </c>
      <c r="B40" s="156"/>
      <c r="C40" s="157"/>
      <c r="D40" s="157"/>
      <c r="E40" s="158"/>
      <c r="F40" s="2458"/>
      <c r="G40" s="136"/>
      <c r="H40" s="136"/>
      <c r="I40" s="136"/>
    </row>
    <row r="41" spans="1:15" ht="14.25" hidden="1">
      <c r="A41" s="2464" t="s">
        <v>2171</v>
      </c>
      <c r="B41" s="156"/>
      <c r="C41" s="157"/>
      <c r="D41" s="157"/>
      <c r="E41" s="158"/>
      <c r="F41" s="2458"/>
      <c r="G41" s="136"/>
      <c r="H41" s="136"/>
      <c r="I41" s="136"/>
    </row>
    <row r="42" spans="1:15" ht="15" hidden="1" thickBot="1">
      <c r="A42" s="2465"/>
      <c r="B42" s="159"/>
      <c r="C42" s="160"/>
      <c r="D42" s="160"/>
      <c r="E42" s="161"/>
      <c r="F42" s="2458"/>
      <c r="G42" s="136"/>
      <c r="H42" s="136"/>
      <c r="I42" s="136"/>
    </row>
    <row r="43" spans="1:15" ht="12.75" hidden="1">
      <c r="A43" s="2158"/>
      <c r="B43" s="2158"/>
      <c r="C43" s="2158"/>
      <c r="D43" s="2158"/>
      <c r="E43" s="2158"/>
      <c r="F43" s="2466"/>
      <c r="G43" s="2466"/>
      <c r="H43" s="2466"/>
      <c r="I43" s="2467"/>
    </row>
    <row r="44" spans="1:15" ht="18.75" hidden="1">
      <c r="A44" s="2468" t="s">
        <v>2172</v>
      </c>
      <c r="B44" s="2469"/>
      <c r="C44" s="2469"/>
      <c r="D44" s="2470"/>
      <c r="E44" s="2470"/>
      <c r="F44" s="2471"/>
      <c r="G44" s="2471"/>
      <c r="H44" s="2471"/>
      <c r="I44" s="2471"/>
      <c r="J44" s="2472" t="s">
        <v>2173</v>
      </c>
      <c r="K44" s="2473"/>
      <c r="L44" s="2473"/>
      <c r="M44" s="2473"/>
      <c r="N44" s="2473"/>
      <c r="O44" s="2473"/>
    </row>
    <row r="45" spans="1:15" ht="14.25" hidden="1" customHeight="1" thickBot="1">
      <c r="A45" s="3136" t="s">
        <v>2174</v>
      </c>
      <c r="B45" s="3137"/>
      <c r="C45" s="3138"/>
      <c r="D45" s="162">
        <f ca="1">ROUND(H101*F45,0)</f>
        <v>80085</v>
      </c>
      <c r="E45" s="163" t="s">
        <v>2175</v>
      </c>
      <c r="F45" s="164">
        <v>1</v>
      </c>
      <c r="G45" s="165" t="s">
        <v>2176</v>
      </c>
      <c r="H45" s="136"/>
      <c r="I45" s="136"/>
      <c r="J45" s="3196" t="s">
        <v>2177</v>
      </c>
      <c r="K45" s="3196"/>
      <c r="L45" s="3196"/>
      <c r="M45" s="3196"/>
      <c r="N45" s="3196"/>
      <c r="O45" s="3196"/>
    </row>
    <row r="46" spans="1:15" ht="14.25" hidden="1" customHeight="1">
      <c r="A46" s="3133" t="s">
        <v>2178</v>
      </c>
      <c r="B46" s="3134"/>
      <c r="C46" s="3134"/>
      <c r="D46" s="3134"/>
      <c r="E46" s="3134"/>
      <c r="F46" s="3134"/>
      <c r="G46" s="3135"/>
      <c r="H46" s="2474"/>
      <c r="I46" s="166"/>
      <c r="J46" s="1805">
        <v>1</v>
      </c>
      <c r="K46" s="3196" t="s">
        <v>2179</v>
      </c>
      <c r="L46" s="3196"/>
      <c r="M46" s="3216"/>
      <c r="N46" s="3216"/>
      <c r="O46" s="3216"/>
    </row>
    <row r="47" spans="1:15" ht="12" hidden="1" customHeight="1">
      <c r="A47" s="167" t="s">
        <v>2180</v>
      </c>
      <c r="B47" s="168"/>
      <c r="C47" s="169"/>
      <c r="D47" s="170" t="s">
        <v>2181</v>
      </c>
      <c r="E47" s="24" t="s">
        <v>2182</v>
      </c>
      <c r="F47" s="171" t="s">
        <v>2183</v>
      </c>
      <c r="G47" s="172" t="s">
        <v>2184</v>
      </c>
      <c r="H47" s="2474"/>
      <c r="I47" s="166"/>
      <c r="J47" s="1805">
        <v>2</v>
      </c>
      <c r="K47" s="3196" t="s">
        <v>2185</v>
      </c>
      <c r="L47" s="3196"/>
      <c r="M47" s="3217">
        <f>'数据-取费表'!B2</f>
        <v>43566</v>
      </c>
      <c r="N47" s="3217"/>
      <c r="O47" s="3217"/>
    </row>
    <row r="48" spans="1:15" ht="25.5" hidden="1">
      <c r="A48" s="3164" t="s">
        <v>2186</v>
      </c>
      <c r="B48" s="3147"/>
      <c r="C48" s="3147"/>
      <c r="D48" s="138">
        <f>IF(H48="情况1",0,IF(H48="情况2",D52,IF(H48="情况3",D53,IF(H48="情况4",D54))))</f>
        <v>0</v>
      </c>
      <c r="E48" s="1794" t="str">
        <f>IF(H48="情况4","(销售额-原购置价)×税（费）率","销售额×税（费）率")</f>
        <v>销售额×税（费）率</v>
      </c>
      <c r="F48" s="173" t="str">
        <f>IF(H48="情况1","免征",'数据-取费表'!B41)</f>
        <v>免征</v>
      </c>
      <c r="G48" s="2475" t="s">
        <v>2187</v>
      </c>
      <c r="H48" s="2476" t="s">
        <v>2188</v>
      </c>
      <c r="I48" s="2474"/>
      <c r="J48" s="1805">
        <v>3</v>
      </c>
      <c r="K48" s="3196" t="s">
        <v>2189</v>
      </c>
      <c r="L48" s="3196"/>
      <c r="M48" s="3218">
        <f ca="1">H101</f>
        <v>80085</v>
      </c>
      <c r="N48" s="3218"/>
      <c r="O48" s="3218"/>
    </row>
    <row r="49" spans="1:35" ht="25.5" hidden="1" customHeight="1">
      <c r="A49" s="174" t="s">
        <v>2190</v>
      </c>
      <c r="B49" s="3132" t="s">
        <v>2191</v>
      </c>
      <c r="C49" s="3132"/>
      <c r="D49" s="175">
        <v>0</v>
      </c>
      <c r="E49" s="23" t="s">
        <v>2192</v>
      </c>
      <c r="F49" s="28" t="s">
        <v>34</v>
      </c>
      <c r="G49" s="3202"/>
      <c r="H49" s="136"/>
      <c r="I49" s="2477"/>
      <c r="J49" s="1805">
        <v>4</v>
      </c>
      <c r="K49" s="3196" t="str">
        <f>IF(项目基本情况!E8="房地产抵押价值","房地产抵押价值","抵押担保权已注销时的房地产抵押价值")</f>
        <v>抵押担保权已注销时的房地产抵押价值</v>
      </c>
      <c r="L49" s="3196"/>
      <c r="M49" s="3218">
        <f ca="1">IF(项目基本情况!E8="房地产抵押价值",H107,H109)</f>
        <v>80085</v>
      </c>
      <c r="N49" s="3218"/>
      <c r="O49" s="3218"/>
    </row>
    <row r="50" spans="1:35" ht="25.5" hidden="1" customHeight="1">
      <c r="A50" s="176"/>
      <c r="B50" s="3132" t="s">
        <v>2193</v>
      </c>
      <c r="C50" s="3132"/>
      <c r="D50" s="177"/>
      <c r="E50" s="31"/>
      <c r="F50" s="178"/>
      <c r="G50" s="3203"/>
      <c r="H50" s="136"/>
      <c r="I50" s="2477"/>
      <c r="J50" s="3196" t="s">
        <v>2194</v>
      </c>
      <c r="K50" s="3196"/>
      <c r="L50" s="3196"/>
      <c r="M50" s="3196"/>
      <c r="N50" s="3196"/>
      <c r="O50" s="3196"/>
    </row>
    <row r="51" spans="1:35" ht="12" hidden="1" customHeight="1">
      <c r="A51" s="179"/>
      <c r="B51" s="3132" t="s">
        <v>2195</v>
      </c>
      <c r="C51" s="3132"/>
      <c r="D51" s="180"/>
      <c r="E51" s="30"/>
      <c r="F51" s="178"/>
      <c r="G51" s="3204"/>
      <c r="H51" s="136"/>
      <c r="I51" s="2477"/>
      <c r="J51" s="2478" t="s">
        <v>2196</v>
      </c>
      <c r="K51" s="3196" t="s">
        <v>2197</v>
      </c>
      <c r="L51" s="3196"/>
      <c r="M51" s="2478" t="s">
        <v>2198</v>
      </c>
      <c r="N51" s="2478" t="s">
        <v>2199</v>
      </c>
      <c r="O51" s="2478" t="s">
        <v>2200</v>
      </c>
    </row>
    <row r="52" spans="1:35" ht="24" hidden="1" customHeight="1">
      <c r="A52" s="181" t="s">
        <v>2201</v>
      </c>
      <c r="B52" s="3132" t="s">
        <v>2202</v>
      </c>
      <c r="C52" s="3132"/>
      <c r="D52" s="180">
        <f ca="1">ROUND(D45*'数据-取费表'!B41/(1+'数据-取费表'!C42),0)</f>
        <v>4271</v>
      </c>
      <c r="E52" s="11" t="s">
        <v>2203</v>
      </c>
      <c r="F52" s="182">
        <f>'数据-取费表'!B41</f>
        <v>5.6000000000000001E-2</v>
      </c>
      <c r="G52" s="2479"/>
      <c r="H52" s="136"/>
      <c r="I52" s="2477"/>
      <c r="J52" s="1805">
        <v>1</v>
      </c>
      <c r="K52" s="3197" t="s">
        <v>2204</v>
      </c>
      <c r="L52" s="3197"/>
      <c r="M52" s="1747">
        <f>D48</f>
        <v>0</v>
      </c>
      <c r="N52" s="1805" t="str">
        <f>E48</f>
        <v>销售额×税（费）率</v>
      </c>
      <c r="O52" s="1748" t="str">
        <f>F48</f>
        <v>免征</v>
      </c>
    </row>
    <row r="53" spans="1:35" ht="12" hidden="1" customHeight="1">
      <c r="A53" s="181" t="s">
        <v>2205</v>
      </c>
      <c r="B53" s="3155" t="s">
        <v>2206</v>
      </c>
      <c r="C53" s="3156"/>
      <c r="D53" s="180">
        <f ca="1">ROUND(D45*'数据-取费表'!B41/(1+'数据-取费表'!C42),0)</f>
        <v>4271</v>
      </c>
      <c r="E53" s="11" t="s">
        <v>2203</v>
      </c>
      <c r="F53" s="182">
        <f>'数据-取费表'!B41</f>
        <v>5.6000000000000001E-2</v>
      </c>
      <c r="G53" s="2479"/>
      <c r="H53" s="136"/>
      <c r="I53" s="2477"/>
      <c r="J53" s="1805">
        <v>2</v>
      </c>
      <c r="K53" s="3197" t="s">
        <v>2207</v>
      </c>
      <c r="L53" s="3197"/>
      <c r="M53" s="1747">
        <f t="shared" ref="M53:O54" ca="1" si="0">D55</f>
        <v>40</v>
      </c>
      <c r="N53" s="1805" t="str">
        <f t="shared" si="0"/>
        <v>销售额×税（费）率</v>
      </c>
      <c r="O53" s="1748">
        <f t="shared" si="0"/>
        <v>5.0000000000000001E-4</v>
      </c>
    </row>
    <row r="54" spans="1:35" ht="12" hidden="1" customHeight="1">
      <c r="A54" s="181" t="s">
        <v>2208</v>
      </c>
      <c r="B54" s="3155" t="s">
        <v>2209</v>
      </c>
      <c r="C54" s="3156"/>
      <c r="D54" s="180">
        <f ca="1">C68</f>
        <v>4271</v>
      </c>
      <c r="E54" s="30" t="s">
        <v>2210</v>
      </c>
      <c r="F54" s="182">
        <f>'数据-取费表'!B41</f>
        <v>5.6000000000000001E-2</v>
      </c>
      <c r="G54" s="2479"/>
      <c r="H54" s="2480"/>
      <c r="I54" s="2477"/>
      <c r="J54" s="1805">
        <v>3</v>
      </c>
      <c r="K54" s="3197" t="s">
        <v>2211</v>
      </c>
      <c r="L54" s="3197"/>
      <c r="M54" s="1747">
        <f t="shared" ca="1" si="0"/>
        <v>45328</v>
      </c>
      <c r="N54" s="1805" t="str">
        <f t="shared" si="0"/>
        <v>增值额×税（费）率</v>
      </c>
      <c r="O54" s="1749" t="str">
        <f t="shared" si="0"/>
        <v>——</v>
      </c>
    </row>
    <row r="55" spans="1:35" ht="24" hidden="1" customHeight="1">
      <c r="A55" s="3146" t="s">
        <v>2212</v>
      </c>
      <c r="B55" s="3147"/>
      <c r="C55" s="3147"/>
      <c r="D55" s="183">
        <f ca="1">IF(H55="个人住宅",0,ROUND(D45*I55,0))</f>
        <v>40</v>
      </c>
      <c r="E55" s="11" t="s">
        <v>2213</v>
      </c>
      <c r="F55" s="182">
        <f>IF(H55="正常",I55,"免征")</f>
        <v>5.0000000000000001E-4</v>
      </c>
      <c r="G55" s="2479"/>
      <c r="H55" s="2476" t="s">
        <v>2214</v>
      </c>
      <c r="I55" s="184">
        <f>'数据-取费表'!B49</f>
        <v>5.0000000000000001E-4</v>
      </c>
      <c r="J55" s="1805" t="str">
        <f>IF(H59="非个人房产","",4)</f>
        <v/>
      </c>
      <c r="K55" s="3197" t="str">
        <f>IF(H59="非个人房产","——","个人所得税")</f>
        <v>——</v>
      </c>
      <c r="L55" s="3197"/>
      <c r="M55" s="1750" t="str">
        <f>D59</f>
        <v>——</v>
      </c>
      <c r="N55" s="1803" t="str">
        <f>E59</f>
        <v>——</v>
      </c>
      <c r="O55" s="1751" t="str">
        <f>F59</f>
        <v>——</v>
      </c>
    </row>
    <row r="56" spans="1:35" ht="24.75" hidden="1">
      <c r="A56" s="3146" t="s">
        <v>2215</v>
      </c>
      <c r="B56" s="3147"/>
      <c r="C56" s="3147"/>
      <c r="D56" s="183">
        <f ca="1">IF(H56="个人住宅",D57,D58)</f>
        <v>45328</v>
      </c>
      <c r="E56" s="11" t="s">
        <v>2216</v>
      </c>
      <c r="F56" s="182" t="str">
        <f>IF(H56="正常",F58,"免征")</f>
        <v>——</v>
      </c>
      <c r="G56" s="2481" t="s">
        <v>2217</v>
      </c>
      <c r="H56" s="2482" t="s">
        <v>2214</v>
      </c>
      <c r="I56" s="2483"/>
      <c r="J56" s="1805" t="str">
        <f>IF(项目基本情况!K6="上海银行",IF(J55="",4,J55+1),"")</f>
        <v/>
      </c>
      <c r="K56" s="3220" t="str">
        <f>IF(项目基本情况!K6="上海银行","其他处置费用","")</f>
        <v/>
      </c>
      <c r="L56" s="3221"/>
      <c r="M56" s="1747" t="str">
        <f>IF(项目基本情况!K6="上海银行",M69,"")</f>
        <v/>
      </c>
      <c r="N56" s="3223" t="str">
        <f>IF(项目基本情况!K6="上海银行","包含处置中涉及的律师、诉讼、拍卖、评估等费用","")</f>
        <v/>
      </c>
      <c r="O56" s="3224"/>
    </row>
    <row r="57" spans="1:35" ht="12.75" hidden="1">
      <c r="A57" s="181" t="s">
        <v>2190</v>
      </c>
      <c r="B57" s="3162" t="s">
        <v>2218</v>
      </c>
      <c r="C57" s="3171"/>
      <c r="D57" s="185">
        <v>0</v>
      </c>
      <c r="E57" s="23" t="s">
        <v>2192</v>
      </c>
      <c r="F57" s="153"/>
      <c r="G57" s="2479"/>
      <c r="H57" s="2483"/>
      <c r="I57" s="2483"/>
      <c r="J57" s="3197">
        <f>IF(AND(J55="",J56=""),4,IF(项目基本情况!K6="上海银行",结果表!J56+1,结果表!J55+1))</f>
        <v>4</v>
      </c>
      <c r="K57" s="3197" t="s">
        <v>2219</v>
      </c>
      <c r="L57" s="2484" t="s">
        <v>2220</v>
      </c>
      <c r="M57" s="1752"/>
      <c r="N57" s="1753">
        <f ca="1">SUMIF(M52:M56,"&lt;9e307")</f>
        <v>45368</v>
      </c>
      <c r="O57" s="2485"/>
      <c r="P57" s="1746">
        <f ca="1">N57/M49</f>
        <v>0.56649809577324095</v>
      </c>
    </row>
    <row r="58" spans="1:35" ht="24.75" hidden="1">
      <c r="A58" s="181" t="s">
        <v>2201</v>
      </c>
      <c r="B58" s="3162" t="s">
        <v>2221</v>
      </c>
      <c r="C58" s="3163"/>
      <c r="D58" s="183">
        <f ca="1">IF(H58="转让取得",C81,C97)</f>
        <v>45328</v>
      </c>
      <c r="E58" s="11" t="s">
        <v>2216</v>
      </c>
      <c r="F58" s="24" t="s">
        <v>34</v>
      </c>
      <c r="G58" s="2479"/>
      <c r="H58" s="2482" t="s">
        <v>2222</v>
      </c>
      <c r="I58" s="2483"/>
      <c r="J58" s="3197"/>
      <c r="K58" s="3197"/>
      <c r="L58" s="2484" t="s">
        <v>2223</v>
      </c>
      <c r="M58" s="1754"/>
      <c r="N58" s="2486" t="str">
        <f ca="1">NUMBERSTRING(INT(N57*10000),2)&amp;"元整"</f>
        <v>肆亿伍仟叁佰陆拾捌万元整</v>
      </c>
      <c r="O58" s="2487"/>
    </row>
    <row r="59" spans="1:35" ht="24.75" hidden="1" thickBot="1">
      <c r="A59" s="3200" t="s">
        <v>2224</v>
      </c>
      <c r="B59" s="3201"/>
      <c r="C59" s="3201"/>
      <c r="D59" s="186" t="str">
        <f>IF(H59="非个人房产","——",IF(H59="个人住宅",0,ROUND(D45*I59,0)))</f>
        <v>——</v>
      </c>
      <c r="E59" s="187" t="str">
        <f>IF(H59="非个人房产","——","销售额×税（费）率")</f>
        <v>——</v>
      </c>
      <c r="F59" s="188" t="str">
        <f>IF(H59="非个人房产","——",IF(H59="个人住宅","免征",I59))</f>
        <v>——</v>
      </c>
      <c r="G59" s="2488" t="s">
        <v>2217</v>
      </c>
      <c r="H59" s="2482" t="s">
        <v>2225</v>
      </c>
      <c r="I59" s="189">
        <v>0.01</v>
      </c>
      <c r="J59" s="3198">
        <f>J57+1</f>
        <v>5</v>
      </c>
      <c r="K59" s="3197" t="s">
        <v>2226</v>
      </c>
      <c r="L59" s="1805" t="s">
        <v>2220</v>
      </c>
      <c r="M59" s="1755"/>
      <c r="N59" s="1756">
        <f ca="1">M49-N57</f>
        <v>34717</v>
      </c>
      <c r="O59" s="2489"/>
    </row>
    <row r="60" spans="1:35" ht="12" hidden="1" customHeight="1">
      <c r="A60" s="2490"/>
      <c r="B60" s="2412"/>
      <c r="C60" s="2412"/>
      <c r="D60" s="2412"/>
      <c r="E60" s="2159"/>
      <c r="F60" s="2483"/>
      <c r="G60" s="2483"/>
      <c r="H60" s="2491"/>
      <c r="I60" s="136"/>
      <c r="J60" s="3199"/>
      <c r="K60" s="3197"/>
      <c r="L60" s="2484" t="s">
        <v>2223</v>
      </c>
      <c r="M60" s="1754"/>
      <c r="N60" s="2486" t="str">
        <f ca="1">NUMBERSTRING(INT(N59*10000),2)&amp;"元整"</f>
        <v>叁亿肆仟柒佰壹拾柒万元整</v>
      </c>
      <c r="O60" s="2487"/>
    </row>
    <row r="61" spans="1:35" ht="13.5" hidden="1" thickBot="1">
      <c r="A61" s="3144" t="s">
        <v>2227</v>
      </c>
      <c r="B61" s="3144"/>
      <c r="C61" s="3144"/>
      <c r="D61" s="3144"/>
      <c r="E61" s="3144"/>
      <c r="F61" s="2483"/>
      <c r="G61" s="2483"/>
      <c r="H61" s="2491"/>
      <c r="I61" s="136"/>
      <c r="J61" s="1805">
        <f>J59+1</f>
        <v>6</v>
      </c>
      <c r="K61" s="3197" t="s">
        <v>2228</v>
      </c>
      <c r="L61" s="3197"/>
      <c r="M61" s="1757"/>
      <c r="N61" s="1758">
        <f ca="1">ROUND(N59*10000/'数据-汇总表'!E3,0)</f>
        <v>12024</v>
      </c>
      <c r="O61" s="2492"/>
    </row>
    <row r="62" spans="1:35" ht="12.75" hidden="1">
      <c r="A62" s="3160" t="s">
        <v>2229</v>
      </c>
      <c r="B62" s="3161"/>
      <c r="C62" s="1797"/>
      <c r="D62" s="1797" t="s">
        <v>2230</v>
      </c>
      <c r="E62" s="190" t="s">
        <v>2231</v>
      </c>
      <c r="F62" s="2483"/>
      <c r="G62" s="2483"/>
      <c r="H62" s="2491"/>
      <c r="I62" s="136"/>
    </row>
    <row r="63" spans="1:35" ht="12.75" hidden="1">
      <c r="A63" s="201" t="s">
        <v>775</v>
      </c>
      <c r="B63" s="191" t="s">
        <v>2232</v>
      </c>
      <c r="C63" s="192">
        <f ca="1">ROUND((C64+C65)/(1+'数据-取费表'!C42),0)</f>
        <v>76271</v>
      </c>
      <c r="D63" s="193"/>
      <c r="E63" s="194"/>
      <c r="F63" s="2483"/>
      <c r="G63" s="2483"/>
      <c r="H63" s="2491"/>
      <c r="I63" s="136"/>
      <c r="J63" s="3222" t="s">
        <v>2233</v>
      </c>
      <c r="K63" s="2493" t="s">
        <v>2234</v>
      </c>
      <c r="L63" s="1745">
        <f ca="1">IF(M49&gt;10000,M49*0.5%,IF(AND(M49&gt;1000,M49&lt;=10000),M49*1%,IF(AND(M49&gt;100,M49&lt;=1000),M49*3%,IF(AND(M49&gt;10,M49&lt;=100),M49*5%,M49*8%))))</f>
        <v>400.42500000000001</v>
      </c>
      <c r="M63" s="24">
        <f ca="1">ROUND(L63,1)</f>
        <v>400.4</v>
      </c>
      <c r="Z63" s="2417"/>
      <c r="AI63" s="2418"/>
    </row>
    <row r="64" spans="1:35" ht="14.25" hidden="1" customHeight="1">
      <c r="A64" s="195" t="s">
        <v>770</v>
      </c>
      <c r="B64" s="196" t="s">
        <v>2235</v>
      </c>
      <c r="C64" s="197">
        <f ca="1">D45</f>
        <v>80085</v>
      </c>
      <c r="D64" s="198" t="s">
        <v>32</v>
      </c>
      <c r="E64" s="199"/>
      <c r="F64" s="2483"/>
      <c r="G64" s="2483"/>
      <c r="H64" s="2491"/>
      <c r="I64" s="136"/>
      <c r="J64" s="3222"/>
      <c r="K64" s="2493" t="s">
        <v>2236</v>
      </c>
      <c r="L64" s="1745">
        <f ca="1">IF(M49&gt;2000,M49*0.5%,IF(AND(M49&gt;1000,M49&lt;=2000),M49*0.6%,IF(AND(M49&gt;500,M49&lt;=1000),M49*0.7%,IF(AND(M49&gt;200,M49&lt;=500),M49*0.8%,IF(AND(M49&gt;100,M49&lt;=200),M49*0.9%,IF(AND(M49&gt;50,M49&lt;=100),M49*1%,IF(AND(M49&gt;20,M49&lt;=50),M49*1.5%,IF(AND(M49&gt;10,M49&lt;=20),M49*2%,IF(AND(M49&gt;1,M49&lt;=10),M49*2.5%)))))))))</f>
        <v>400.42500000000001</v>
      </c>
      <c r="M64" s="24">
        <f t="shared" ref="M64:M65" ca="1" si="1">ROUND(L64,1)</f>
        <v>400.4</v>
      </c>
      <c r="N64" s="136" t="s">
        <v>2237</v>
      </c>
      <c r="Z64" s="2417"/>
      <c r="AI64" s="2418"/>
    </row>
    <row r="65" spans="1:35" ht="14.25" hidden="1" customHeight="1">
      <c r="A65" s="195" t="s">
        <v>771</v>
      </c>
      <c r="B65" s="196" t="s">
        <v>2238</v>
      </c>
      <c r="C65" s="200"/>
      <c r="D65" s="198"/>
      <c r="E65" s="199"/>
      <c r="F65" s="2483"/>
      <c r="G65" s="2483"/>
      <c r="H65" s="2491"/>
      <c r="I65" s="136"/>
      <c r="J65" s="3222"/>
      <c r="K65" s="2493" t="s">
        <v>2239</v>
      </c>
      <c r="L65" s="1745">
        <f ca="1">IF(M49&gt;1000,M49*0.1%,IF(AND(M49&gt;500,M49&lt;=1000),M49*0.5%,IF(AND(M49&gt;50,M49&lt;=500),M49*1%,IF(AND(M49&gt;1,M49&lt;=50),M49*1.5%))))</f>
        <v>80.085000000000008</v>
      </c>
      <c r="M65" s="24">
        <f t="shared" ca="1" si="1"/>
        <v>80.099999999999994</v>
      </c>
      <c r="N65" s="136" t="s">
        <v>2237</v>
      </c>
      <c r="Z65" s="2417"/>
      <c r="AI65" s="2418"/>
    </row>
    <row r="66" spans="1:35" ht="14.25" hidden="1" customHeight="1">
      <c r="A66" s="201" t="s">
        <v>772</v>
      </c>
      <c r="B66" s="202" t="s">
        <v>2240</v>
      </c>
      <c r="C66" s="203"/>
      <c r="D66" s="204" t="s">
        <v>32</v>
      </c>
      <c r="E66" s="1769" t="s">
        <v>1367</v>
      </c>
      <c r="F66" s="2483"/>
      <c r="G66" s="2483"/>
      <c r="H66" s="2491"/>
      <c r="I66" s="136"/>
      <c r="J66" s="3222"/>
      <c r="K66" s="2493" t="s">
        <v>2241</v>
      </c>
      <c r="L66" s="1745">
        <f ca="1">M49*0.5%</f>
        <v>400.42500000000001</v>
      </c>
      <c r="M66" s="24">
        <f ca="1">IF(L66&gt;0.5,0.5,ROUND(L66,0))</f>
        <v>0.5</v>
      </c>
      <c r="N66" s="136" t="s">
        <v>2242</v>
      </c>
      <c r="Z66" s="2417"/>
      <c r="AI66" s="2418"/>
    </row>
    <row r="67" spans="1:35" ht="14.25" hidden="1" customHeight="1">
      <c r="A67" s="201" t="s">
        <v>773</v>
      </c>
      <c r="B67" s="202" t="s">
        <v>2243</v>
      </c>
      <c r="C67" s="205">
        <f ca="1">C63-C66</f>
        <v>76271</v>
      </c>
      <c r="D67" s="198" t="s">
        <v>32</v>
      </c>
      <c r="E67" s="199"/>
      <c r="F67" s="2483"/>
      <c r="G67" s="2483"/>
      <c r="H67" s="2491"/>
      <c r="I67" s="136"/>
      <c r="J67" s="3222"/>
      <c r="K67" s="2493" t="s">
        <v>2244</v>
      </c>
      <c r="L67" s="1745">
        <f ca="1">IF(M49&gt;=10000,(8.25+(M49-10000)*0.01%),IF(AND(M49&gt;=8000,M49&lt;10000),(7.85+(M49-8000)*0.02%),IF(AND(M49&gt;=5000,M49&lt;8000),(6.65+(M49-5000)*0.04%),IF(AND(M49&gt;=2000,M49&lt;5000),(4.25+(PM49-2000)*0.08%),IF(AND(M49&gt;=1000,M49&lt;2000),(2.75+(M49-1000)*0.15%),IF(AND(M49&gt;=100,M49&lt;1000),(0.5+(M49-100)*0.25%),IF(AND(M49&gt;0,M49&lt;100),M49*0.5%)))))))</f>
        <v>15.258500000000002</v>
      </c>
      <c r="M67" s="24">
        <f ca="1">ROUND(L67*0.9,1)</f>
        <v>13.7</v>
      </c>
      <c r="Z67" s="2417"/>
      <c r="AI67" s="2418"/>
    </row>
    <row r="68" spans="1:35" ht="14.25" hidden="1" customHeight="1" thickBot="1">
      <c r="A68" s="206" t="s">
        <v>774</v>
      </c>
      <c r="B68" s="207" t="s">
        <v>2245</v>
      </c>
      <c r="C68" s="208">
        <f ca="1">IF(C67&lt;=0,0,ROUND(C67*D68,0))</f>
        <v>4271</v>
      </c>
      <c r="D68" s="209">
        <f>'数据-取费表'!B41</f>
        <v>5.6000000000000001E-2</v>
      </c>
      <c r="E68" s="210"/>
      <c r="F68" s="2483"/>
      <c r="G68" s="2483"/>
      <c r="H68" s="2491"/>
      <c r="I68" s="136"/>
      <c r="J68" s="3222"/>
      <c r="K68" s="2493" t="s">
        <v>2246</v>
      </c>
      <c r="L68" s="1745">
        <f ca="1">IF(M49&gt;10000,M49*0.5%,IF(AND(M49&gt;5000,M49&lt;=10000),M49*1%,IF(AND(M49&gt;1000,M49&lt;=5000),M49*2%,IF(AND(M49&gt;200,M49&lt;=1000),M49*3%,M49*5%))))</f>
        <v>400.42500000000001</v>
      </c>
      <c r="M68" s="24">
        <f ca="1">ROUND(L68,1)</f>
        <v>400.4</v>
      </c>
      <c r="Z68" s="2417"/>
      <c r="AI68" s="2418"/>
    </row>
    <row r="69" spans="1:35" s="2440" customFormat="1" ht="16.5" hidden="1" customHeight="1">
      <c r="A69" s="2494"/>
      <c r="B69" s="2495"/>
      <c r="C69" s="2496"/>
      <c r="D69" s="2497"/>
      <c r="E69" s="2498"/>
      <c r="F69" s="2159"/>
      <c r="G69" s="2159"/>
      <c r="H69" s="2158"/>
      <c r="I69" s="2412"/>
      <c r="J69" s="3222"/>
      <c r="K69" s="2493" t="s">
        <v>2247</v>
      </c>
      <c r="L69" s="2499"/>
      <c r="M69" s="24">
        <f ca="1">ROUND(SUM(M63:M68),0)</f>
        <v>1296</v>
      </c>
      <c r="N69" s="1746">
        <f ca="1">M69/M49</f>
        <v>1.6182805768870576E-2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hidden="1" thickBot="1">
      <c r="A70" s="3181" t="s">
        <v>2248</v>
      </c>
      <c r="B70" s="3182"/>
      <c r="C70" s="3182"/>
      <c r="D70" s="3182"/>
      <c r="E70" s="3182"/>
      <c r="F70" s="3182"/>
      <c r="G70" s="3182"/>
      <c r="H70" s="318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60" t="s">
        <v>2229</v>
      </c>
      <c r="B71" s="3161"/>
      <c r="C71" s="1797"/>
      <c r="D71" s="1797" t="s">
        <v>2230</v>
      </c>
      <c r="E71" s="211" t="s">
        <v>2231</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1" t="s">
        <v>775</v>
      </c>
      <c r="B72" s="202" t="s">
        <v>2249</v>
      </c>
      <c r="C72" s="205">
        <f ca="1">ROUND(D45/(1+'数据-取费表'!C42),0)</f>
        <v>76271</v>
      </c>
      <c r="D72" s="198" t="s">
        <v>32</v>
      </c>
      <c r="E72" s="1796"/>
      <c r="F72" s="1790"/>
      <c r="G72" s="1790"/>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1" t="s">
        <v>772</v>
      </c>
      <c r="B73" s="171" t="s">
        <v>2250</v>
      </c>
      <c r="C73" s="205">
        <f ca="1">C74+C78</f>
        <v>458</v>
      </c>
      <c r="D73" s="198" t="s">
        <v>32</v>
      </c>
      <c r="E73" s="1796"/>
      <c r="F73" s="1790"/>
      <c r="G73" s="1790"/>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5" t="s">
        <v>770</v>
      </c>
      <c r="B74" s="196" t="s">
        <v>2251</v>
      </c>
      <c r="C74" s="198">
        <f>ROUND(IF(G77="2016年5月1日后购买",C75/(1+'数据-取费表'!C42)+C76+C77,C75+C76+C77),0)</f>
        <v>0</v>
      </c>
      <c r="D74" s="198" t="s">
        <v>32</v>
      </c>
      <c r="E74" s="1796"/>
      <c r="F74" s="1790"/>
      <c r="G74" s="1790"/>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5" t="s">
        <v>776</v>
      </c>
      <c r="B75" s="196" t="s">
        <v>2252</v>
      </c>
      <c r="C75" s="216"/>
      <c r="D75" s="198" t="s">
        <v>32</v>
      </c>
      <c r="E75" s="217" t="s">
        <v>2253</v>
      </c>
      <c r="F75" s="2505" t="s">
        <v>2254</v>
      </c>
      <c r="G75" s="217" t="s">
        <v>2255</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5" t="s">
        <v>777</v>
      </c>
      <c r="B76" s="219" t="s">
        <v>2256</v>
      </c>
      <c r="C76" s="198">
        <f>IF(F75="购房发票",ROUND(C75*H75*D76,0),0)</f>
        <v>0</v>
      </c>
      <c r="D76" s="220">
        <v>0.05</v>
      </c>
      <c r="E76" s="3155" t="s">
        <v>2257</v>
      </c>
      <c r="F76" s="3132"/>
      <c r="G76" s="3132"/>
      <c r="H76" s="318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5" t="s">
        <v>778</v>
      </c>
      <c r="B77" s="196" t="s">
        <v>2258</v>
      </c>
      <c r="C77" s="198">
        <f>ROUND(IF(G77="个人住宅",0,IF(G77="2016年5月1日前购买",C75*D77,C75*D77/(1+'数据-取费表'!C42))),0)</f>
        <v>0</v>
      </c>
      <c r="D77" s="221">
        <f>'数据-取费表'!B48+'数据-取费表'!B49</f>
        <v>3.0499999999999999E-2</v>
      </c>
      <c r="E77" s="15" t="s">
        <v>2259</v>
      </c>
      <c r="F77" s="222"/>
      <c r="G77" s="2507" t="s">
        <v>2260</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5" t="s">
        <v>771</v>
      </c>
      <c r="B78" s="196" t="s">
        <v>2261</v>
      </c>
      <c r="C78" s="223">
        <f ca="1">ROUND(D45*D78/(1+'数据-取费表'!C42),0)</f>
        <v>458</v>
      </c>
      <c r="D78" s="224">
        <f>'数据-取费表'!B43</f>
        <v>6.000000000000001E-3</v>
      </c>
      <c r="E78" s="3141" t="s">
        <v>2262</v>
      </c>
      <c r="F78" s="3142"/>
      <c r="G78" s="3142"/>
      <c r="H78" s="315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2" t="s">
        <v>2263</v>
      </c>
      <c r="C79" s="205">
        <f ca="1">C72-C73</f>
        <v>75813</v>
      </c>
      <c r="D79" s="198" t="s">
        <v>32</v>
      </c>
      <c r="E79" s="1796"/>
      <c r="F79" s="1790"/>
      <c r="G79" s="1790"/>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2" t="s">
        <v>2264</v>
      </c>
      <c r="C80" s="225">
        <f ca="1">IF(C79&lt;=0,0,C79/C73)</f>
        <v>165.53056768558952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7" t="s">
        <v>2265</v>
      </c>
      <c r="C81" s="226">
        <f ca="1">ROUND(IF(C79&lt;=0,0,IF(C80&gt;=200%,C79*60%-C73*35%,IF(C80&gt;=100%,C79*50%-C73*15%,IF(C80&gt;=50%,C79*40%-C73*5%,IF(C80&lt;50%,C79*30%,0))))),0)</f>
        <v>45328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81" t="s">
        <v>2266</v>
      </c>
      <c r="B83" s="3182"/>
      <c r="C83" s="3182"/>
      <c r="D83" s="3182"/>
      <c r="E83" s="3182"/>
      <c r="F83" s="3182"/>
      <c r="G83" s="3182"/>
      <c r="H83" s="318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60" t="s">
        <v>2229</v>
      </c>
      <c r="B84" s="3161"/>
      <c r="C84" s="1797"/>
      <c r="D84" s="1797" t="s">
        <v>2230</v>
      </c>
      <c r="E84" s="211" t="s">
        <v>2231</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1" t="s">
        <v>775</v>
      </c>
      <c r="B85" s="202" t="s">
        <v>2249</v>
      </c>
      <c r="C85" s="205">
        <f ca="1">ROUND(D45/(1+'数据-取费表'!C42),0)</f>
        <v>76271</v>
      </c>
      <c r="D85" s="198" t="s">
        <v>32</v>
      </c>
      <c r="E85" s="1796"/>
      <c r="F85" s="1790"/>
      <c r="G85" s="1790"/>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1" t="s">
        <v>772</v>
      </c>
      <c r="B86" s="171" t="s">
        <v>2250</v>
      </c>
      <c r="C86" s="205">
        <f ca="1">IF(H88="仅含出让金",C87+C90+C91+C92+C93+C94,C87+C91+C92+C93+C94)</f>
        <v>458</v>
      </c>
      <c r="D86" s="233"/>
      <c r="E86" s="1796"/>
      <c r="F86" s="1790"/>
      <c r="G86" s="1790"/>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5" t="s">
        <v>770</v>
      </c>
      <c r="B87" s="196" t="s">
        <v>2267</v>
      </c>
      <c r="C87" s="223">
        <f>C88+C89</f>
        <v>0</v>
      </c>
      <c r="D87" s="224"/>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5" t="s">
        <v>776</v>
      </c>
      <c r="B88" s="196" t="s">
        <v>2268</v>
      </c>
      <c r="C88" s="234"/>
      <c r="D88" s="224"/>
      <c r="E88" s="235" t="s">
        <v>2269</v>
      </c>
      <c r="F88" s="1793"/>
      <c r="G88" s="236"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5" t="s">
        <v>777</v>
      </c>
      <c r="B89" s="196" t="s">
        <v>2258</v>
      </c>
      <c r="C89" s="223">
        <f>ROUND(C88*D89,0)</f>
        <v>0</v>
      </c>
      <c r="D89" s="224">
        <f>'数据-取费表'!B48+'数据-取费表'!B49</f>
        <v>3.0499999999999999E-2</v>
      </c>
      <c r="E89" s="235" t="s">
        <v>2271</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5" t="s">
        <v>771</v>
      </c>
      <c r="B90" s="196" t="s">
        <v>2272</v>
      </c>
      <c r="C90" s="234"/>
      <c r="D90" s="224"/>
      <c r="E90" s="235"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5" t="s">
        <v>2273</v>
      </c>
      <c r="B91" s="196" t="s">
        <v>2274</v>
      </c>
      <c r="C91" s="223">
        <f>IF(H91="——",成本法!C33,I91)</f>
        <v>0</v>
      </c>
      <c r="D91" s="224"/>
      <c r="E91" s="3141" t="s">
        <v>2275</v>
      </c>
      <c r="F91" s="3142"/>
      <c r="G91" s="3142"/>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5" t="s">
        <v>2277</v>
      </c>
      <c r="B92" s="196" t="s">
        <v>2278</v>
      </c>
      <c r="C92" s="223">
        <f>ROUND((C87+C90+C91)*D92,0)</f>
        <v>0</v>
      </c>
      <c r="D92" s="224">
        <v>0.1</v>
      </c>
      <c r="E92" s="3141" t="s">
        <v>2279</v>
      </c>
      <c r="F92" s="3142"/>
      <c r="G92" s="3142"/>
      <c r="H92" s="315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5" t="s">
        <v>2280</v>
      </c>
      <c r="B93" s="196" t="s">
        <v>2261</v>
      </c>
      <c r="C93" s="223">
        <f ca="1">ROUND(D45*D93/(1+'数据-取费表'!C42),0)</f>
        <v>458</v>
      </c>
      <c r="D93" s="224">
        <f>'数据-取费表'!B43</f>
        <v>6.000000000000001E-3</v>
      </c>
      <c r="E93" s="3141" t="s">
        <v>2262</v>
      </c>
      <c r="F93" s="3142"/>
      <c r="G93" s="3142"/>
      <c r="H93" s="315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5" t="s">
        <v>2281</v>
      </c>
      <c r="B94" s="196" t="s">
        <v>2282</v>
      </c>
      <c r="C94" s="234">
        <f>ROUND((C87+C90+C91)*D94,0)</f>
        <v>0</v>
      </c>
      <c r="D94" s="224">
        <v>0.2</v>
      </c>
      <c r="E94" s="3152" t="s">
        <v>2283</v>
      </c>
      <c r="F94" s="3153"/>
      <c r="G94" s="3153"/>
      <c r="H94" s="315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2" t="s">
        <v>2263</v>
      </c>
      <c r="C95" s="205">
        <f ca="1">ROUND(C85-C86,0)</f>
        <v>75813</v>
      </c>
      <c r="D95" s="198" t="s">
        <v>32</v>
      </c>
      <c r="E95" s="1796"/>
      <c r="F95" s="1790"/>
      <c r="G95" s="1790"/>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2" t="s">
        <v>2264</v>
      </c>
      <c r="C96" s="225">
        <f ca="1">IF(C95&lt;=0,0,C95/C86)</f>
        <v>165.53056768558952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7" t="s">
        <v>2265</v>
      </c>
      <c r="C97" s="226">
        <f ca="1">ROUND(IF(C95&lt;=0,0,IF(C96&gt;=200%,C95*60%-C86*35%,IF(C96&gt;=100%,C95*50%-C86*15%,IF(C96&gt;=50%,C95*40%-C86*5%,IF(C96&lt;50%,C95*30%,0))))),0)</f>
        <v>45328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59"/>
      <c r="F98" s="2159"/>
      <c r="G98" s="2159"/>
      <c r="H98" s="2158"/>
      <c r="I98" s="136"/>
    </row>
    <row r="99" spans="1:35" ht="21.75" customHeight="1" thickBot="1">
      <c r="A99" s="2468" t="s">
        <v>2284</v>
      </c>
      <c r="B99" s="2412"/>
      <c r="C99" s="2412"/>
      <c r="D99" s="2412"/>
      <c r="E99" s="2159"/>
      <c r="F99" s="2159"/>
      <c r="G99" s="2159"/>
      <c r="H99" s="2158"/>
      <c r="I99" s="136"/>
    </row>
    <row r="100" spans="1:35" ht="18.75" customHeight="1">
      <c r="A100" s="3125" t="s">
        <v>2285</v>
      </c>
      <c r="B100" s="3126"/>
      <c r="C100" s="3126"/>
      <c r="D100" s="3143"/>
      <c r="E100" s="3126" t="s">
        <v>2286</v>
      </c>
      <c r="F100" s="3126"/>
      <c r="G100" s="3126"/>
      <c r="H100" s="3143"/>
      <c r="I100" s="136"/>
    </row>
    <row r="101" spans="1:35" ht="18.75" customHeight="1">
      <c r="A101" s="3205" t="s">
        <v>2287</v>
      </c>
      <c r="B101" s="3206"/>
      <c r="C101" s="734" t="str">
        <f>C4</f>
        <v>成本法</v>
      </c>
      <c r="D101" s="735" t="str">
        <f>D4</f>
        <v>收益法（汇总）</v>
      </c>
      <c r="E101" s="3219" t="s">
        <v>2288</v>
      </c>
      <c r="F101" s="3173"/>
      <c r="G101" s="2514" t="s">
        <v>2289</v>
      </c>
      <c r="H101" s="1041">
        <f ca="1">H118</f>
        <v>80085</v>
      </c>
      <c r="I101" s="136"/>
    </row>
    <row r="102" spans="1:35" ht="18.75" customHeight="1">
      <c r="A102" s="3175" t="s">
        <v>2290</v>
      </c>
      <c r="B102" s="2514" t="s">
        <v>2289</v>
      </c>
      <c r="C102" s="734">
        <f ca="1">C19</f>
        <v>73366</v>
      </c>
      <c r="D102" s="735">
        <f ca="1">D19</f>
        <v>86804</v>
      </c>
      <c r="E102" s="3219"/>
      <c r="F102" s="3173"/>
      <c r="G102" s="2514" t="s">
        <v>2291</v>
      </c>
      <c r="H102" s="369">
        <f ca="1">I118</f>
        <v>27737</v>
      </c>
      <c r="I102" s="136"/>
    </row>
    <row r="103" spans="1:35" ht="42.75" customHeight="1">
      <c r="A103" s="3175"/>
      <c r="B103" s="2514" t="s">
        <v>2291</v>
      </c>
      <c r="C103" s="736">
        <f ca="1">C20</f>
        <v>25410</v>
      </c>
      <c r="D103" s="737">
        <f ca="1">D20</f>
        <v>30064</v>
      </c>
      <c r="E103" s="3214" t="s">
        <v>2292</v>
      </c>
      <c r="F103" s="3215"/>
      <c r="G103" s="2515" t="s">
        <v>2293</v>
      </c>
      <c r="H103" s="1041">
        <f>IF(D36="正常操作",H104+H105+H106,H105+H106)</f>
        <v>0</v>
      </c>
      <c r="I103" s="136"/>
    </row>
    <row r="104" spans="1:35" ht="18.75" customHeight="1">
      <c r="A104" s="3175" t="s">
        <v>2294</v>
      </c>
      <c r="B104" s="2516" t="s">
        <v>2289</v>
      </c>
      <c r="C104" s="738">
        <f ca="1">H118</f>
        <v>80085</v>
      </c>
      <c r="D104" s="739"/>
      <c r="E104" s="2260" t="s">
        <v>2295</v>
      </c>
      <c r="F104" s="2251"/>
      <c r="G104" s="2515" t="s">
        <v>2293</v>
      </c>
      <c r="H104" s="1042" t="str">
        <f>IF(D36="同一抵押权人同一抵押物续贷",C36&amp;"（未扣减，详见特别提示）",C36)</f>
        <v>（未扣减，详见特别提示）</v>
      </c>
      <c r="I104" s="136"/>
    </row>
    <row r="105" spans="1:35" ht="18.75" customHeight="1" thickBot="1">
      <c r="A105" s="3176"/>
      <c r="B105" s="2517" t="s">
        <v>2291</v>
      </c>
      <c r="C105" s="740">
        <f ca="1">I118</f>
        <v>27737</v>
      </c>
      <c r="D105" s="741"/>
      <c r="E105" s="2260" t="s">
        <v>2296</v>
      </c>
      <c r="F105" s="2251"/>
      <c r="G105" s="2515" t="s">
        <v>2293</v>
      </c>
      <c r="H105" s="1042">
        <f>C37</f>
        <v>0</v>
      </c>
      <c r="I105" s="136"/>
    </row>
    <row r="106" spans="1:35" ht="18.75" customHeight="1">
      <c r="A106" s="2412" t="s">
        <v>2297</v>
      </c>
      <c r="B106" s="2412"/>
      <c r="C106" s="2412"/>
      <c r="D106" s="2412"/>
      <c r="E106" s="2518" t="s">
        <v>2298</v>
      </c>
      <c r="F106" s="2251"/>
      <c r="G106" s="2515" t="s">
        <v>2293</v>
      </c>
      <c r="H106" s="1042">
        <f>C38</f>
        <v>0</v>
      </c>
      <c r="I106" s="136"/>
    </row>
    <row r="107" spans="1:35" ht="18.75" hidden="1" customHeight="1">
      <c r="A107" s="136"/>
      <c r="B107" s="136"/>
      <c r="C107" s="136"/>
      <c r="D107" s="136"/>
      <c r="E107" s="3172" t="str">
        <f>IF(项目基本情况!E8="已注销","——","3.房地产抵押价值")</f>
        <v>——</v>
      </c>
      <c r="F107" s="3173"/>
      <c r="G107" s="2514" t="s">
        <v>2289</v>
      </c>
      <c r="H107" s="1041" t="str">
        <f>IF(E107="——","——",H101-H103)</f>
        <v>——</v>
      </c>
      <c r="I107" s="136"/>
    </row>
    <row r="108" spans="1:35" ht="18.75" hidden="1" customHeight="1">
      <c r="A108" s="136"/>
      <c r="B108" s="136"/>
      <c r="C108" s="136"/>
      <c r="D108" s="136"/>
      <c r="E108" s="3172"/>
      <c r="F108" s="3173"/>
      <c r="G108" s="2514" t="s">
        <v>2291</v>
      </c>
      <c r="H108" s="369" t="e">
        <f>ROUND(H107*10000/'数据-汇总表'!E3,0)</f>
        <v>#VALUE!</v>
      </c>
      <c r="I108" s="136"/>
    </row>
    <row r="109" spans="1:35" ht="18.75" customHeight="1">
      <c r="A109" s="136"/>
      <c r="B109" s="136"/>
      <c r="C109" s="136"/>
      <c r="D109" s="136"/>
      <c r="E109" s="3172" t="str">
        <f>IF(项目基本情况!E8="已注销及未注销","4.抵押担保权已注销时的房地产抵押价值",IF(项目基本情况!E8="已注销","3.抵押担保权已注销时的房地产抵押价值","——"))</f>
        <v>3.抵押担保权已注销时的房地产抵押价值</v>
      </c>
      <c r="F109" s="3173"/>
      <c r="G109" s="2514" t="s">
        <v>2289</v>
      </c>
      <c r="H109" s="346">
        <f ca="1">IF(E109="——","——",H101-H105-H106)</f>
        <v>80085</v>
      </c>
      <c r="I109" s="136"/>
    </row>
    <row r="110" spans="1:35" ht="18.75" customHeight="1" thickBot="1">
      <c r="A110" s="136"/>
      <c r="B110" s="136"/>
      <c r="C110" s="136"/>
      <c r="D110" s="136"/>
      <c r="E110" s="3172"/>
      <c r="F110" s="3173"/>
      <c r="G110" s="2514" t="s">
        <v>2291</v>
      </c>
      <c r="H110" s="369">
        <f ca="1">IF(H109="——","——",ROUND(H109*10000/'数据-汇总表'!E3,0))</f>
        <v>27737</v>
      </c>
      <c r="I110" s="136"/>
    </row>
    <row r="111" spans="1:35" ht="18.75" hidden="1" customHeight="1">
      <c r="A111" s="136"/>
      <c r="B111" s="136"/>
      <c r="C111" s="136"/>
      <c r="D111" s="136"/>
      <c r="E111" s="3207" t="str">
        <f>IF(项目基本情况!E9="抵押净值",IF(OR(项目基本情况!E8="已注销",项目基本情况!E8="房地产抵押价值"),"4.抵押净值","5.抵押净值"),"——")</f>
        <v>——</v>
      </c>
      <c r="F111" s="3208"/>
      <c r="G111" s="2514" t="s">
        <v>2289</v>
      </c>
      <c r="H111" s="1041" t="str">
        <f>IF(E111="——","——",N59)</f>
        <v>——</v>
      </c>
      <c r="I111" s="136"/>
    </row>
    <row r="112" spans="1:35" ht="18.75" hidden="1" customHeight="1" thickBot="1">
      <c r="A112" s="136"/>
      <c r="B112" s="136"/>
      <c r="C112" s="136"/>
      <c r="D112" s="136"/>
      <c r="E112" s="3209"/>
      <c r="F112" s="3210"/>
      <c r="G112" s="2519" t="s">
        <v>2291</v>
      </c>
      <c r="H112" s="788" t="str">
        <f>IF(E111="——","——",N61)</f>
        <v>——</v>
      </c>
      <c r="I112" s="136"/>
    </row>
    <row r="113" spans="1:11" ht="18.75" customHeight="1">
      <c r="A113" s="136"/>
      <c r="B113" s="136"/>
      <c r="C113" s="136"/>
      <c r="D113" s="136"/>
      <c r="E113" s="3177" t="s">
        <v>2297</v>
      </c>
      <c r="F113" s="3177"/>
      <c r="G113" s="3177"/>
      <c r="H113" s="3177"/>
      <c r="I113" s="136"/>
    </row>
    <row r="114" spans="1:11" ht="3.75" customHeight="1">
      <c r="A114" s="2412"/>
      <c r="B114" s="2412"/>
      <c r="C114" s="2412"/>
      <c r="D114" s="2412"/>
      <c r="E114" s="2490"/>
      <c r="F114" s="2490"/>
      <c r="G114" s="2490"/>
      <c r="H114" s="2490"/>
      <c r="I114" s="2412"/>
    </row>
    <row r="115" spans="1:11" ht="18.75" customHeight="1">
      <c r="A115" s="3190" t="s">
        <v>2299</v>
      </c>
      <c r="B115" s="3191"/>
      <c r="C115" s="3191"/>
      <c r="D115" s="3191"/>
      <c r="E115" s="3191"/>
      <c r="F115" s="3191"/>
      <c r="G115" s="3191"/>
      <c r="H115" s="3191"/>
      <c r="I115" s="3192"/>
    </row>
    <row r="116" spans="1:11" ht="27" customHeight="1">
      <c r="A116" s="3082" t="s">
        <v>2300</v>
      </c>
      <c r="B116" s="3178" t="s">
        <v>3212</v>
      </c>
      <c r="C116" s="3178" t="s">
        <v>3213</v>
      </c>
      <c r="D116" s="3194" t="s">
        <v>2301</v>
      </c>
      <c r="E116" s="3195"/>
      <c r="F116" s="3186" t="s">
        <v>3214</v>
      </c>
      <c r="G116" s="3186"/>
      <c r="H116" s="3082" t="s">
        <v>2302</v>
      </c>
      <c r="I116" s="3082"/>
    </row>
    <row r="117" spans="1:11" ht="18.75" customHeight="1">
      <c r="A117" s="3082"/>
      <c r="B117" s="3179"/>
      <c r="C117" s="3179"/>
      <c r="D117" s="1791" t="s">
        <v>2303</v>
      </c>
      <c r="E117" s="1791" t="s">
        <v>2304</v>
      </c>
      <c r="F117" s="1791" t="s">
        <v>2303</v>
      </c>
      <c r="G117" s="1791" t="s">
        <v>2305</v>
      </c>
      <c r="H117" s="1791" t="s">
        <v>2303</v>
      </c>
      <c r="I117" s="1791" t="s">
        <v>2305</v>
      </c>
    </row>
    <row r="118" spans="1:11" ht="24.75" customHeight="1">
      <c r="A118" s="2520" t="str">
        <f>项目基本情况!S2</f>
        <v>北京市石景山区时代花园南路17号房地产</v>
      </c>
      <c r="B118" s="1791">
        <f>M18</f>
        <v>28872.97</v>
      </c>
      <c r="C118" s="1791">
        <f>M19</f>
        <v>11364.7</v>
      </c>
      <c r="D118" s="1791">
        <f ca="1">ROUND(IF(D32="总价",C34,E118*B118/10000),0)</f>
        <v>65510</v>
      </c>
      <c r="E118" s="1791">
        <f ca="1">ROUND(IF(C33="自定义",IF(D32="楼面单价",C34,D118*10000/B118),I118-G118),0)</f>
        <v>22689</v>
      </c>
      <c r="F118" s="1791">
        <f ca="1">ROUND(IF(D32="总价",C35,G118*B118/10000),0)</f>
        <v>14575</v>
      </c>
      <c r="G118" s="1791">
        <f ca="1">ROUND(IF(D32="楼面单价",C35,F118*10000/B118),0)</f>
        <v>5048</v>
      </c>
      <c r="H118" s="1791">
        <f ca="1">ROUND(IF(D32="总价",C32,I118*B118/10000),0)</f>
        <v>80085</v>
      </c>
      <c r="I118" s="1791">
        <f ca="1">ROUND(IF(D32="楼面单价",C32,H118*10000/B118),0)</f>
        <v>27737</v>
      </c>
    </row>
    <row r="119" spans="1:11" ht="18.75" customHeight="1">
      <c r="A119" s="3082" t="s">
        <v>2306</v>
      </c>
      <c r="B119" s="3082"/>
      <c r="C119" s="3082"/>
      <c r="D119" s="3183" t="str">
        <f ca="1">NUMBERSTRING(INT(D118*10000),2)&amp;"元整"</f>
        <v>陆亿伍仟伍佰壹拾万元整</v>
      </c>
      <c r="E119" s="3185"/>
      <c r="F119" s="3183" t="str">
        <f ca="1">NUMBERSTRING(INT(F118*10000),2)&amp;"元整"</f>
        <v>壹亿肆仟伍佰柒拾伍万元整</v>
      </c>
      <c r="G119" s="3185"/>
      <c r="H119" s="3183" t="str">
        <f ca="1">NUMBERSTRING(INT(H118*10000),2)&amp;"元整"</f>
        <v>捌亿零捌拾伍万元整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17" t="str">
        <f>IF(D120=0,"故，本次评估不存在"&amp;A120,"故，本次评估"&amp;A120&amp;"为人民币"&amp;D120&amp;"万元整。")</f>
        <v>故，本次评估不存在估价师知悉的法定优先受偿款</v>
      </c>
    </row>
    <row r="121" spans="1:11" ht="18.75" customHeight="1">
      <c r="A121" s="3187" t="s">
        <v>2306</v>
      </c>
      <c r="B121" s="3188"/>
      <c r="C121" s="3189"/>
      <c r="D121" s="3183" t="str">
        <f>IF(D120=0,"零元整",NUMBERSTRING(INT(D120*10000),2)&amp;"元整")</f>
        <v>零元整</v>
      </c>
      <c r="E121" s="3184"/>
      <c r="F121" s="3184"/>
      <c r="G121" s="3184"/>
      <c r="H121" s="3184"/>
      <c r="I121" s="3185"/>
    </row>
    <row r="122" spans="1:11" ht="18.75" hidden="1" customHeight="1">
      <c r="A122" s="3174" t="str">
        <f>IF(项目基本情况!B9="房地产市场价值","",MID(E107,3,LEN(E107)-2))</f>
        <v/>
      </c>
      <c r="B122" s="3174"/>
      <c r="C122" s="3174"/>
      <c r="D122" s="3211" t="str">
        <f>H107</f>
        <v>——</v>
      </c>
      <c r="E122" s="3212"/>
      <c r="F122" s="3212"/>
      <c r="G122" s="3212"/>
      <c r="H122" s="3212"/>
      <c r="I122" s="3213"/>
    </row>
    <row r="123" spans="1:11" ht="18.75" hidden="1" customHeight="1">
      <c r="A123" s="3082" t="s">
        <v>2306</v>
      </c>
      <c r="B123" s="3082"/>
      <c r="C123" s="3082"/>
      <c r="D123" s="3183" t="e">
        <f>NUMBERSTRING(INT(D122*10000),2)&amp;"元整"</f>
        <v>#VALUE!</v>
      </c>
      <c r="E123" s="3184"/>
      <c r="F123" s="3184"/>
      <c r="G123" s="3184"/>
      <c r="H123" s="3184"/>
      <c r="I123" s="3185"/>
    </row>
    <row r="124" spans="1:11" ht="18.75" customHeight="1">
      <c r="A124" s="3174" t="str">
        <f>IF(项目基本情况!B9="房地产市场价值","",MID(E109,3,LEN(E109)-2))</f>
        <v>抵押担保权已注销时的房地产抵押价值</v>
      </c>
      <c r="B124" s="3174"/>
      <c r="C124" s="3174"/>
      <c r="D124" s="3211">
        <f ca="1">H109</f>
        <v>80085</v>
      </c>
      <c r="E124" s="3212"/>
      <c r="F124" s="3212"/>
      <c r="G124" s="3212"/>
      <c r="H124" s="3212"/>
      <c r="I124" s="3213"/>
    </row>
    <row r="125" spans="1:11" ht="18.75" customHeight="1">
      <c r="A125" s="3082" t="s">
        <v>2306</v>
      </c>
      <c r="B125" s="3082"/>
      <c r="C125" s="3082"/>
      <c r="D125" s="3183" t="str">
        <f ca="1">NUMBERSTRING(INT(D124*10000),2)&amp;"元整"</f>
        <v>捌亿零捌拾伍万元整</v>
      </c>
      <c r="E125" s="3184"/>
      <c r="F125" s="3184"/>
      <c r="G125" s="3184"/>
      <c r="H125" s="3184"/>
      <c r="I125" s="3185"/>
    </row>
    <row r="126" spans="1:11" ht="18.75" hidden="1" customHeight="1">
      <c r="A126" s="3174" t="str">
        <f>IF(项目基本情况!B9="房地产市场价值","",MID(E111,3,LEN(E111)-2))</f>
        <v/>
      </c>
      <c r="B126" s="3174"/>
      <c r="C126" s="3174"/>
      <c r="D126" s="3211" t="str">
        <f>H111</f>
        <v>——</v>
      </c>
      <c r="E126" s="3212"/>
      <c r="F126" s="3212"/>
      <c r="G126" s="3212"/>
      <c r="H126" s="3212"/>
      <c r="I126" s="3213"/>
    </row>
    <row r="127" spans="1:11" ht="18.75" hidden="1" customHeight="1">
      <c r="A127" s="3082" t="s">
        <v>2306</v>
      </c>
      <c r="B127" s="3082"/>
      <c r="C127" s="3082"/>
      <c r="D127" s="3183" t="e">
        <f>NUMBERSTRING(INT(D126*10000),2)&amp;"元整"</f>
        <v>#VALUE!</v>
      </c>
      <c r="E127" s="3184"/>
      <c r="F127" s="3184"/>
      <c r="G127" s="3184"/>
      <c r="H127" s="3184"/>
      <c r="I127" s="3185"/>
    </row>
    <row r="128" spans="1:11" ht="21.75" customHeight="1">
      <c r="A128" s="3193" t="s">
        <v>2307</v>
      </c>
      <c r="B128" s="3193"/>
      <c r="C128" s="3193"/>
      <c r="D128" s="3193"/>
      <c r="E128" s="3193"/>
      <c r="F128" s="3193"/>
      <c r="G128" s="3193"/>
      <c r="H128" s="3193"/>
      <c r="I128" s="3193"/>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2310</v>
      </c>
      <c r="G135" s="2538"/>
      <c r="H135" s="2538"/>
      <c r="I135" s="2539" t="s">
        <v>2311</v>
      </c>
    </row>
    <row r="136" spans="1:35" ht="21.75" customHeight="1">
      <c r="A136" s="793"/>
      <c r="B136" s="2540"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2313</v>
      </c>
    </row>
    <row r="139" spans="1:35" ht="21.75" customHeight="1">
      <c r="A139" s="793"/>
      <c r="B139" s="2540" t="s">
        <v>2314</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2313</v>
      </c>
    </row>
    <row r="142" spans="1:35" ht="21.75" customHeight="1">
      <c r="A142" s="793"/>
      <c r="B142" s="2540"/>
      <c r="C142" s="2541"/>
      <c r="D142" s="2542"/>
      <c r="E142" s="2542"/>
      <c r="F142" s="2334"/>
      <c r="G142" s="793"/>
      <c r="H142" s="793"/>
      <c r="I142" s="793"/>
    </row>
    <row r="143" spans="1:35" s="137" customFormat="1" ht="21.75" customHeight="1">
      <c r="A143" s="793"/>
      <c r="B143" s="2540"/>
      <c r="C143" s="2541"/>
      <c r="D143" s="2542"/>
      <c r="E143" s="2542"/>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6"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8" t="str">
        <f>项目基本情况!B1</f>
        <v>北京市石景山区时代花园南路17号房地产抵押价值预评估</v>
      </c>
      <c r="C37" s="3038"/>
      <c r="D37" s="3038"/>
      <c r="E37" s="3038"/>
      <c r="F37" s="3038"/>
      <c r="G37" s="3038"/>
      <c r="H37" s="3038"/>
      <c r="I37" s="3038"/>
    </row>
    <row r="38" spans="1:9">
      <c r="A38" s="1012"/>
      <c r="B38" s="1012"/>
    </row>
    <row r="39" spans="1:9">
      <c r="A39" s="1010" t="s">
        <v>818</v>
      </c>
      <c r="B39" s="1010" t="s">
        <v>820</v>
      </c>
    </row>
    <row r="40" spans="1:9">
      <c r="A40" s="1010"/>
      <c r="B40" s="1938" t="str">
        <f>项目基本情况!B5</f>
        <v>北京北辰万通国际投资有限公司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王鹏（注册号：1120050019)、郑燚（注册号：1120070131)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0" sqref="F2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33"/>
      <c r="C1" s="240"/>
      <c r="D1" s="240"/>
      <c r="E1" s="240"/>
      <c r="F1" s="240"/>
      <c r="G1" s="1375">
        <f>MATCH(B1,'数据-取费表'!A6:A16,0)+5</f>
        <v>9</v>
      </c>
    </row>
    <row r="2" spans="1:9" s="242" customFormat="1" ht="18" customHeight="1">
      <c r="A2" s="243" t="s">
        <v>2316</v>
      </c>
      <c r="B2" s="244">
        <f ca="1">IF(D2="——",C52,C52-E2)</f>
        <v>73366</v>
      </c>
      <c r="C2" s="241" t="s">
        <v>2317</v>
      </c>
      <c r="D2" s="2543" t="s">
        <v>70</v>
      </c>
      <c r="E2" s="1436" t="e">
        <f ca="1">SUMIF(INDIRECT("'"&amp;G2&amp;"'"&amp;"!A:A"),"承租人权益价值",INDIRECT("'"&amp;G2&amp;"'"&amp;"!c:c"))</f>
        <v>#REF!</v>
      </c>
      <c r="F2" s="2544" t="s">
        <v>2317</v>
      </c>
      <c r="G2" s="2545"/>
    </row>
    <row r="3" spans="1:9" s="242" customFormat="1" ht="18" customHeight="1" thickBot="1">
      <c r="A3" s="245" t="s">
        <v>2318</v>
      </c>
      <c r="B3" s="246">
        <f ca="1">ROUND(B2*10000/(IF(B1="",'数据-汇总表'!E3,INDIRECT("'数据-取费表'!k"&amp;$G$1))),0)</f>
        <v>25410</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 ca="1">C6+C7+C8</f>
        <v>40548</v>
      </c>
      <c r="D5" s="253" t="s">
        <v>2323</v>
      </c>
      <c r="E5" s="254" t="s">
        <v>2324</v>
      </c>
      <c r="F5" s="254" t="s">
        <v>2325</v>
      </c>
      <c r="G5" s="255"/>
    </row>
    <row r="6" spans="1:9" s="256" customFormat="1" ht="13.5" customHeight="1">
      <c r="A6" s="945" t="s">
        <v>2326</v>
      </c>
      <c r="B6" s="257" t="s">
        <v>2327</v>
      </c>
      <c r="C6" s="258">
        <f ca="1">'基准地价修正-商业'!F40+'基准地价修正-办公'!B2</f>
        <v>38788</v>
      </c>
      <c r="D6" s="259"/>
      <c r="E6" s="260"/>
      <c r="F6" s="260"/>
      <c r="G6" s="261"/>
    </row>
    <row r="7" spans="1:9" s="256" customFormat="1" ht="13.5" customHeight="1">
      <c r="A7" s="945" t="s">
        <v>2328</v>
      </c>
      <c r="B7" s="257" t="s">
        <v>2329</v>
      </c>
      <c r="C7" s="262">
        <f ca="1">ROUND(C6*F7,0)</f>
        <v>1183</v>
      </c>
      <c r="D7" s="262"/>
      <c r="E7" s="260"/>
      <c r="F7" s="263">
        <f>'数据-取费表'!B48+'数据-取费表'!B49</f>
        <v>3.0499999999999999E-2</v>
      </c>
      <c r="G7" s="261"/>
    </row>
    <row r="8" spans="1:9" s="265" customFormat="1">
      <c r="A8" s="945" t="s">
        <v>2330</v>
      </c>
      <c r="B8" s="257" t="s">
        <v>2331</v>
      </c>
      <c r="C8" s="262">
        <f ca="1">IF(G8="已包含在土地购买价格中","0",IF(B1="",'数据-取费表'!B29,IF(G9="全部缴纳",C9+C10,H9)))</f>
        <v>577</v>
      </c>
      <c r="D8" s="264"/>
      <c r="E8" s="262"/>
      <c r="F8" s="263"/>
      <c r="G8" s="2546" t="s">
        <v>3183</v>
      </c>
    </row>
    <row r="9" spans="1:9" s="256" customFormat="1" ht="13.5" customHeight="1">
      <c r="A9" s="946" t="s">
        <v>800</v>
      </c>
      <c r="B9" s="266" t="s">
        <v>2332</v>
      </c>
      <c r="C9" s="267">
        <f ca="1">ROUND(D9*E9/10000,0)</f>
        <v>0</v>
      </c>
      <c r="D9" s="1028">
        <f ca="1">IF(B1="",'数据-汇总表'!E5,IF(INDIRECT("'数据-取费表'!c"&amp;$G$1)="住宅",INDIRECT("'数据-取费表'!k"&amp;$G$1),0))</f>
        <v>0</v>
      </c>
      <c r="E9" s="267">
        <f>'数据-取费表'!B27</f>
        <v>160</v>
      </c>
      <c r="F9" s="263"/>
      <c r="G9" s="2547" t="s">
        <v>3184</v>
      </c>
      <c r="H9" s="1386"/>
      <c r="I9" s="2548" t="s">
        <v>2333</v>
      </c>
    </row>
    <row r="10" spans="1:9" s="256" customFormat="1" ht="13.5" customHeight="1">
      <c r="A10" s="946" t="s">
        <v>801</v>
      </c>
      <c r="B10" s="266" t="s">
        <v>2334</v>
      </c>
      <c r="C10" s="267">
        <f ca="1">ROUND(D10*E10/10000,0)</f>
        <v>577</v>
      </c>
      <c r="D10" s="1028">
        <f ca="1">IF(B1="",'数据-汇总表'!E6,IF(INDIRECT("'数据-取费表'!c"&amp;$G$1)="住宅",INDIRECT("'数据-取费表'!s"&amp;$G$1),INDIRECT("'数据-取费表'!k"&amp;$G$1)+INDIRECT("'数据-取费表'!s"&amp;$G$1)))</f>
        <v>28872.97</v>
      </c>
      <c r="E10" s="267">
        <f>'数据-取费表'!B28</f>
        <v>200</v>
      </c>
      <c r="F10" s="263"/>
      <c r="G10" s="268"/>
    </row>
    <row r="11" spans="1:9" s="256" customFormat="1" ht="13.5" hidden="1" customHeight="1">
      <c r="A11" s="269" t="s">
        <v>7</v>
      </c>
      <c r="B11" s="257" t="s">
        <v>2335</v>
      </c>
      <c r="C11" s="253"/>
      <c r="D11" s="1030"/>
      <c r="E11" s="260"/>
      <c r="F11" s="260"/>
      <c r="G11" s="261"/>
    </row>
    <row r="12" spans="1:9" s="256" customFormat="1" ht="13.5" hidden="1" customHeight="1">
      <c r="A12" s="269" t="s">
        <v>8</v>
      </c>
      <c r="B12" s="257" t="s">
        <v>2336</v>
      </c>
      <c r="C12" s="253">
        <v>0</v>
      </c>
      <c r="D12" s="1030"/>
      <c r="E12" s="270"/>
      <c r="F12" s="263">
        <v>3.0499999999999999E-2</v>
      </c>
      <c r="G12" s="261"/>
    </row>
    <row r="13" spans="1:9" s="256" customFormat="1" ht="13.5" hidden="1" customHeight="1">
      <c r="A13" s="269" t="s">
        <v>9</v>
      </c>
      <c r="B13" s="257" t="s">
        <v>2337</v>
      </c>
      <c r="C13" s="253"/>
      <c r="D13" s="1030"/>
      <c r="E13" s="260"/>
      <c r="F13" s="260"/>
      <c r="G13" s="261"/>
    </row>
    <row r="14" spans="1:9" s="256" customFormat="1" ht="13.5" hidden="1" customHeight="1">
      <c r="A14" s="269" t="s">
        <v>10</v>
      </c>
      <c r="B14" s="257" t="s">
        <v>2338</v>
      </c>
      <c r="C14" s="253"/>
      <c r="D14" s="1030"/>
      <c r="E14" s="260"/>
      <c r="F14" s="260"/>
      <c r="G14" s="261" t="s">
        <v>2339</v>
      </c>
    </row>
    <row r="15" spans="1:9" s="256" customFormat="1" ht="13.5" hidden="1" customHeight="1">
      <c r="A15" s="269" t="s">
        <v>11</v>
      </c>
      <c r="B15" s="257" t="s">
        <v>2340</v>
      </c>
      <c r="C15" s="262"/>
      <c r="D15" s="1030"/>
      <c r="E15" s="260"/>
      <c r="F15" s="260"/>
      <c r="G15" s="261" t="s">
        <v>2341</v>
      </c>
    </row>
    <row r="16" spans="1:9" s="256" customFormat="1" ht="13.5" hidden="1" customHeight="1">
      <c r="A16" s="269" t="s">
        <v>12</v>
      </c>
      <c r="B16" s="257" t="s">
        <v>2338</v>
      </c>
      <c r="C16" s="262"/>
      <c r="D16" s="1030"/>
      <c r="E16" s="260"/>
      <c r="F16" s="260"/>
      <c r="G16" s="261"/>
    </row>
    <row r="17" spans="1:7" s="256" customFormat="1" ht="13.5" hidden="1" customHeight="1">
      <c r="A17" s="269" t="s">
        <v>13</v>
      </c>
      <c r="B17" s="257" t="s">
        <v>2342</v>
      </c>
      <c r="C17" s="271"/>
      <c r="D17" s="1031"/>
      <c r="E17" s="271"/>
      <c r="F17" s="271"/>
      <c r="G17" s="261" t="s">
        <v>2341</v>
      </c>
    </row>
    <row r="18" spans="1:7" s="256" customFormat="1" ht="13.5" hidden="1" customHeight="1">
      <c r="A18" s="269" t="s">
        <v>14</v>
      </c>
      <c r="B18" s="257" t="s">
        <v>2343</v>
      </c>
      <c r="C18" s="262">
        <v>0</v>
      </c>
      <c r="D18" s="1030"/>
      <c r="E18" s="260"/>
      <c r="F18" s="263">
        <v>3.0499999999999999E-2</v>
      </c>
      <c r="G18" s="261" t="s">
        <v>2344</v>
      </c>
    </row>
    <row r="19" spans="1:7" s="265" customFormat="1" ht="13.5" customHeight="1">
      <c r="A19" s="297" t="s">
        <v>2345</v>
      </c>
      <c r="B19" s="252" t="s">
        <v>2346</v>
      </c>
      <c r="C19" s="253" t="str">
        <f>IF(G19="已包含在土地取得成本中","0",ROUND(D19*E19/10000,0))</f>
        <v>0</v>
      </c>
      <c r="D19" s="1032">
        <f ca="1">D9+D10</f>
        <v>28872.97</v>
      </c>
      <c r="E19" s="253">
        <f>'数据-取费表'!B31</f>
        <v>200</v>
      </c>
      <c r="F19" s="273"/>
      <c r="G19" s="2546" t="s">
        <v>3185</v>
      </c>
    </row>
    <row r="20" spans="1:7" s="256" customFormat="1" ht="13.5" customHeight="1">
      <c r="A20" s="297" t="s">
        <v>2347</v>
      </c>
      <c r="B20" s="252" t="s">
        <v>2348</v>
      </c>
      <c r="C20" s="274">
        <f ca="1">ROUND((C5+C19)*F20,0)</f>
        <v>1216</v>
      </c>
      <c r="D20" s="274"/>
      <c r="E20" s="274"/>
      <c r="F20" s="275">
        <f>'数据-取费表'!B37</f>
        <v>0.03</v>
      </c>
      <c r="G20" s="276" t="s">
        <v>2349</v>
      </c>
    </row>
    <row r="21" spans="1:7" s="256" customFormat="1" ht="13.5" customHeight="1">
      <c r="A21" s="297" t="s">
        <v>2350</v>
      </c>
      <c r="B21" s="252" t="s">
        <v>2351</v>
      </c>
      <c r="C21" s="277">
        <f>F21</f>
        <v>0.03</v>
      </c>
      <c r="D21" s="278" t="s">
        <v>2352</v>
      </c>
      <c r="E21" s="274"/>
      <c r="F21" s="275">
        <f>'数据-取费表'!B38</f>
        <v>0.03</v>
      </c>
      <c r="G21" s="276" t="s">
        <v>2353</v>
      </c>
    </row>
    <row r="22" spans="1:7" s="256" customFormat="1" ht="13.5" customHeight="1">
      <c r="A22" s="297" t="s">
        <v>2354</v>
      </c>
      <c r="B22" s="252" t="s">
        <v>2355</v>
      </c>
      <c r="C22" s="1350">
        <f ca="1">ROUND(SUM(C23:C25),0)</f>
        <v>4002</v>
      </c>
      <c r="D22" s="277">
        <f ca="1">C26</f>
        <v>1.4E-3</v>
      </c>
      <c r="E22" s="278" t="s">
        <v>2352</v>
      </c>
      <c r="F22" s="279">
        <f ca="1">'数据-取费表'!B40</f>
        <v>4.7500000000000001E-2</v>
      </c>
      <c r="G22" s="276" t="str">
        <f>IF('数据-取费表'!B22&lt;=1,"单利计息","复利计息")</f>
        <v>复利计息</v>
      </c>
    </row>
    <row r="23" spans="1:7" s="256" customFormat="1" ht="13.5" customHeight="1">
      <c r="A23" s="947" t="s">
        <v>2356</v>
      </c>
      <c r="B23" s="257" t="s">
        <v>2357</v>
      </c>
      <c r="C23" s="1351">
        <f ca="1">ROUND(IF('数据-取费表'!B22&lt;=1,C5*F22*'数据-取费表'!B23,C5*(POWER((1+F22),'数据-取费表'!B23)-1)),0)</f>
        <v>3944</v>
      </c>
      <c r="D23" s="280"/>
      <c r="E23" s="280"/>
      <c r="F23" s="281"/>
      <c r="G23" s="282" t="s">
        <v>2358</v>
      </c>
    </row>
    <row r="24" spans="1:7" s="256" customFormat="1" ht="13.5" customHeight="1">
      <c r="A24" s="947" t="s">
        <v>2359</v>
      </c>
      <c r="B24" s="257" t="s">
        <v>2360</v>
      </c>
      <c r="C24" s="1351">
        <f ca="1">ROUND(IF('数据-取费表'!B22&lt;=1,C19*F22*('数据-取费表'!B19/2+'数据-取费表'!B21),C19*(POWER((1+F22),('数据-取费表'!B19/2+'数据-取费表'!B21))-1)),0)</f>
        <v>0</v>
      </c>
      <c r="D24" s="280"/>
      <c r="E24" s="280"/>
      <c r="F24" s="281"/>
      <c r="G24" s="282" t="s">
        <v>2361</v>
      </c>
    </row>
    <row r="25" spans="1:7" s="256" customFormat="1" ht="24">
      <c r="A25" s="947" t="s">
        <v>2362</v>
      </c>
      <c r="B25" s="257" t="s">
        <v>2363</v>
      </c>
      <c r="C25" s="1351">
        <f ca="1">ROUND(IF('数据-取费表'!B22&lt;=1,C20*F22*'数据-取费表'!B23/2,C20*(POWER((1+F22),'数据-取费表'!B23/2)-1)),0)</f>
        <v>58</v>
      </c>
      <c r="D25" s="280"/>
      <c r="E25" s="283"/>
      <c r="F25" s="281"/>
      <c r="G25" s="284" t="s">
        <v>2364</v>
      </c>
    </row>
    <row r="26" spans="1:7" s="256" customFormat="1">
      <c r="A26" s="947" t="s">
        <v>795</v>
      </c>
      <c r="B26" s="257" t="s">
        <v>2365</v>
      </c>
      <c r="C26" s="280">
        <f ca="1">ROUND(IF('数据-取费表'!B22&lt;=1,F21*F22*'数据-取费表'!B23/2,F21*(POWER((1+F22),'数据-取费表'!B23/2)-1)),4)</f>
        <v>1.4E-3</v>
      </c>
      <c r="D26" s="280"/>
      <c r="E26" s="283"/>
      <c r="F26" s="281"/>
      <c r="G26" s="285"/>
    </row>
    <row r="27" spans="1:7" s="256" customFormat="1" ht="24.75">
      <c r="A27" s="297" t="s">
        <v>2366</v>
      </c>
      <c r="B27" s="286" t="s">
        <v>2367</v>
      </c>
      <c r="C27" s="287">
        <f ca="1">C28</f>
        <v>8770</v>
      </c>
      <c r="D27" s="277">
        <f ca="1">C29</f>
        <v>6.3E-3</v>
      </c>
      <c r="E27" s="278" t="s">
        <v>2368</v>
      </c>
      <c r="F27" s="288">
        <f ca="1">IF(B1="",'数据-取费表'!Q16,INDIRECT("'数据-取费表'!q"&amp;$G$1))</f>
        <v>0.21</v>
      </c>
      <c r="G27" s="289" t="s">
        <v>2369</v>
      </c>
    </row>
    <row r="28" spans="1:7" s="256" customFormat="1" ht="13.5" customHeight="1">
      <c r="A28" s="947" t="s">
        <v>791</v>
      </c>
      <c r="B28" s="290" t="s">
        <v>2370</v>
      </c>
      <c r="C28" s="291">
        <f ca="1">ROUND((C5+C19+C20)*F27*'数据-取费表'!B21/'数据-取费表'!B20,0)</f>
        <v>8770</v>
      </c>
      <c r="D28" s="277"/>
      <c r="E28" s="278"/>
      <c r="F28" s="288"/>
      <c r="G28" s="289"/>
    </row>
    <row r="29" spans="1:7" s="256" customFormat="1" ht="13.5" customHeight="1">
      <c r="A29" s="947" t="s">
        <v>792</v>
      </c>
      <c r="B29" s="290" t="s">
        <v>2371</v>
      </c>
      <c r="C29" s="280">
        <f ca="1">ROUND(C21*F27*'数据-取费表'!B21/'数据-取费表'!B20,4)</f>
        <v>6.3E-3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59996</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11039</v>
      </c>
      <c r="D33" s="274"/>
      <c r="E33" s="254"/>
      <c r="F33" s="283"/>
      <c r="G33" s="276"/>
    </row>
    <row r="34" spans="1:7" s="300" customFormat="1" ht="13.5" customHeight="1">
      <c r="A34" s="947" t="s">
        <v>791</v>
      </c>
      <c r="B34" s="257" t="s">
        <v>2379</v>
      </c>
      <c r="C34" s="262">
        <f ca="1">IF(B1="",IF(F34=100%,'数据-取费表'!M16,'数据-取费表'!O16),IF(F34=100%,INDIRECT("'数据-取费表'!m"&amp;$G$1)+INDIRECT("'数据-取费表'!t"&amp;$G$1),INDIRECT("'数据-取费表'!o"&amp;$G$1)+INDIRECT("'数据-取费表'!aq"&amp;$G$1)))</f>
        <v>9824</v>
      </c>
      <c r="D34" s="259"/>
      <c r="E34" s="262"/>
      <c r="F34" s="299">
        <f ca="1">IF('数据-取费表'!B24=0,1,IF(B1="",'数据-取费表'!N16,INDIRECT("'数据-取费表'!n"&amp;$G$1)))</f>
        <v>1</v>
      </c>
      <c r="G34" s="261" t="s">
        <v>2380</v>
      </c>
    </row>
    <row r="35" spans="1:7" ht="13.5" customHeight="1">
      <c r="A35" s="947" t="s">
        <v>796</v>
      </c>
      <c r="B35" s="257" t="s">
        <v>2381</v>
      </c>
      <c r="C35" s="262">
        <f ca="1">ROUND(C34*F35,0)</f>
        <v>491</v>
      </c>
      <c r="D35" s="262"/>
      <c r="E35" s="262"/>
      <c r="F35" s="301">
        <f>'数据-取费表'!B33</f>
        <v>0.05</v>
      </c>
      <c r="G35" s="261" t="s">
        <v>2382</v>
      </c>
    </row>
    <row r="36" spans="1:7" ht="24">
      <c r="A36" s="947" t="s">
        <v>797</v>
      </c>
      <c r="B36" s="257" t="s">
        <v>2383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2384</v>
      </c>
    </row>
    <row r="37" spans="1:7" s="300" customFormat="1" ht="13.5" customHeight="1">
      <c r="A37" s="947" t="s">
        <v>798</v>
      </c>
      <c r="B37" s="257" t="s">
        <v>2385</v>
      </c>
      <c r="C37" s="291">
        <f ca="1">ROUND(E37*D37*F34/10000,0)</f>
        <v>577</v>
      </c>
      <c r="D37" s="259">
        <f ca="1">D19</f>
        <v>28872.97</v>
      </c>
      <c r="E37" s="291">
        <f>'数据-取费表'!B35</f>
        <v>200</v>
      </c>
      <c r="F37" s="301"/>
      <c r="G37" s="303" t="s">
        <v>2386</v>
      </c>
    </row>
    <row r="38" spans="1:7" ht="13.5" customHeight="1">
      <c r="A38" s="947" t="s">
        <v>799</v>
      </c>
      <c r="B38" s="257" t="s">
        <v>2387</v>
      </c>
      <c r="C38" s="262">
        <f ca="1">ROUND(C34*F38,0)</f>
        <v>147</v>
      </c>
      <c r="D38" s="262"/>
      <c r="E38" s="262"/>
      <c r="F38" s="301">
        <f>'数据-取费表'!B36</f>
        <v>1.4999999999999999E-2</v>
      </c>
      <c r="G38" s="261" t="s">
        <v>2382</v>
      </c>
    </row>
    <row r="39" spans="1:7" s="256" customFormat="1" ht="13.5" customHeight="1">
      <c r="A39" s="297" t="s">
        <v>2388</v>
      </c>
      <c r="B39" s="252" t="s">
        <v>2389</v>
      </c>
      <c r="C39" s="274">
        <f ca="1">ROUND(C33*F20,0)</f>
        <v>331</v>
      </c>
      <c r="D39" s="274"/>
      <c r="E39" s="274"/>
      <c r="F39" s="275"/>
      <c r="G39" s="276" t="s">
        <v>2390</v>
      </c>
    </row>
    <row r="40" spans="1:7" s="256" customFormat="1" ht="13.5" customHeight="1">
      <c r="A40" s="297" t="s">
        <v>2391</v>
      </c>
      <c r="B40" s="252" t="s">
        <v>2392</v>
      </c>
      <c r="C40" s="1724">
        <f>F21</f>
        <v>0.03</v>
      </c>
      <c r="D40" s="278" t="s">
        <v>2393</v>
      </c>
      <c r="E40" s="274"/>
      <c r="F40" s="275"/>
      <c r="G40" s="276" t="s">
        <v>2394</v>
      </c>
    </row>
    <row r="41" spans="1:7" s="256" customFormat="1" ht="13.5" customHeight="1">
      <c r="A41" s="297" t="s">
        <v>2395</v>
      </c>
      <c r="B41" s="252" t="s">
        <v>2396</v>
      </c>
      <c r="C41" s="274">
        <f ca="1">ROUND(SUM(C42:C43),0)</f>
        <v>540</v>
      </c>
      <c r="D41" s="277">
        <f ca="1">C44</f>
        <v>1.4E-3</v>
      </c>
      <c r="E41" s="278" t="s">
        <v>2393</v>
      </c>
      <c r="F41" s="279"/>
      <c r="G41" s="276" t="str">
        <f>IF('数据-取费表'!B22&lt;=1,"单利计息","复利计息")</f>
        <v>复利计息</v>
      </c>
    </row>
    <row r="42" spans="1:7" ht="13.5" customHeight="1">
      <c r="A42" s="947" t="s">
        <v>791</v>
      </c>
      <c r="B42" s="257" t="s">
        <v>2397</v>
      </c>
      <c r="C42" s="280">
        <f ca="1">ROUND(IF('数据-取费表'!B22&lt;=1,C33*F22*'数据-取费表'!B21/2,C33*(POWER((1+F22),'数据-取费表'!B21/2)-1)),0)</f>
        <v>524</v>
      </c>
      <c r="D42" s="280"/>
      <c r="E42" s="280"/>
      <c r="F42" s="281"/>
      <c r="G42" s="3225" t="s">
        <v>2398</v>
      </c>
    </row>
    <row r="43" spans="1:7" ht="13.5" customHeight="1">
      <c r="A43" s="947" t="s">
        <v>792</v>
      </c>
      <c r="B43" s="257" t="s">
        <v>2399</v>
      </c>
      <c r="C43" s="280">
        <f ca="1">ROUND(IF('数据-取费表'!B22&lt;=1,C39*F22*'数据-取费表'!B21/2,C39*(POWER((1+F22),'数据-取费表'!B21/2)-1)),0)</f>
        <v>16</v>
      </c>
      <c r="D43" s="280"/>
      <c r="E43" s="280"/>
      <c r="F43" s="281"/>
      <c r="G43" s="3226"/>
    </row>
    <row r="44" spans="1:7" ht="13.5" customHeight="1">
      <c r="A44" s="947" t="s">
        <v>793</v>
      </c>
      <c r="B44" s="257" t="s">
        <v>2400</v>
      </c>
      <c r="C44" s="280">
        <f ca="1">ROUND(IF('数据-取费表'!B22&lt;=1,C40*F22*'数据-取费表'!B21/2,C40*(POWER((1+F22),'数据-取费表'!B21/2)-1)),4)</f>
        <v>1.4E-3</v>
      </c>
      <c r="D44" s="280"/>
      <c r="E44" s="280"/>
      <c r="F44" s="281"/>
      <c r="G44" s="3227"/>
    </row>
    <row r="45" spans="1:7" s="256" customFormat="1" ht="13.5" customHeight="1">
      <c r="A45" s="297" t="s">
        <v>2401</v>
      </c>
      <c r="B45" s="286" t="s">
        <v>2367</v>
      </c>
      <c r="C45" s="287">
        <f ca="1">C46</f>
        <v>2388</v>
      </c>
      <c r="D45" s="277">
        <f ca="1">C47</f>
        <v>6.3E-3</v>
      </c>
      <c r="E45" s="278" t="s">
        <v>2393</v>
      </c>
      <c r="F45" s="288"/>
      <c r="G45" s="289" t="s">
        <v>2402</v>
      </c>
    </row>
    <row r="46" spans="1:7" s="256" customFormat="1" ht="13.5" customHeight="1">
      <c r="A46" s="947" t="s">
        <v>791</v>
      </c>
      <c r="B46" s="290" t="s">
        <v>2403</v>
      </c>
      <c r="C46" s="291">
        <f ca="1">ROUND((C33+C39)*F27,0)</f>
        <v>2388</v>
      </c>
      <c r="D46" s="305"/>
      <c r="E46" s="278"/>
      <c r="F46" s="288"/>
      <c r="G46" s="289"/>
    </row>
    <row r="47" spans="1:7" s="256" customFormat="1" ht="13.5" customHeight="1">
      <c r="A47" s="947" t="s">
        <v>792</v>
      </c>
      <c r="B47" s="290" t="s">
        <v>2404</v>
      </c>
      <c r="C47" s="280">
        <f ca="1">ROUND(C40*F27,4)</f>
        <v>6.3E-3</v>
      </c>
      <c r="D47" s="305"/>
      <c r="E47" s="278"/>
      <c r="F47" s="288"/>
      <c r="G47" s="289"/>
    </row>
    <row r="48" spans="1:7" s="256" customFormat="1" ht="13.5" customHeight="1">
      <c r="A48" s="297" t="s">
        <v>2366</v>
      </c>
      <c r="B48" s="252" t="s">
        <v>2405</v>
      </c>
      <c r="C48" s="1724">
        <f>ROUND(F30/(1+'数据-取费表'!C42),4)</f>
        <v>5.33E-2</v>
      </c>
      <c r="D48" s="278" t="s">
        <v>2393</v>
      </c>
      <c r="E48" s="274"/>
      <c r="F48" s="279"/>
      <c r="G48" s="276" t="s">
        <v>2406</v>
      </c>
    </row>
    <row r="49" spans="1:7" ht="16.5" customHeight="1">
      <c r="A49" s="297" t="s">
        <v>2372</v>
      </c>
      <c r="B49" s="252" t="s">
        <v>2407</v>
      </c>
      <c r="C49" s="274">
        <f ca="1">ROUND((C33+C39+C41+C45)/(1-C40-D41-D45-C48),0)</f>
        <v>15729</v>
      </c>
      <c r="D49" s="274"/>
      <c r="E49" s="274"/>
      <c r="F49" s="306"/>
      <c r="G49" s="276" t="s">
        <v>2408</v>
      </c>
    </row>
    <row r="50" spans="1:7" s="300" customFormat="1" ht="24">
      <c r="A50" s="297" t="s">
        <v>2409</v>
      </c>
      <c r="B50" s="252" t="s">
        <v>2410</v>
      </c>
      <c r="C50" s="274"/>
      <c r="D50" s="274"/>
      <c r="E50" s="274"/>
      <c r="F50" s="306">
        <f>IF('数据-取费表'!B24=0,'数据-取费表'!N16,1)</f>
        <v>0.85</v>
      </c>
      <c r="G50" s="289" t="s">
        <v>2411</v>
      </c>
    </row>
    <row r="51" spans="1:7" ht="16.5" customHeight="1">
      <c r="A51" s="297" t="s">
        <v>2412</v>
      </c>
      <c r="B51" s="252" t="s">
        <v>2413</v>
      </c>
      <c r="C51" s="274">
        <f ca="1">ROUND(C49*F50,0)</f>
        <v>13370</v>
      </c>
      <c r="D51" s="274"/>
      <c r="E51" s="274"/>
      <c r="F51" s="306"/>
      <c r="G51" s="276" t="s">
        <v>2414</v>
      </c>
    </row>
    <row r="52" spans="1:7" s="250" customFormat="1" ht="16.5" thickBot="1">
      <c r="A52" s="307" t="s">
        <v>2415</v>
      </c>
      <c r="B52" s="308"/>
      <c r="C52" s="309">
        <f ca="1">C31+C51</f>
        <v>73366</v>
      </c>
      <c r="D52" s="308"/>
      <c r="E52" s="308"/>
      <c r="F52" s="308"/>
      <c r="G52" s="310"/>
    </row>
    <row r="55" spans="1:7" ht="15">
      <c r="B55" s="312" t="s">
        <v>2416</v>
      </c>
      <c r="C55" s="313"/>
    </row>
    <row r="56" spans="1:7">
      <c r="B56" s="315" t="s">
        <v>1509</v>
      </c>
      <c r="C56" s="317">
        <f ca="1">1-C57</f>
        <v>0.81800000000000006</v>
      </c>
    </row>
    <row r="57" spans="1:7">
      <c r="B57" s="315" t="s">
        <v>1510</v>
      </c>
      <c r="C57" s="316">
        <f ca="1">ROUND(C51/C52,3)</f>
        <v>0.182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33"/>
      <c r="C1" s="2549" t="s">
        <v>2417</v>
      </c>
      <c r="D1" s="240"/>
      <c r="E1" s="240"/>
      <c r="F1" s="240"/>
      <c r="G1" s="1375">
        <f>MATCH(B1,'数据-取费表'!A6:A16,0)+5</f>
        <v>9</v>
      </c>
      <c r="H1" s="1278" t="str">
        <f>IF(ISERROR(FIND("住宅",B1)),"非住宅","住宅")</f>
        <v>非住宅</v>
      </c>
    </row>
    <row r="2" spans="1:8" s="242" customFormat="1" ht="18" customHeight="1">
      <c r="A2" s="243" t="s">
        <v>2316</v>
      </c>
      <c r="B2" s="244">
        <f ca="1">ROUND(IF(D2="——",C52/10000,C52/10000-E2),0)</f>
        <v>15079</v>
      </c>
      <c r="C2" s="241" t="s">
        <v>2317</v>
      </c>
      <c r="D2" s="2543" t="s">
        <v>70</v>
      </c>
      <c r="E2" s="1436" t="e">
        <f ca="1">SUMIF(INDIRECT("'"&amp;G2&amp;"'"&amp;"!A:A"),"承租人权益价值",INDIRECT("'"&amp;G2&amp;"'"&amp;"!c:c"))</f>
        <v>#REF!</v>
      </c>
      <c r="F2" s="2544" t="s">
        <v>2317</v>
      </c>
      <c r="G2" s="2545"/>
    </row>
    <row r="3" spans="1:8" s="242" customFormat="1" ht="18" customHeight="1" thickBot="1">
      <c r="A3" s="245" t="s">
        <v>2318</v>
      </c>
      <c r="B3" s="246">
        <f ca="1">ROUND(B2*10000/(IF(B1="",'数据-汇总表'!E3,INDIRECT("'数据-取费表'!k"&amp;$G$1))),0)</f>
        <v>5223</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5774594</v>
      </c>
      <c r="D5" s="253" t="s">
        <v>2323</v>
      </c>
      <c r="E5" s="254" t="s">
        <v>2324</v>
      </c>
      <c r="F5" s="254" t="s">
        <v>2325</v>
      </c>
      <c r="G5" s="255"/>
    </row>
    <row r="6" spans="1:8" s="256" customFormat="1" ht="13.5" customHeight="1">
      <c r="A6" s="945" t="s">
        <v>2326</v>
      </c>
      <c r="B6" s="257" t="s">
        <v>2327</v>
      </c>
      <c r="C6" s="258"/>
      <c r="D6" s="259"/>
      <c r="E6" s="260"/>
      <c r="F6" s="260"/>
      <c r="G6" s="261"/>
    </row>
    <row r="7" spans="1:8" s="256" customFormat="1" ht="13.5" customHeight="1">
      <c r="A7" s="945" t="s">
        <v>2328</v>
      </c>
      <c r="B7" s="257" t="s">
        <v>2329</v>
      </c>
      <c r="C7" s="262">
        <f>ROUND(C6*F7,0)</f>
        <v>0</v>
      </c>
      <c r="D7" s="262"/>
      <c r="E7" s="260"/>
      <c r="F7" s="263">
        <f>'数据-取费表'!B48+'数据-取费表'!B49</f>
        <v>3.0499999999999999E-2</v>
      </c>
      <c r="G7" s="261"/>
    </row>
    <row r="8" spans="1:8" s="265" customFormat="1">
      <c r="A8" s="945" t="s">
        <v>2330</v>
      </c>
      <c r="B8" s="257" t="s">
        <v>2331</v>
      </c>
      <c r="C8" s="262">
        <f ca="1">IF(G8="已包含在土地购买价格中",0,C9+C10)</f>
        <v>5774594</v>
      </c>
      <c r="D8" s="264"/>
      <c r="E8" s="262"/>
      <c r="F8" s="263"/>
      <c r="G8" s="2546"/>
    </row>
    <row r="9" spans="1:8" s="256" customFormat="1" ht="13.5" customHeight="1">
      <c r="A9" s="946" t="s">
        <v>800</v>
      </c>
      <c r="B9" s="266" t="s">
        <v>2332</v>
      </c>
      <c r="C9" s="267">
        <f ca="1">ROUND(D9*E9,0)</f>
        <v>0</v>
      </c>
      <c r="D9" s="1028">
        <f ca="1">IF(B1="",'数据-汇总表'!E5,IF(INDIRECT("'数据-取费表'!c"&amp;$G$1)="住宅",INDIRECT("'数据-取费表'!k"&amp;$G$1),0))</f>
        <v>0</v>
      </c>
      <c r="E9" s="267">
        <f>'数据-取费表'!B27</f>
        <v>160</v>
      </c>
      <c r="F9" s="263"/>
      <c r="G9" s="268"/>
    </row>
    <row r="10" spans="1:8" s="256" customFormat="1" ht="13.5" customHeight="1">
      <c r="A10" s="946" t="s">
        <v>801</v>
      </c>
      <c r="B10" s="266" t="s">
        <v>2334</v>
      </c>
      <c r="C10" s="267">
        <f ca="1">ROUND(D10*E10,0)</f>
        <v>5774594</v>
      </c>
      <c r="D10" s="1028">
        <f ca="1">IF(B1="",'数据-汇总表'!E6,IF(INDIRECT("'数据-取费表'!c"&amp;$G$1)="住宅",INDIRECT("'数据-取费表'!s"&amp;$G$1),INDIRECT("'数据-取费表'!k"&amp;$G$1)+INDIRECT("'数据-取费表'!s"&amp;$G$1)))</f>
        <v>28872.97</v>
      </c>
      <c r="E10" s="267">
        <f>'数据-取费表'!B28</f>
        <v>200</v>
      </c>
      <c r="F10" s="263"/>
      <c r="G10" s="268"/>
    </row>
    <row r="11" spans="1:8" s="256" customFormat="1" ht="13.5" hidden="1" customHeight="1">
      <c r="A11" s="269" t="s">
        <v>7</v>
      </c>
      <c r="B11" s="257" t="s">
        <v>2335</v>
      </c>
      <c r="C11" s="253"/>
      <c r="D11" s="1030"/>
      <c r="E11" s="260"/>
      <c r="F11" s="260"/>
      <c r="G11" s="261"/>
    </row>
    <row r="12" spans="1:8" s="256" customFormat="1" ht="13.5" hidden="1" customHeight="1">
      <c r="A12" s="269" t="s">
        <v>8</v>
      </c>
      <c r="B12" s="257" t="s">
        <v>2418</v>
      </c>
      <c r="C12" s="253">
        <v>0</v>
      </c>
      <c r="D12" s="1030"/>
      <c r="E12" s="270"/>
      <c r="F12" s="263">
        <v>3.0499999999999999E-2</v>
      </c>
      <c r="G12" s="261"/>
    </row>
    <row r="13" spans="1:8" s="256" customFormat="1" ht="13.5" hidden="1" customHeight="1">
      <c r="A13" s="269" t="s">
        <v>9</v>
      </c>
      <c r="B13" s="257" t="s">
        <v>2419</v>
      </c>
      <c r="C13" s="253"/>
      <c r="D13" s="1030"/>
      <c r="E13" s="260"/>
      <c r="F13" s="260"/>
      <c r="G13" s="261"/>
    </row>
    <row r="14" spans="1:8" s="256" customFormat="1" ht="13.5" hidden="1" customHeight="1">
      <c r="A14" s="269" t="s">
        <v>10</v>
      </c>
      <c r="B14" s="257" t="s">
        <v>2331</v>
      </c>
      <c r="C14" s="253"/>
      <c r="D14" s="1030"/>
      <c r="E14" s="260"/>
      <c r="F14" s="260"/>
      <c r="G14" s="261" t="s">
        <v>2420</v>
      </c>
    </row>
    <row r="15" spans="1:8" s="256" customFormat="1" ht="13.5" hidden="1" customHeight="1">
      <c r="A15" s="269" t="s">
        <v>11</v>
      </c>
      <c r="B15" s="257" t="s">
        <v>2421</v>
      </c>
      <c r="C15" s="262"/>
      <c r="D15" s="1030"/>
      <c r="E15" s="260"/>
      <c r="F15" s="260"/>
      <c r="G15" s="261" t="s">
        <v>2422</v>
      </c>
    </row>
    <row r="16" spans="1:8" s="256" customFormat="1" ht="13.5" hidden="1" customHeight="1">
      <c r="A16" s="269" t="s">
        <v>12</v>
      </c>
      <c r="B16" s="257" t="s">
        <v>2331</v>
      </c>
      <c r="C16" s="262"/>
      <c r="D16" s="1030"/>
      <c r="E16" s="260"/>
      <c r="F16" s="260"/>
      <c r="G16" s="261"/>
    </row>
    <row r="17" spans="1:7" s="256" customFormat="1" ht="13.5" hidden="1" customHeight="1">
      <c r="A17" s="269" t="s">
        <v>13</v>
      </c>
      <c r="B17" s="257" t="s">
        <v>2423</v>
      </c>
      <c r="C17" s="271"/>
      <c r="D17" s="1031"/>
      <c r="E17" s="271"/>
      <c r="F17" s="271"/>
      <c r="G17" s="261" t="s">
        <v>2422</v>
      </c>
    </row>
    <row r="18" spans="1:7" s="256" customFormat="1" ht="13.5" hidden="1" customHeight="1">
      <c r="A18" s="269" t="s">
        <v>14</v>
      </c>
      <c r="B18" s="257" t="s">
        <v>2424</v>
      </c>
      <c r="C18" s="262">
        <v>0</v>
      </c>
      <c r="D18" s="1030"/>
      <c r="E18" s="260"/>
      <c r="F18" s="263">
        <v>3.0499999999999999E-2</v>
      </c>
      <c r="G18" s="261" t="s">
        <v>2425</v>
      </c>
    </row>
    <row r="19" spans="1:7" s="265" customFormat="1" ht="13.5" customHeight="1">
      <c r="A19" s="297" t="s">
        <v>2426</v>
      </c>
      <c r="B19" s="252" t="s">
        <v>2427</v>
      </c>
      <c r="C19" s="253">
        <f ca="1">IF(G19="已包含在土地取得成本中","0",ROUND(D19*E19,0))</f>
        <v>5774594</v>
      </c>
      <c r="D19" s="1032">
        <f ca="1">D9+D10</f>
        <v>28872.97</v>
      </c>
      <c r="E19" s="253">
        <f>'数据-取费表'!B31</f>
        <v>200</v>
      </c>
      <c r="F19" s="273"/>
      <c r="G19" s="2546"/>
    </row>
    <row r="20" spans="1:7" s="256" customFormat="1" ht="13.5" customHeight="1">
      <c r="A20" s="297" t="s">
        <v>2428</v>
      </c>
      <c r="B20" s="252" t="s">
        <v>2429</v>
      </c>
      <c r="C20" s="274">
        <f ca="1">ROUND((C5+C19)*F20,0)</f>
        <v>346476</v>
      </c>
      <c r="D20" s="274"/>
      <c r="E20" s="274"/>
      <c r="F20" s="275">
        <f>'数据-取费表'!B37</f>
        <v>0.03</v>
      </c>
      <c r="G20" s="276" t="s">
        <v>2430</v>
      </c>
    </row>
    <row r="21" spans="1:7" s="256" customFormat="1" ht="13.5" customHeight="1">
      <c r="A21" s="297" t="s">
        <v>2431</v>
      </c>
      <c r="B21" s="252" t="s">
        <v>2432</v>
      </c>
      <c r="C21" s="277">
        <f>F21</f>
        <v>0.03</v>
      </c>
      <c r="D21" s="278" t="s">
        <v>2433</v>
      </c>
      <c r="E21" s="274"/>
      <c r="F21" s="275">
        <f>'数据-取费表'!B38</f>
        <v>0.03</v>
      </c>
      <c r="G21" s="276" t="s">
        <v>2434</v>
      </c>
    </row>
    <row r="22" spans="1:7" s="256" customFormat="1" ht="13.5" customHeight="1">
      <c r="A22" s="297" t="s">
        <v>2435</v>
      </c>
      <c r="B22" s="252" t="s">
        <v>2436</v>
      </c>
      <c r="C22" s="1376">
        <f ca="1">ROUND(SUM(C23:C25),0)</f>
        <v>1139688</v>
      </c>
      <c r="D22" s="277">
        <f ca="1">C26</f>
        <v>1.4E-3</v>
      </c>
      <c r="E22" s="278" t="s">
        <v>2433</v>
      </c>
      <c r="F22" s="279">
        <f ca="1">'数据-取费表'!B40</f>
        <v>4.7500000000000001E-2</v>
      </c>
      <c r="G22" s="276" t="str">
        <f>IF('数据-取费表'!B22&lt;=1,"单利计息","复利计息")</f>
        <v>复利计息</v>
      </c>
    </row>
    <row r="23" spans="1:7" s="256" customFormat="1" ht="13.5" customHeight="1">
      <c r="A23" s="947" t="s">
        <v>2326</v>
      </c>
      <c r="B23" s="257" t="s">
        <v>2437</v>
      </c>
      <c r="C23" s="1377">
        <f ca="1">ROUND(IF('数据-取费表'!B22&lt;=1,C5*F22*'数据-取费表'!B22,C5*(POWER((1+F22),'数据-取费表'!B22)-1)),0)</f>
        <v>561615</v>
      </c>
      <c r="D23" s="280"/>
      <c r="E23" s="280"/>
      <c r="F23" s="281"/>
      <c r="G23" s="282" t="s">
        <v>2438</v>
      </c>
    </row>
    <row r="24" spans="1:7" s="256" customFormat="1" ht="13.5" customHeight="1">
      <c r="A24" s="947" t="s">
        <v>2328</v>
      </c>
      <c r="B24" s="257" t="s">
        <v>2439</v>
      </c>
      <c r="C24" s="1377">
        <f ca="1">ROUND(IF('数据-取费表'!B22&lt;=1,C19*F22*('数据-取费表'!B19/2+'数据-取费表'!B20),C19*(POWER((1+F22),('数据-取费表'!B19/2+'数据-取费表'!B20))-1)),0)</f>
        <v>561615</v>
      </c>
      <c r="D24" s="280"/>
      <c r="E24" s="280"/>
      <c r="F24" s="281"/>
      <c r="G24" s="282" t="s">
        <v>2440</v>
      </c>
    </row>
    <row r="25" spans="1:7" s="256" customFormat="1" ht="24">
      <c r="A25" s="947" t="s">
        <v>2330</v>
      </c>
      <c r="B25" s="257" t="s">
        <v>2441</v>
      </c>
      <c r="C25" s="1377">
        <f ca="1">ROUND(IF('数据-取费表'!B22&lt;=1,C20*F22*'数据-取费表'!B22/2,C20*(POWER((1+F22),'数据-取费表'!B22/2)-1)),0)</f>
        <v>16458</v>
      </c>
      <c r="D25" s="280"/>
      <c r="E25" s="283"/>
      <c r="F25" s="281"/>
      <c r="G25" s="284" t="s">
        <v>2442</v>
      </c>
    </row>
    <row r="26" spans="1:7" s="256" customFormat="1">
      <c r="A26" s="947" t="s">
        <v>795</v>
      </c>
      <c r="B26" s="257" t="s">
        <v>2365</v>
      </c>
      <c r="C26" s="280">
        <f ca="1">ROUND(IF('数据-取费表'!B22&lt;=1,F21*F22*'数据-取费表'!B22/2,F21*(POWER((1+F22),'数据-取费表'!B22/2)-1)),4)</f>
        <v>1.4E-3</v>
      </c>
      <c r="D26" s="280"/>
      <c r="E26" s="283"/>
      <c r="F26" s="281"/>
      <c r="G26" s="285"/>
    </row>
    <row r="27" spans="1:7" s="256" customFormat="1" ht="24.75">
      <c r="A27" s="297" t="s">
        <v>2366</v>
      </c>
      <c r="B27" s="286" t="s">
        <v>2367</v>
      </c>
      <c r="C27" s="287">
        <f ca="1">C28</f>
        <v>2498089</v>
      </c>
      <c r="D27" s="277">
        <f ca="1">C29</f>
        <v>6.3E-3</v>
      </c>
      <c r="E27" s="278" t="s">
        <v>2368</v>
      </c>
      <c r="F27" s="288">
        <f ca="1">IF(B1="",'数据-取费表'!Q16,INDIRECT("'数据-取费表'!q"&amp;$G$1))</f>
        <v>0.21</v>
      </c>
      <c r="G27" s="289" t="s">
        <v>2369</v>
      </c>
    </row>
    <row r="28" spans="1:7" s="256" customFormat="1" ht="13.5" customHeight="1">
      <c r="A28" s="947" t="s">
        <v>791</v>
      </c>
      <c r="B28" s="290" t="s">
        <v>2370</v>
      </c>
      <c r="C28" s="291">
        <f ca="1">ROUND((C5+C19+C20)*F27,0)</f>
        <v>2498089</v>
      </c>
      <c r="D28" s="277"/>
      <c r="E28" s="278"/>
      <c r="F28" s="288"/>
      <c r="G28" s="289"/>
    </row>
    <row r="29" spans="1:7" s="256" customFormat="1" ht="13.5" customHeight="1">
      <c r="A29" s="947" t="s">
        <v>792</v>
      </c>
      <c r="B29" s="290" t="s">
        <v>2371</v>
      </c>
      <c r="C29" s="280">
        <f ca="1">ROUND(C21*F27,4)</f>
        <v>6.3E-3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17088494</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110395161</v>
      </c>
      <c r="D33" s="274"/>
      <c r="E33" s="254"/>
      <c r="F33" s="283"/>
      <c r="G33" s="276"/>
    </row>
    <row r="34" spans="1:7" s="300" customFormat="1" ht="13.5" customHeight="1">
      <c r="A34" s="947" t="s">
        <v>791</v>
      </c>
      <c r="B34" s="257" t="s">
        <v>2379</v>
      </c>
      <c r="C34" s="262">
        <f ca="1">ROUND(IF(B1="",SUMPRODUCT('数据-取费表'!K6:K14,'数据-取费表'!L6:L14),INDIRECT("'数据-取费表'!l"&amp;$G$1)*INDIRECT("'数据-取费表'!k"&amp;$G$1)+'数据-取费表'!L14*INDIRECT("'数据-取费表'!S"&amp;$G$1)),0)</f>
        <v>98235274</v>
      </c>
      <c r="D34" s="259"/>
      <c r="E34" s="262"/>
      <c r="F34" s="299"/>
      <c r="G34" s="261"/>
    </row>
    <row r="35" spans="1:7" ht="13.5" customHeight="1">
      <c r="A35" s="947" t="s">
        <v>796</v>
      </c>
      <c r="B35" s="257" t="s">
        <v>2381</v>
      </c>
      <c r="C35" s="262">
        <f ca="1">ROUND(C34*F35,0)</f>
        <v>4911764</v>
      </c>
      <c r="D35" s="262"/>
      <c r="E35" s="262"/>
      <c r="F35" s="301">
        <f>'数据-取费表'!B33</f>
        <v>0.05</v>
      </c>
      <c r="G35" s="261" t="s">
        <v>2382</v>
      </c>
    </row>
    <row r="36" spans="1:7" ht="24">
      <c r="A36" s="947" t="s">
        <v>797</v>
      </c>
      <c r="B36" s="257" t="s">
        <v>2383</v>
      </c>
      <c r="C36" s="262">
        <f ca="1">ROUND(IF(B1="",SUM('数据-取费表'!AP6:AP13)*F36,IF(INDIRECT("'数据-取费表'!c"&amp;$G$1)="住宅",INDIRECT("'数据-取费表'!k"&amp;$G$1)*INDIRECT("'数据-取费表'!l"&amp;$G$1)*F36,0)),0)</f>
        <v>0</v>
      </c>
      <c r="D36" s="262"/>
      <c r="E36" s="262"/>
      <c r="F36" s="301">
        <f>'数据-取费表'!B34</f>
        <v>0</v>
      </c>
      <c r="G36" s="302" t="s">
        <v>2384</v>
      </c>
    </row>
    <row r="37" spans="1:7" s="300" customFormat="1" ht="13.5" customHeight="1">
      <c r="A37" s="947" t="s">
        <v>798</v>
      </c>
      <c r="B37" s="257" t="s">
        <v>2385</v>
      </c>
      <c r="C37" s="291">
        <f ca="1">ROUND(E37*D37,0)</f>
        <v>5774594</v>
      </c>
      <c r="D37" s="259">
        <f ca="1">D19</f>
        <v>28872.97</v>
      </c>
      <c r="E37" s="291">
        <f>'数据-取费表'!B35</f>
        <v>200</v>
      </c>
      <c r="F37" s="301"/>
      <c r="G37" s="303"/>
    </row>
    <row r="38" spans="1:7" ht="13.5" customHeight="1">
      <c r="A38" s="947" t="s">
        <v>799</v>
      </c>
      <c r="B38" s="257" t="s">
        <v>2387</v>
      </c>
      <c r="C38" s="262">
        <f ca="1">ROUND(C34*F38,0)</f>
        <v>1473529</v>
      </c>
      <c r="D38" s="262"/>
      <c r="E38" s="262"/>
      <c r="F38" s="301">
        <f>'数据-取费表'!B36</f>
        <v>1.4999999999999999E-2</v>
      </c>
      <c r="G38" s="261" t="s">
        <v>2382</v>
      </c>
    </row>
    <row r="39" spans="1:7" s="256" customFormat="1" ht="13.5" customHeight="1">
      <c r="A39" s="297" t="s">
        <v>2388</v>
      </c>
      <c r="B39" s="252" t="s">
        <v>2389</v>
      </c>
      <c r="C39" s="274">
        <f ca="1">ROUND(C33*F20,0)</f>
        <v>3311855</v>
      </c>
      <c r="D39" s="274"/>
      <c r="E39" s="274"/>
      <c r="F39" s="275"/>
      <c r="G39" s="276" t="s">
        <v>2390</v>
      </c>
    </row>
    <row r="40" spans="1:7" s="256" customFormat="1" ht="13.5" customHeight="1">
      <c r="A40" s="297" t="s">
        <v>2391</v>
      </c>
      <c r="B40" s="252" t="s">
        <v>2392</v>
      </c>
      <c r="C40" s="1724">
        <f>F21</f>
        <v>0.03</v>
      </c>
      <c r="D40" s="278" t="s">
        <v>2393</v>
      </c>
      <c r="E40" s="274"/>
      <c r="F40" s="275"/>
      <c r="G40" s="276" t="s">
        <v>2394</v>
      </c>
    </row>
    <row r="41" spans="1:7" s="256" customFormat="1" ht="13.5" customHeight="1">
      <c r="A41" s="297" t="s">
        <v>2395</v>
      </c>
      <c r="B41" s="252" t="s">
        <v>2396</v>
      </c>
      <c r="C41" s="274">
        <f ca="1">ROUND(SUM(C42:C43),0)</f>
        <v>5401083</v>
      </c>
      <c r="D41" s="277">
        <f ca="1">C44</f>
        <v>1.4E-3</v>
      </c>
      <c r="E41" s="278" t="s">
        <v>2393</v>
      </c>
      <c r="F41" s="279"/>
      <c r="G41" s="276" t="str">
        <f>IF('数据-取费表'!B22&lt;=1,"单利计息","复利计息")</f>
        <v>复利计息</v>
      </c>
    </row>
    <row r="42" spans="1:7" ht="13.5" customHeight="1">
      <c r="A42" s="947" t="s">
        <v>791</v>
      </c>
      <c r="B42" s="257" t="s">
        <v>2397</v>
      </c>
      <c r="C42" s="280">
        <f ca="1">ROUND(IF('数据-取费表'!B22&lt;=1,C33*F22*'数据-取费表'!B20/2,C33*(POWER((1+F22),'数据-取费表'!B20/2)-1)),0)</f>
        <v>5243770</v>
      </c>
      <c r="D42" s="280"/>
      <c r="E42" s="280"/>
      <c r="F42" s="281"/>
      <c r="G42" s="3225" t="s">
        <v>2445</v>
      </c>
    </row>
    <row r="43" spans="1:7" ht="13.5" customHeight="1">
      <c r="A43" s="947" t="s">
        <v>792</v>
      </c>
      <c r="B43" s="257" t="s">
        <v>2399</v>
      </c>
      <c r="C43" s="280">
        <f ca="1">ROUND(IF('数据-取费表'!B22&lt;=1,C39*F22*'数据-取费表'!B20/2,C39*(POWER((1+F22),'数据-取费表'!B20/2)-1)),0)</f>
        <v>157313</v>
      </c>
      <c r="D43" s="280"/>
      <c r="E43" s="280"/>
      <c r="F43" s="281"/>
      <c r="G43" s="3226"/>
    </row>
    <row r="44" spans="1:7" ht="13.5" customHeight="1">
      <c r="A44" s="947" t="s">
        <v>793</v>
      </c>
      <c r="B44" s="257" t="s">
        <v>2400</v>
      </c>
      <c r="C44" s="280">
        <f ca="1">ROUND(IF('数据-取费表'!B22&lt;=1,C40*F22*'数据-取费表'!B20/2,C40*(POWER((1+F22),'数据-取费表'!B20/2)-1)),4)</f>
        <v>1.4E-3</v>
      </c>
      <c r="D44" s="280"/>
      <c r="E44" s="280"/>
      <c r="F44" s="281"/>
      <c r="G44" s="3227"/>
    </row>
    <row r="45" spans="1:7" s="256" customFormat="1" ht="13.5" customHeight="1">
      <c r="A45" s="297" t="s">
        <v>2401</v>
      </c>
      <c r="B45" s="286" t="s">
        <v>2367</v>
      </c>
      <c r="C45" s="287">
        <f ca="1">C46</f>
        <v>23878473</v>
      </c>
      <c r="D45" s="277">
        <f ca="1">C47</f>
        <v>6.3E-3</v>
      </c>
      <c r="E45" s="278" t="s">
        <v>2393</v>
      </c>
      <c r="F45" s="288"/>
      <c r="G45" s="289" t="s">
        <v>2402</v>
      </c>
    </row>
    <row r="46" spans="1:7" s="256" customFormat="1" ht="13.5" customHeight="1">
      <c r="A46" s="947" t="s">
        <v>791</v>
      </c>
      <c r="B46" s="290" t="s">
        <v>2403</v>
      </c>
      <c r="C46" s="291">
        <f ca="1">ROUND((C33+C39)*F27,0)</f>
        <v>23878473</v>
      </c>
      <c r="D46" s="305"/>
      <c r="E46" s="278"/>
      <c r="F46" s="288"/>
      <c r="G46" s="289"/>
    </row>
    <row r="47" spans="1:7" s="256" customFormat="1" ht="13.5" customHeight="1">
      <c r="A47" s="947" t="s">
        <v>792</v>
      </c>
      <c r="B47" s="290" t="s">
        <v>2404</v>
      </c>
      <c r="C47" s="280">
        <f ca="1">ROUND(C40*F27,4)</f>
        <v>6.3E-3</v>
      </c>
      <c r="D47" s="305"/>
      <c r="E47" s="278"/>
      <c r="F47" s="288"/>
      <c r="G47" s="289"/>
    </row>
    <row r="48" spans="1:7" s="256" customFormat="1" ht="13.5" customHeight="1">
      <c r="A48" s="297" t="s">
        <v>2366</v>
      </c>
      <c r="B48" s="252" t="s">
        <v>2405</v>
      </c>
      <c r="C48" s="304">
        <f>ROUND(F30/(1+'数据-取费表'!C42),4)</f>
        <v>5.33E-2</v>
      </c>
      <c r="D48" s="278" t="s">
        <v>2393</v>
      </c>
      <c r="E48" s="274"/>
      <c r="F48" s="279"/>
      <c r="G48" s="276" t="s">
        <v>2406</v>
      </c>
    </row>
    <row r="49" spans="1:7" ht="16.5" customHeight="1">
      <c r="A49" s="297" t="s">
        <v>2372</v>
      </c>
      <c r="B49" s="252" t="s">
        <v>2446</v>
      </c>
      <c r="C49" s="274">
        <f ca="1">ROUND((C33+C39+C41+C45)/(1-C40-D41-D45-C48),0)</f>
        <v>157300959</v>
      </c>
      <c r="D49" s="274"/>
      <c r="E49" s="274"/>
      <c r="F49" s="306"/>
      <c r="G49" s="276" t="s">
        <v>2408</v>
      </c>
    </row>
    <row r="50" spans="1:7" s="300" customFormat="1">
      <c r="A50" s="297" t="s">
        <v>2409</v>
      </c>
      <c r="B50" s="252" t="s">
        <v>2410</v>
      </c>
      <c r="C50" s="274"/>
      <c r="D50" s="274"/>
      <c r="E50" s="274"/>
      <c r="F50" s="306">
        <f>IF('数据-取费表'!B24=0,'数据-取费表'!N16,1)</f>
        <v>0.85</v>
      </c>
      <c r="G50" s="289"/>
    </row>
    <row r="51" spans="1:7" ht="16.5" customHeight="1">
      <c r="A51" s="297" t="s">
        <v>2412</v>
      </c>
      <c r="B51" s="252" t="s">
        <v>2447</v>
      </c>
      <c r="C51" s="274">
        <f ca="1">ROUND(C49*F50,0)</f>
        <v>133705815</v>
      </c>
      <c r="D51" s="274"/>
      <c r="E51" s="274"/>
      <c r="F51" s="306"/>
      <c r="G51" s="276" t="s">
        <v>2414</v>
      </c>
    </row>
    <row r="52" spans="1:7" s="250" customFormat="1" ht="16.5" thickBot="1">
      <c r="A52" s="307" t="s">
        <v>2415</v>
      </c>
      <c r="B52" s="308"/>
      <c r="C52" s="309">
        <f ca="1">C31+C51</f>
        <v>150794309</v>
      </c>
      <c r="D52" s="308"/>
      <c r="E52" s="308"/>
      <c r="F52" s="308"/>
      <c r="G52" s="310"/>
    </row>
    <row r="55" spans="1:7" ht="15">
      <c r="B55" s="312" t="s">
        <v>2416</v>
      </c>
      <c r="C55" s="313"/>
    </row>
    <row r="56" spans="1:7">
      <c r="B56" s="315" t="s">
        <v>1509</v>
      </c>
      <c r="C56" s="317">
        <f ca="1">1-C57</f>
        <v>0.11299999999999999</v>
      </c>
    </row>
    <row r="57" spans="1:7">
      <c r="B57" s="315" t="s">
        <v>1510</v>
      </c>
      <c r="C57" s="316">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2448</v>
      </c>
      <c r="B1" s="1577"/>
      <c r="C1" s="1578"/>
      <c r="D1" s="1576"/>
      <c r="E1" s="318"/>
      <c r="F1" s="318"/>
      <c r="G1" s="1577"/>
      <c r="H1" s="318"/>
      <c r="I1" s="318"/>
      <c r="J1" s="318"/>
      <c r="K1" s="318">
        <f>MATCH(C1,'数据-取费表'!A6:A16,0)+5</f>
        <v>9</v>
      </c>
    </row>
    <row r="2" spans="1:33" ht="18" customHeight="1">
      <c r="A2" s="243" t="s">
        <v>2316</v>
      </c>
      <c r="B2" s="246">
        <f ca="1">C32</f>
        <v>0</v>
      </c>
      <c r="C2" s="318" t="s">
        <v>2449</v>
      </c>
      <c r="D2" s="318"/>
      <c r="E2" s="318"/>
      <c r="F2" s="318"/>
      <c r="G2" s="318"/>
      <c r="H2" s="318"/>
      <c r="I2" s="318"/>
      <c r="J2" s="318"/>
      <c r="K2" s="318"/>
    </row>
    <row r="3" spans="1:33" ht="18" customHeight="1" thickBot="1">
      <c r="A3" s="245" t="s">
        <v>2318</v>
      </c>
      <c r="B3" s="246">
        <f ca="1">ROUND(B2*10000/IF(C1="",'数据-汇总表'!E3,INDIRECT("'数据-取费表'!K"&amp;$K$1)),0)</f>
        <v>0</v>
      </c>
      <c r="C3" s="318" t="s">
        <v>2450</v>
      </c>
      <c r="D3" s="318"/>
      <c r="E3" s="318"/>
      <c r="F3" s="318"/>
      <c r="G3" s="318"/>
      <c r="H3" s="318"/>
      <c r="I3" s="318"/>
      <c r="J3" s="318"/>
      <c r="K3" s="318"/>
    </row>
    <row r="4" spans="1:33" s="952" customFormat="1" ht="16.5" customHeight="1">
      <c r="A4" s="949" t="s">
        <v>2451</v>
      </c>
      <c r="B4" s="950"/>
      <c r="C4" s="992">
        <f>SUM(C8:K8)</f>
        <v>0</v>
      </c>
      <c r="D4" s="950"/>
      <c r="E4" s="950"/>
      <c r="F4" s="950"/>
      <c r="G4" s="950"/>
      <c r="H4" s="950"/>
      <c r="I4" s="950"/>
      <c r="J4" s="950"/>
      <c r="K4" s="951"/>
    </row>
    <row r="5" spans="1:33" s="956" customFormat="1" ht="24.75">
      <c r="A5" s="953" t="s">
        <v>2452</v>
      </c>
      <c r="B5" s="954" t="s">
        <v>2453</v>
      </c>
      <c r="C5" s="2550" t="s">
        <v>2454</v>
      </c>
      <c r="D5" s="2550" t="s">
        <v>2455</v>
      </c>
      <c r="E5" s="2550" t="s">
        <v>2456</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2457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2458</v>
      </c>
      <c r="B7" s="138" t="s">
        <v>2459</v>
      </c>
      <c r="C7" s="319">
        <f>SUMIF('数据-汇总表'!$C19:$C33,假设开发法!C5,'数据-汇总表'!$E19:$E33)</f>
        <v>0</v>
      </c>
      <c r="D7" s="319">
        <f>SUMIF('数据-汇总表'!$C19:$C33,假设开发法!D5,'数据-汇总表'!$E19:$E33)</f>
        <v>0</v>
      </c>
      <c r="E7" s="319">
        <f>SUMIF('数据-汇总表'!$C19:$C33,假设开发法!E5,'数据-汇总表'!$E19:$E33)</f>
        <v>4788.67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2460</v>
      </c>
      <c r="B8" s="175" t="s">
        <v>2461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2462</v>
      </c>
      <c r="B9" s="950"/>
      <c r="C9" s="950"/>
      <c r="D9" s="950"/>
      <c r="E9" s="950"/>
      <c r="F9" s="950"/>
      <c r="G9" s="950"/>
      <c r="H9" s="950"/>
      <c r="I9" s="950"/>
      <c r="J9" s="950"/>
      <c r="K9" s="951"/>
    </row>
    <row r="10" spans="1:33" s="966" customFormat="1" ht="13.5" customHeight="1">
      <c r="A10" s="953" t="s">
        <v>2463</v>
      </c>
      <c r="B10" s="8" t="s">
        <v>2464</v>
      </c>
      <c r="C10" s="962" t="s">
        <v>2465</v>
      </c>
      <c r="D10" s="963" t="s">
        <v>2466</v>
      </c>
      <c r="E10" s="963" t="s">
        <v>2467</v>
      </c>
      <c r="F10" s="963" t="s">
        <v>2468</v>
      </c>
      <c r="G10" s="8"/>
      <c r="H10" s="964"/>
      <c r="I10" s="964"/>
      <c r="J10" s="964"/>
      <c r="K10" s="965"/>
    </row>
    <row r="11" spans="1:33" s="971" customFormat="1" ht="13.5" customHeight="1">
      <c r="A11" s="967" t="s">
        <v>1330</v>
      </c>
      <c r="B11" s="968" t="s">
        <v>2469</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1331</v>
      </c>
      <c r="B12" s="968" t="s">
        <v>2470</v>
      </c>
      <c r="C12" s="24">
        <f ca="1">ROUND(C11*F12,0)</f>
        <v>0</v>
      </c>
      <c r="D12" s="969"/>
      <c r="E12" s="373"/>
      <c r="F12" s="972">
        <f>'数据-取费表'!B33</f>
        <v>0.05</v>
      </c>
      <c r="G12" s="8" t="s">
        <v>2471</v>
      </c>
      <c r="H12" s="964"/>
      <c r="I12" s="964"/>
      <c r="J12" s="964"/>
      <c r="K12" s="965"/>
    </row>
    <row r="13" spans="1:33" s="971" customFormat="1" ht="13.5" customHeight="1">
      <c r="A13" s="967" t="s">
        <v>1332</v>
      </c>
      <c r="B13" s="968" t="s">
        <v>2472</v>
      </c>
      <c r="C13" s="24">
        <f ca="1">ROUND(IF(C1="",SUMIF('数据-取费表'!C:C,"住宅",'数据-取费表'!P:P)*F13,IF(INDIRECT("'数据-取费表'!c"&amp;$K$1)="住宅",INDIRECT("'数据-取费表'!P"&amp;$K$1)*F13,0)),0)</f>
        <v>0</v>
      </c>
      <c r="D13" s="1029"/>
      <c r="E13" s="373"/>
      <c r="F13" s="972">
        <f>'数据-取费表'!B34</f>
        <v>0</v>
      </c>
      <c r="G13" s="8" t="s">
        <v>2473</v>
      </c>
      <c r="H13" s="964"/>
      <c r="I13" s="964"/>
      <c r="J13" s="964"/>
      <c r="K13" s="965"/>
    </row>
    <row r="14" spans="1:33" s="973" customFormat="1" ht="13.5" customHeight="1">
      <c r="A14" s="967" t="s">
        <v>1333</v>
      </c>
      <c r="B14" s="968" t="s">
        <v>2474</v>
      </c>
      <c r="C14" s="24">
        <f ca="1">ROUND(D14*E14*F11/10000,0)</f>
        <v>0</v>
      </c>
      <c r="D14" s="1029">
        <f ca="1">IF(C1="",'数据-汇总表'!E3,INDIRECT("'数据-取费表'!K"&amp;$K$1)+INDIRECT("'数据-取费表'!S"&amp;$K$1))</f>
        <v>28872.97</v>
      </c>
      <c r="E14" s="24">
        <f>'数据-取费表'!B35</f>
        <v>200</v>
      </c>
      <c r="F14" s="972"/>
      <c r="G14" s="8" t="s">
        <v>2475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2476</v>
      </c>
      <c r="C15" s="979">
        <f ca="1">ROUND(C11*F15,0)</f>
        <v>0</v>
      </c>
      <c r="D15" s="974"/>
      <c r="E15" s="979"/>
      <c r="F15" s="980">
        <f>'数据-取费表'!B36</f>
        <v>1.4999999999999999E-2</v>
      </c>
      <c r="G15" s="138" t="s">
        <v>2477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2478</v>
      </c>
      <c r="C16" s="979">
        <f ca="1">SUM(C11:C15)</f>
        <v>0</v>
      </c>
      <c r="D16" s="974"/>
      <c r="E16" s="979"/>
      <c r="F16" s="980"/>
      <c r="G16" s="138"/>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2479</v>
      </c>
      <c r="C17" s="24">
        <f ca="1">ROUND(D17*E17/10000,0)</f>
        <v>0</v>
      </c>
      <c r="D17" s="1029">
        <f ca="1">D14</f>
        <v>28872.97</v>
      </c>
      <c r="E17" s="24">
        <f>'数据-取费表'!B32</f>
        <v>0</v>
      </c>
      <c r="F17" s="974"/>
      <c r="G17" s="138" t="s">
        <v>2480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2481</v>
      </c>
      <c r="C18" s="24">
        <f ca="1">C19+C20-IF(C1="",'数据-取费表'!B29,IF(G18="已全部缴纳",C19+C20,H18))</f>
        <v>0</v>
      </c>
      <c r="D18" s="1029"/>
      <c r="E18" s="24"/>
      <c r="F18" s="972"/>
      <c r="G18" s="2552"/>
      <c r="H18" s="1573"/>
      <c r="I18" s="2553" t="s">
        <v>2482</v>
      </c>
      <c r="J18" s="975"/>
      <c r="K18" s="976"/>
    </row>
    <row r="19" spans="1:33" s="971" customFormat="1" ht="13.5" customHeight="1">
      <c r="A19" s="967" t="s">
        <v>805</v>
      </c>
      <c r="B19" s="968" t="s">
        <v>2483</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2484</v>
      </c>
      <c r="C20" s="24">
        <f ca="1">ROUND(D20*E20/10000,0)</f>
        <v>577</v>
      </c>
      <c r="D20" s="1029">
        <f ca="1">IF(C1="",'数据-汇总表'!E6,IF(INDIRECT("'数据-取费表'!c"&amp;$K$1)="住宅",INDIRECT("'数据-取费表'!s"&amp;$K$1),INDIRECT("'数据-取费表'!k"&amp;$K$1)+INDIRECT("'数据-取费表'!s"&amp;$K$1)))</f>
        <v>28872.97</v>
      </c>
      <c r="E20" s="24">
        <f>'数据-取费表'!B28</f>
        <v>200</v>
      </c>
      <c r="F20" s="972"/>
      <c r="G20" s="15"/>
      <c r="H20" s="977"/>
      <c r="I20" s="977"/>
      <c r="J20" s="977"/>
      <c r="K20" s="978"/>
    </row>
    <row r="21" spans="1:33" s="971" customFormat="1" ht="13.5" customHeight="1">
      <c r="A21" s="957" t="s">
        <v>802</v>
      </c>
      <c r="B21" s="981" t="s">
        <v>2485</v>
      </c>
      <c r="C21" s="982">
        <f ca="1">C16+C17+C18</f>
        <v>0</v>
      </c>
      <c r="D21" s="983"/>
      <c r="E21" s="323"/>
      <c r="F21" s="323"/>
      <c r="G21" s="138" t="s">
        <v>2486</v>
      </c>
      <c r="H21" s="975"/>
      <c r="I21" s="975"/>
      <c r="J21" s="975"/>
      <c r="K21" s="976"/>
    </row>
    <row r="22" spans="1:33" s="971" customFormat="1" ht="13.5" customHeight="1">
      <c r="A22" s="957" t="s">
        <v>2458</v>
      </c>
      <c r="B22" s="981" t="s">
        <v>2487</v>
      </c>
      <c r="C22" s="982">
        <f ca="1">ROUND(C21*F22,0)</f>
        <v>0</v>
      </c>
      <c r="D22" s="323"/>
      <c r="E22" s="323"/>
      <c r="F22" s="984">
        <f>'数据-取费表'!B37</f>
        <v>0.03</v>
      </c>
      <c r="G22" s="8" t="s">
        <v>2488</v>
      </c>
      <c r="H22" s="964"/>
      <c r="I22" s="964"/>
      <c r="J22" s="964"/>
      <c r="K22" s="965"/>
    </row>
    <row r="23" spans="1:33" s="971" customFormat="1" ht="13.5" customHeight="1">
      <c r="A23" s="957" t="s">
        <v>2460</v>
      </c>
      <c r="B23" s="981" t="s">
        <v>2489</v>
      </c>
      <c r="C23" s="982">
        <f ca="1">ROUND(C4*F23*F11,0)</f>
        <v>0</v>
      </c>
      <c r="D23" s="323"/>
      <c r="E23" s="323"/>
      <c r="F23" s="984">
        <f>'数据-取费表'!B38</f>
        <v>0.03</v>
      </c>
      <c r="G23" s="8" t="s">
        <v>2490</v>
      </c>
      <c r="H23" s="964"/>
      <c r="I23" s="964"/>
      <c r="J23" s="964"/>
      <c r="K23" s="965"/>
    </row>
    <row r="24" spans="1:33" s="971" customFormat="1" ht="13.5" customHeight="1">
      <c r="A24" s="957" t="s">
        <v>2491</v>
      </c>
      <c r="B24" s="981" t="s">
        <v>2492</v>
      </c>
      <c r="C24" s="322">
        <f>ROUND(F24/(1+'数据-取费表'!C42),4)</f>
        <v>2.9000000000000001E-2</v>
      </c>
      <c r="D24" s="323" t="s">
        <v>15</v>
      </c>
      <c r="E24" s="323"/>
      <c r="F24" s="984">
        <f>'数据-取费表'!B48+'数据-取费表'!B49</f>
        <v>3.0499999999999999E-2</v>
      </c>
      <c r="G24" s="8" t="s">
        <v>2493</v>
      </c>
      <c r="H24" s="986"/>
      <c r="I24" s="986"/>
      <c r="J24" s="986"/>
      <c r="K24" s="987"/>
    </row>
    <row r="25" spans="1:33" s="971" customFormat="1" ht="13.5" customHeight="1">
      <c r="A25" s="957" t="s">
        <v>2494</v>
      </c>
      <c r="B25" s="983" t="s">
        <v>2495</v>
      </c>
      <c r="C25" s="1352">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2496</v>
      </c>
      <c r="C26" s="1353">
        <f ca="1">ROUND(IF('数据-取费表'!B22&lt;=1,(1+C24)*F25*'数据-取费表'!B24,(1+C24)*(POWER((1+F25),'数据-取费表'!B24)-1)),4)</f>
        <v>0</v>
      </c>
      <c r="D26" s="326"/>
      <c r="E26" s="327"/>
      <c r="F26" s="328"/>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2497</v>
      </c>
      <c r="C27" s="1354">
        <f ca="1">ROUND(IF('数据-取费表'!B22&lt;=1,(C21+C22+C23)*F25*'数据-取费表'!B24/2,(C21+C22+C23)*(POWER((1+F25),'数据-取费表'!B24/2)-1)),0)</f>
        <v>0</v>
      </c>
      <c r="D27" s="326"/>
      <c r="E27" s="327"/>
      <c r="F27" s="328"/>
      <c r="G27" s="2554" t="str">
        <f>IF('数据-取费表'!B22&lt;=1,"（1）-（3）项×年利率×建设期÷2","（1）-（3）项×((1+年利率)^(建设期÷2)-1)")</f>
        <v>（1）-（3）项×((1+年利率)^(建设期÷2)-1)</v>
      </c>
      <c r="H27" s="975"/>
      <c r="I27" s="975"/>
      <c r="J27" s="975"/>
      <c r="K27" s="976"/>
    </row>
    <row r="28" spans="1:33" s="331" customFormat="1" ht="13.5" customHeight="1">
      <c r="A28" s="957" t="s">
        <v>2498</v>
      </c>
      <c r="B28" s="2555" t="s">
        <v>2499</v>
      </c>
      <c r="C28" s="329">
        <f ca="1">C30</f>
        <v>0</v>
      </c>
      <c r="D28" s="322">
        <f ca="1">C29</f>
        <v>0</v>
      </c>
      <c r="E28" s="324" t="s">
        <v>15</v>
      </c>
      <c r="F28" s="330">
        <f ca="1">IF(C1="",'数据-取费表'!Q16,INDIRECT("'数据-取费表'!q"&amp;$K$1))</f>
        <v>0.21</v>
      </c>
      <c r="G28" s="985"/>
      <c r="H28" s="986"/>
      <c r="I28" s="986"/>
      <c r="J28" s="986"/>
      <c r="K28" s="987"/>
    </row>
    <row r="29" spans="1:33" s="333" customFormat="1" ht="13.5" customHeight="1">
      <c r="A29" s="967" t="s">
        <v>803</v>
      </c>
      <c r="B29" s="990" t="s">
        <v>2500</v>
      </c>
      <c r="C29" s="326">
        <f ca="1">ROUND((1+C24)*F28*'数据-取费表'!B24/'数据-取费表'!B20,4)</f>
        <v>0</v>
      </c>
      <c r="D29" s="326"/>
      <c r="E29" s="327"/>
      <c r="F29" s="332"/>
      <c r="G29" s="138" t="s">
        <v>2501</v>
      </c>
      <c r="H29" s="975"/>
      <c r="I29" s="975"/>
      <c r="J29" s="975"/>
      <c r="K29" s="976"/>
    </row>
    <row r="30" spans="1:33" s="333" customFormat="1" ht="13.5" customHeight="1">
      <c r="A30" s="967" t="s">
        <v>804</v>
      </c>
      <c r="B30" s="990" t="s">
        <v>2502</v>
      </c>
      <c r="C30" s="334">
        <f ca="1">ROUND((C21+C22+C23)*F28,0)</f>
        <v>0</v>
      </c>
      <c r="D30" s="326"/>
      <c r="E30" s="327"/>
      <c r="F30" s="332"/>
      <c r="G30" s="138"/>
      <c r="H30" s="975"/>
      <c r="I30" s="975"/>
      <c r="J30" s="975"/>
      <c r="K30" s="976"/>
    </row>
    <row r="31" spans="1:33" s="971" customFormat="1" ht="13.5" customHeight="1" thickBot="1">
      <c r="A31" s="2556" t="s">
        <v>2503</v>
      </c>
      <c r="B31" s="1001" t="s">
        <v>2504</v>
      </c>
      <c r="C31" s="1002">
        <f>ROUND(C4*F31/(1+'数据-取费表'!C42),0)</f>
        <v>0</v>
      </c>
      <c r="D31" s="1003"/>
      <c r="E31" s="1004"/>
      <c r="F31" s="1005">
        <f>'数据-取费表'!B41</f>
        <v>5.6000000000000001E-2</v>
      </c>
      <c r="G31" s="1006" t="s">
        <v>2505</v>
      </c>
      <c r="H31" s="1007"/>
      <c r="I31" s="1007"/>
      <c r="J31" s="1007"/>
      <c r="K31" s="1008"/>
    </row>
    <row r="32" spans="1:33" s="966" customFormat="1" ht="13.5" customHeight="1" thickBot="1">
      <c r="A32" s="996" t="s">
        <v>2506</v>
      </c>
      <c r="B32" s="997"/>
      <c r="C32" s="998">
        <f ca="1">ROUND((C4-C21-C22-C23-C25-C28-C31)/(1+C24+D25+D28),0)</f>
        <v>0</v>
      </c>
      <c r="D32" s="997"/>
      <c r="E32" s="997"/>
      <c r="F32" s="997"/>
      <c r="G32" s="999" t="s">
        <v>2507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O40" sqref="O40"/>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38" t="s">
        <v>2793</v>
      </c>
      <c r="B1" s="239"/>
      <c r="C1" s="243" t="s">
        <v>2794</v>
      </c>
      <c r="D1" s="386">
        <f>SUM(D29:D30,D33:D39)</f>
        <v>5104.9400000000005</v>
      </c>
      <c r="E1" s="2713"/>
      <c r="F1" s="2713"/>
      <c r="G1" s="2713"/>
      <c r="H1" s="2713"/>
      <c r="I1" s="2713"/>
      <c r="J1" s="2713"/>
      <c r="K1" s="1366"/>
      <c r="L1" s="2714" t="s">
        <v>2795</v>
      </c>
      <c r="M1" s="1076">
        <f>SUMPRODUCT((区片价!B5:B9=I2)*(区片价!C3:F3=E2)*(区片价!C5:F9))</f>
        <v>0</v>
      </c>
      <c r="N1" s="1079">
        <f>SUMPRODUCT((因素修正幅度!B5:B9=I2)*(因素修正幅度!C3:F3=E2)*(因素修正幅度!C5:F9))</f>
        <v>0</v>
      </c>
      <c r="O1" s="2715"/>
      <c r="P1" s="2715"/>
      <c r="Q1" s="1366"/>
      <c r="R1" s="1598" t="s">
        <v>2796</v>
      </c>
      <c r="S1" s="1598" t="s">
        <v>2797</v>
      </c>
      <c r="T1" s="1598" t="s">
        <v>2798</v>
      </c>
      <c r="U1" s="1598" t="s">
        <v>2799</v>
      </c>
      <c r="V1" s="1598" t="s">
        <v>2800</v>
      </c>
      <c r="W1" s="1602"/>
      <c r="X1" s="1602"/>
      <c r="Y1" s="1602"/>
      <c r="Z1" s="1602"/>
      <c r="AA1" s="1602"/>
      <c r="AB1" s="1602"/>
      <c r="AC1" s="1603"/>
      <c r="AD1" s="1604"/>
      <c r="AE1" s="1604"/>
      <c r="AF1" s="1604"/>
      <c r="AG1" s="1604"/>
      <c r="AH1" s="1604"/>
      <c r="AI1" s="1604"/>
      <c r="AJ1" s="1605"/>
    </row>
    <row r="2" spans="1:36" ht="15.75">
      <c r="A2" s="243" t="s">
        <v>2801</v>
      </c>
      <c r="B2" s="246">
        <f ca="1">C26</f>
        <v>8842</v>
      </c>
      <c r="C2" s="2717" t="s">
        <v>2802</v>
      </c>
      <c r="D2" s="2718" t="s">
        <v>2803</v>
      </c>
      <c r="E2" s="2719" t="s">
        <v>1373</v>
      </c>
      <c r="F2" s="2718" t="s">
        <v>2804</v>
      </c>
      <c r="G2" s="2720" t="str">
        <f>IF(E2="商业",项目基本情况!B37,IF(E2="办公",项目基本情况!C37,IF(E2="住宅",项目基本情况!D37,项目基本情况!E37)))</f>
        <v>六级</v>
      </c>
      <c r="H2" s="2718" t="s">
        <v>2805</v>
      </c>
      <c r="I2" s="2720" t="str">
        <f>IF(E2="商业",项目基本情况!B38,IF(E2="办公",项目基本情况!C38,IF(E2="住宅",项目基本情况!D38,项目基本情况!E38)))</f>
        <v>Ⅵ-08</v>
      </c>
      <c r="J2" s="2721"/>
      <c r="K2" s="1366"/>
      <c r="L2" s="2722" t="s">
        <v>2806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25650</v>
      </c>
      <c r="U2" s="1599">
        <f>2111.34+475.91</f>
        <v>2587.25</v>
      </c>
      <c r="V2" s="1598">
        <f ca="1">ROUND(T2*U2/10000,0)</f>
        <v>6636</v>
      </c>
      <c r="W2" s="1602"/>
      <c r="X2" s="1602"/>
      <c r="Y2" s="1602"/>
      <c r="Z2" s="1602"/>
      <c r="AA2" s="1602"/>
      <c r="AB2" s="1602"/>
      <c r="AC2" s="1603"/>
      <c r="AD2" s="1604"/>
      <c r="AE2" s="1604"/>
      <c r="AF2" s="1604"/>
      <c r="AG2" s="1604"/>
      <c r="AH2" s="1604"/>
      <c r="AI2" s="1604"/>
      <c r="AJ2" s="1605"/>
    </row>
    <row r="3" spans="1:36" ht="25.5">
      <c r="A3" s="245" t="s">
        <v>2807</v>
      </c>
      <c r="B3" s="246">
        <f ca="1">ROUND(B2*10000/D1,0)</f>
        <v>17320</v>
      </c>
      <c r="C3" s="2717" t="s">
        <v>2808</v>
      </c>
      <c r="D3" s="2718" t="s">
        <v>2809</v>
      </c>
      <c r="E3" s="2723" t="s">
        <v>3140</v>
      </c>
      <c r="F3" s="2724" t="s">
        <v>2810</v>
      </c>
      <c r="G3" s="912">
        <f>IF(F3="宗地容积率",'数据-汇总表'!I4,IF(F3="估价对象容积率",'数据-汇总表'!I6,'数据-汇总表'!I7))</f>
        <v>1.9</v>
      </c>
      <c r="H3" s="196" t="s">
        <v>2811</v>
      </c>
      <c r="I3" s="940">
        <v>1</v>
      </c>
      <c r="J3" s="2721" t="s">
        <v>2812</v>
      </c>
      <c r="K3" s="1366"/>
      <c r="L3" s="2722" t="s">
        <v>2813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18412</v>
      </c>
      <c r="U3" s="1599">
        <v>1705.36</v>
      </c>
      <c r="V3" s="1598">
        <f t="shared" ref="V3:V16" ca="1" si="1">ROUND(T3*U3/10000,0)</f>
        <v>3140</v>
      </c>
      <c r="W3" s="1602"/>
      <c r="X3" s="1602"/>
      <c r="Y3" s="1602"/>
      <c r="Z3" s="1602"/>
      <c r="AA3" s="1602"/>
      <c r="AB3" s="1602"/>
      <c r="AC3" s="1603"/>
      <c r="AD3" s="1604"/>
      <c r="AE3" s="1604"/>
      <c r="AF3" s="1604"/>
      <c r="AG3" s="1604"/>
      <c r="AH3" s="1604"/>
      <c r="AI3" s="1604"/>
      <c r="AJ3" s="1605"/>
    </row>
    <row r="4" spans="1:36" ht="15.75">
      <c r="A4" s="3231"/>
      <c r="B4" s="3232"/>
      <c r="C4" s="3232"/>
      <c r="D4" s="3233"/>
      <c r="E4" s="3233"/>
      <c r="F4" s="3233"/>
      <c r="G4" s="3233"/>
      <c r="H4" s="3233"/>
      <c r="I4" s="3233"/>
      <c r="J4" s="3234"/>
      <c r="K4" s="1366"/>
      <c r="L4" s="2722" t="s">
        <v>2814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14854</v>
      </c>
      <c r="U4" s="1599"/>
      <c r="V4" s="1598">
        <f t="shared" ca="1" si="1"/>
        <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2815</v>
      </c>
      <c r="C5" s="913">
        <f>ROUND(IF(E2="商业",C6*C7+C16,(IF(E2="住宅",C6*C12+C16,C6+C16))),0)</f>
        <v>10680</v>
      </c>
      <c r="D5" s="1783">
        <f>ROUND(IF(F17="增加",C6+C16,C6-C16),0)</f>
        <v>10680</v>
      </c>
      <c r="E5" s="1783"/>
      <c r="F5" s="2727"/>
      <c r="G5" s="2728"/>
      <c r="H5" s="2728"/>
      <c r="I5" s="2728"/>
      <c r="J5" s="2729"/>
      <c r="K5" s="2730"/>
      <c r="L5" s="2722" t="s">
        <v>2816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11918</v>
      </c>
      <c r="U5" s="1599"/>
      <c r="V5" s="1598">
        <f t="shared" ca="1" si="1"/>
        <v>0</v>
      </c>
      <c r="W5" s="1602"/>
      <c r="X5" s="1602"/>
      <c r="Y5" s="1602"/>
      <c r="Z5" s="1602"/>
      <c r="AA5" s="1602"/>
      <c r="AB5" s="1602"/>
      <c r="AC5" s="2731"/>
      <c r="AD5" s="2732"/>
      <c r="AE5" s="2732"/>
      <c r="AF5" s="2732"/>
      <c r="AG5" s="2732"/>
      <c r="AH5" s="2732"/>
      <c r="AI5" s="2732"/>
      <c r="AJ5" s="2733"/>
    </row>
    <row r="6" spans="1:36" ht="15.75" thickBot="1">
      <c r="A6" s="2735" t="s">
        <v>2817</v>
      </c>
      <c r="B6" s="2736" t="s">
        <v>2818</v>
      </c>
      <c r="C6" s="914">
        <f>SUMIF(L1:L12,G2,M1:M12)</f>
        <v>10680</v>
      </c>
      <c r="D6" s="2737" t="s">
        <v>2819</v>
      </c>
      <c r="E6" s="2738"/>
      <c r="F6" s="2738"/>
      <c r="G6" s="2739"/>
      <c r="H6" s="2739"/>
      <c r="I6" s="2739"/>
      <c r="J6" s="2740"/>
      <c r="K6" s="1838"/>
      <c r="L6" s="2722" t="s">
        <v>2820</v>
      </c>
      <c r="M6" s="1077">
        <f>SUMPRODUCT((区片价!B110:B157=I2)*(区片价!C3:F3=E2)*(区片价!C110:F157))</f>
        <v>10680</v>
      </c>
      <c r="N6" s="1079">
        <f>SUMPRODUCT((因素修正幅度!B110:B157=I2)*(因素修正幅度!C3:F3=E2)*(因素修正幅度!C110:F157))</f>
        <v>0.13</v>
      </c>
      <c r="O6" s="1366"/>
      <c r="P6" s="1366"/>
      <c r="Q6" s="1366"/>
      <c r="R6" s="1598">
        <v>5</v>
      </c>
      <c r="S6" s="1598">
        <f>ROUND(IF(G3&gt;1,IF(R6&lt;7,SUMPRODUCT((B93:B98=R6)*(C92:N92=G2)*(C93:N98)),SUMIF(C92:N92,G2,C100:N100)),IF(R6&lt;7,SUMPRODUCT((B102:B107=R6)*(C92:N92=G2)*(C102:N107)),SUMIF(C92:N92,G2,C109:N109))),4)</f>
        <v>0.73709999999999998</v>
      </c>
      <c r="T6" s="1598">
        <f t="shared" ca="1" si="0"/>
        <v>10149</v>
      </c>
      <c r="U6" s="1599"/>
      <c r="V6" s="1598">
        <f t="shared" ca="1" si="1"/>
        <v>0</v>
      </c>
      <c r="W6" s="1602"/>
      <c r="X6" s="1602"/>
      <c r="Y6" s="1602"/>
      <c r="Z6" s="1602"/>
      <c r="AA6" s="1602"/>
      <c r="AB6" s="1602"/>
      <c r="AC6" s="2731"/>
      <c r="AD6" s="2732"/>
      <c r="AE6" s="2732"/>
      <c r="AF6" s="2732"/>
      <c r="AG6" s="2732"/>
      <c r="AH6" s="2732"/>
      <c r="AI6" s="2732"/>
      <c r="AJ6" s="2733"/>
    </row>
    <row r="7" spans="1:36" ht="24">
      <c r="A7" s="3235" t="str">
        <f>IF(E2="商业",IF(C8="不临58条商业街","",2),"")</f>
        <v/>
      </c>
      <c r="B7" s="2741" t="s">
        <v>2821</v>
      </c>
      <c r="C7" s="915">
        <f>IF(C8="不临58条商业街",1,ROUND(1+(1.6*E8+1.2*E9+0.8*E10+0.4*E11)*C9,4))</f>
        <v>1</v>
      </c>
      <c r="D7" s="2742" t="s">
        <v>2822</v>
      </c>
      <c r="E7" s="941">
        <v>60</v>
      </c>
      <c r="F7" s="2743"/>
      <c r="G7" s="2744"/>
      <c r="H7" s="2744"/>
      <c r="I7" s="2744"/>
      <c r="J7" s="2745"/>
      <c r="K7" s="1838"/>
      <c r="L7" s="2722" t="s">
        <v>2823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8925</v>
      </c>
      <c r="U7" s="1599"/>
      <c r="V7" s="1598">
        <f t="shared" ca="1" si="1"/>
        <v>0</v>
      </c>
      <c r="W7" s="1812" t="s">
        <v>2824</v>
      </c>
      <c r="X7" s="1600" t="str">
        <f>G2</f>
        <v>六级</v>
      </c>
      <c r="Y7" s="1600" t="s">
        <v>2825</v>
      </c>
      <c r="Z7" s="1601">
        <f>G3</f>
        <v>1.9</v>
      </c>
      <c r="AA7" s="1602"/>
      <c r="AB7" s="1602"/>
      <c r="AC7" s="1603"/>
      <c r="AD7" s="1604"/>
      <c r="AE7" s="1604"/>
      <c r="AF7" s="1604"/>
      <c r="AG7" s="1604"/>
      <c r="AH7" s="1604"/>
      <c r="AI7" s="1604"/>
      <c r="AJ7" s="1605"/>
    </row>
    <row r="8" spans="1:36" ht="25.5">
      <c r="A8" s="3236"/>
      <c r="B8" s="196" t="s">
        <v>2826</v>
      </c>
      <c r="C8" s="2746" t="s">
        <v>3170</v>
      </c>
      <c r="D8" s="916" t="s">
        <v>139</v>
      </c>
      <c r="E8" s="917">
        <f>ROUND(C11/E7,4)</f>
        <v>0</v>
      </c>
      <c r="F8" s="2747" t="s">
        <v>2827</v>
      </c>
      <c r="G8" s="2748"/>
      <c r="H8" s="2748"/>
      <c r="I8" s="2748"/>
      <c r="J8" s="2749"/>
      <c r="K8" s="1366"/>
      <c r="L8" s="2722" t="s">
        <v>2828</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28" t="s">
        <v>2829</v>
      </c>
      <c r="X8" s="3229"/>
      <c r="Y8" s="1606" t="s">
        <v>2830</v>
      </c>
      <c r="Z8" s="1606" t="s">
        <v>2831</v>
      </c>
      <c r="AA8" s="1606" t="s">
        <v>2832</v>
      </c>
      <c r="AB8" s="1606" t="s">
        <v>2833</v>
      </c>
      <c r="AC8" s="1606" t="s">
        <v>2834</v>
      </c>
      <c r="AD8" s="1606" t="s">
        <v>2835</v>
      </c>
      <c r="AE8" s="1606" t="s">
        <v>2836</v>
      </c>
      <c r="AF8" s="1606" t="s">
        <v>2837</v>
      </c>
      <c r="AG8" s="1606" t="s">
        <v>2838</v>
      </c>
      <c r="AH8" s="1606" t="s">
        <v>2839</v>
      </c>
      <c r="AI8" s="1606" t="s">
        <v>2840</v>
      </c>
      <c r="AJ8" s="1606" t="s">
        <v>2841</v>
      </c>
    </row>
    <row r="9" spans="1:36" ht="15">
      <c r="A9" s="3236"/>
      <c r="B9" s="196" t="s">
        <v>2842</v>
      </c>
      <c r="C9" s="918">
        <f>SUMIF(修正!C59:C119,C8,修正!E59:E119)</f>
        <v>0</v>
      </c>
      <c r="D9" s="198" t="s">
        <v>140</v>
      </c>
      <c r="E9" s="198">
        <f>ROUND(C11/E7,4)</f>
        <v>0</v>
      </c>
      <c r="F9" s="2747" t="s">
        <v>2843</v>
      </c>
      <c r="G9" s="2748"/>
      <c r="H9" s="2748"/>
      <c r="I9" s="2748"/>
      <c r="J9" s="2749"/>
      <c r="K9" s="1366"/>
      <c r="L9" s="2722" t="s">
        <v>2844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30" t="s">
        <v>2845</v>
      </c>
      <c r="X9" s="1607" t="s">
        <v>2846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6"/>
      <c r="B10" s="196" t="s">
        <v>2847</v>
      </c>
      <c r="C10" s="198">
        <f>SUMIF(修正!C59:C119,C8,修正!F59:F119)</f>
        <v>0</v>
      </c>
      <c r="D10" s="198" t="s">
        <v>141</v>
      </c>
      <c r="E10" s="198">
        <f>ROUND(C11/E7,4)</f>
        <v>0</v>
      </c>
      <c r="F10" s="2747" t="s">
        <v>2848</v>
      </c>
      <c r="G10" s="2748"/>
      <c r="H10" s="2748"/>
      <c r="I10" s="2748"/>
      <c r="J10" s="2749"/>
      <c r="K10" s="1366"/>
      <c r="L10" s="2722" t="s">
        <v>2849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3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36"/>
      <c r="B11" s="2750" t="s">
        <v>2850</v>
      </c>
      <c r="C11" s="919">
        <f>C10/4</f>
        <v>0</v>
      </c>
      <c r="D11" s="919" t="s">
        <v>142</v>
      </c>
      <c r="E11" s="919">
        <f>ROUND(C11/E7,4)</f>
        <v>0</v>
      </c>
      <c r="F11" s="2751" t="s">
        <v>2851</v>
      </c>
      <c r="G11" s="2752"/>
      <c r="H11" s="2752"/>
      <c r="I11" s="2752"/>
      <c r="J11" s="2753"/>
      <c r="K11" s="1366"/>
      <c r="L11" s="2722" t="s">
        <v>2852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30" t="s">
        <v>2853</v>
      </c>
      <c r="X11" s="1610" t="s">
        <v>2854</v>
      </c>
      <c r="Y11" s="1611">
        <f>$G$3</f>
        <v>1.9</v>
      </c>
      <c r="Z11" s="1611">
        <f t="shared" ref="Z11:AJ11" si="3">$G$3</f>
        <v>1.9</v>
      </c>
      <c r="AA11" s="1611">
        <f t="shared" si="3"/>
        <v>1.9</v>
      </c>
      <c r="AB11" s="1611">
        <f t="shared" si="3"/>
        <v>1.9</v>
      </c>
      <c r="AC11" s="1611">
        <f t="shared" si="3"/>
        <v>1.9</v>
      </c>
      <c r="AD11" s="1611">
        <f t="shared" si="3"/>
        <v>1.9</v>
      </c>
      <c r="AE11" s="1611">
        <f t="shared" si="3"/>
        <v>1.9</v>
      </c>
      <c r="AF11" s="1611">
        <f t="shared" si="3"/>
        <v>1.9</v>
      </c>
      <c r="AG11" s="1611">
        <f t="shared" si="3"/>
        <v>1.9</v>
      </c>
      <c r="AH11" s="1611">
        <f t="shared" si="3"/>
        <v>1.9</v>
      </c>
      <c r="AI11" s="1611">
        <f t="shared" si="3"/>
        <v>1.9</v>
      </c>
      <c r="AJ11" s="1611">
        <f t="shared" si="3"/>
        <v>1.9</v>
      </c>
    </row>
    <row r="12" spans="1:36" ht="25.5" thickBot="1">
      <c r="A12" s="3235" t="s">
        <v>2855</v>
      </c>
      <c r="B12" s="2754" t="s">
        <v>2856</v>
      </c>
      <c r="C12" s="915">
        <f>ROUND(C15*D15*E15*F15*G15*H15*I15*J15,4)</f>
        <v>1.21</v>
      </c>
      <c r="D12" s="2755" t="s">
        <v>2857</v>
      </c>
      <c r="E12" s="2756"/>
      <c r="F12" s="2756"/>
      <c r="G12" s="2757"/>
      <c r="H12" s="2757"/>
      <c r="I12" s="2757"/>
      <c r="J12" s="2758"/>
      <c r="K12" s="1366"/>
      <c r="L12" s="2759" t="s">
        <v>2858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30"/>
      <c r="X12" s="1612" t="s">
        <v>2859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37"/>
      <c r="B13" s="2760" t="s">
        <v>2860</v>
      </c>
      <c r="C13" s="2761" t="s">
        <v>2861</v>
      </c>
      <c r="D13" s="1804" t="s">
        <v>2862</v>
      </c>
      <c r="E13" s="1804" t="s">
        <v>2863</v>
      </c>
      <c r="F13" s="30" t="s">
        <v>2864</v>
      </c>
      <c r="G13" s="2762" t="s">
        <v>2865</v>
      </c>
      <c r="H13" s="2762" t="s">
        <v>2865</v>
      </c>
      <c r="I13" s="2762" t="s">
        <v>2865</v>
      </c>
      <c r="J13" s="2763" t="s">
        <v>2865</v>
      </c>
      <c r="K13" s="1366"/>
      <c r="L13" s="1366"/>
      <c r="M13" s="1366"/>
      <c r="N13" s="1366"/>
      <c r="O13" s="1366"/>
      <c r="P13" s="1366"/>
      <c r="Q13" s="1366"/>
      <c r="R13" s="1598">
        <v>12</v>
      </c>
      <c r="S13" s="1599"/>
      <c r="T13" s="1598">
        <f t="shared" ca="1" si="0"/>
        <v>0</v>
      </c>
      <c r="U13" s="1599"/>
      <c r="V13" s="1598">
        <f t="shared" ca="1" si="1"/>
        <v>0</v>
      </c>
      <c r="W13" s="3230"/>
      <c r="X13" s="1612"/>
      <c r="Y13" s="1609">
        <f>(-0.163*(Y12^2)-0.59*Y12+7617)*(10^(-4))/Y11</f>
        <v>0.4008947368421053</v>
      </c>
      <c r="Z13" s="1609">
        <f t="shared" ref="Z13:AJ13" si="5">(-0.163*(Z12^2)-0.59*Z12+7617)*(10^(-4))/Z11</f>
        <v>0.4008947368421053</v>
      </c>
      <c r="AA13" s="1609">
        <f t="shared" si="5"/>
        <v>0.4008947368421053</v>
      </c>
      <c r="AB13" s="1609">
        <f t="shared" si="5"/>
        <v>0.4008947368421053</v>
      </c>
      <c r="AC13" s="1609">
        <f t="shared" si="5"/>
        <v>0.4008947368421053</v>
      </c>
      <c r="AD13" s="1609">
        <f t="shared" si="5"/>
        <v>0.4008947368421053</v>
      </c>
      <c r="AE13" s="1609">
        <f t="shared" si="5"/>
        <v>0.4008947368421053</v>
      </c>
      <c r="AF13" s="1609">
        <f t="shared" si="5"/>
        <v>0.4008947368421053</v>
      </c>
      <c r="AG13" s="1609">
        <f t="shared" si="5"/>
        <v>0.4008947368421053</v>
      </c>
      <c r="AH13" s="1609">
        <f t="shared" si="5"/>
        <v>0.4008947368421053</v>
      </c>
      <c r="AI13" s="1609">
        <f t="shared" si="5"/>
        <v>0.4008947368421053</v>
      </c>
      <c r="AJ13" s="1609">
        <f t="shared" si="5"/>
        <v>0.4008947368421053</v>
      </c>
    </row>
    <row r="14" spans="1:36" ht="15">
      <c r="A14" s="3237"/>
      <c r="B14" s="2764"/>
      <c r="C14" s="2765" t="s">
        <v>3171</v>
      </c>
      <c r="D14" s="2766" t="s">
        <v>3172</v>
      </c>
      <c r="E14" s="2766" t="s">
        <v>3171</v>
      </c>
      <c r="F14" s="2767" t="s">
        <v>3173</v>
      </c>
      <c r="G14" s="2768" t="s">
        <v>2866</v>
      </c>
      <c r="H14" s="2769"/>
      <c r="I14" s="2770"/>
      <c r="J14" s="2771"/>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38"/>
      <c r="B15" s="2772" t="s">
        <v>2867</v>
      </c>
      <c r="C15" s="227">
        <f>IF(C14="有",1.1,1)</f>
        <v>1.1000000000000001</v>
      </c>
      <c r="D15" s="227">
        <f>IF(D14="有",1.1,1)</f>
        <v>1</v>
      </c>
      <c r="E15" s="227">
        <f>IF(E14="有",1.1,1)</f>
        <v>1.1000000000000001</v>
      </c>
      <c r="F15" s="227">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35" t="s">
        <v>2872</v>
      </c>
      <c r="B16" s="2741" t="s">
        <v>2873</v>
      </c>
      <c r="C16" s="2931">
        <f>ROUND(IF(F17="与级别开发程度一致",0,(G17-E17)/C17),0)</f>
        <v>0</v>
      </c>
      <c r="D16" s="3249" t="s">
        <v>2877</v>
      </c>
      <c r="E16" s="3250"/>
      <c r="F16" s="3249" t="s">
        <v>2874</v>
      </c>
      <c r="G16" s="3250"/>
      <c r="H16" s="2775" t="s">
        <v>3150</v>
      </c>
      <c r="I16" s="2775" t="s">
        <v>3151</v>
      </c>
      <c r="J16" s="2935" t="s">
        <v>3154</v>
      </c>
      <c r="K16" s="2775" t="s">
        <v>3152</v>
      </c>
      <c r="L16" s="2775" t="s">
        <v>3153</v>
      </c>
      <c r="M16" s="2775" t="s">
        <v>3155</v>
      </c>
      <c r="N16" s="2775" t="s">
        <v>3156</v>
      </c>
      <c r="O16" s="2776" t="s">
        <v>3175</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39"/>
      <c r="B17" s="2942" t="s">
        <v>2876</v>
      </c>
      <c r="C17" s="2943">
        <f>SUMPRODUCT((修正!A2:A5=E2)*(修正!B1:M1=G2)*(修正!B2:M5))</f>
        <v>2.5</v>
      </c>
      <c r="D17" s="227" t="str">
        <f>IF(OR(G2="八级",G2="九级",G2="十级",G2="十一级",G2="十二级"),"五通一平","七通一平")</f>
        <v>七通一平</v>
      </c>
      <c r="E17" s="2932">
        <f>SUMPRODUCT((修正!B1:M1=G2)*(修正!B15:M15))</f>
        <v>300</v>
      </c>
      <c r="F17" s="2933" t="s">
        <v>3174</v>
      </c>
      <c r="G17" s="2934">
        <f>SUM(H17:O17)</f>
        <v>300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50</v>
      </c>
      <c r="N17" s="2943">
        <f>SUMPRODUCT((七通一平=N16)*(修正!B1:M1=G2)*(修正!B6:M14))</f>
        <v>40</v>
      </c>
      <c r="O17" s="2945">
        <f>SUMPRODUCT((七通一平=O16)*(修正!B1:M1=G2)*(修正!B6:M14))</f>
        <v>15</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6" t="s">
        <v>808</v>
      </c>
      <c r="B18" s="2937" t="s">
        <v>2879</v>
      </c>
      <c r="C18" s="2938">
        <f>SUMIF(修正!C18:C39,E3,修正!E18:E39)</f>
        <v>1.1000000000000001</v>
      </c>
      <c r="D18" s="2939"/>
      <c r="E18" s="2940"/>
      <c r="F18" s="2940"/>
      <c r="G18" s="2940"/>
      <c r="H18" s="2940"/>
      <c r="I18" s="2940"/>
      <c r="J18" s="2941"/>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809</v>
      </c>
      <c r="B19" s="2781" t="s">
        <v>2880</v>
      </c>
      <c r="C19" s="920">
        <f>ROUND(IF(H19="按公示增长率计算",SUMPRODUCT((地价!A3:A26=YEAR(G19)&amp;"-"&amp;ROUNDUP(MONTH(G19)/3,0))*(地价!X2:AB2=E2)*(地价!X3:AB26)),IF(H19="地价指数",M20/M19,(1+I19)^O19)),4)</f>
        <v>1.3423</v>
      </c>
      <c r="D19" s="2785" t="s">
        <v>2881</v>
      </c>
      <c r="E19" s="921">
        <v>41640</v>
      </c>
      <c r="F19" s="2785" t="s">
        <v>2882</v>
      </c>
      <c r="G19" s="922">
        <f>'数据-取费表'!B2</f>
        <v>43566</v>
      </c>
      <c r="H19" s="2786" t="s">
        <v>3176</v>
      </c>
      <c r="I19" s="923" t="str">
        <f>IF(H19="季度增幅（自定义）",SUMIF(N21:N24,E2,O21:O24),"")</f>
        <v/>
      </c>
      <c r="J19" s="2783"/>
      <c r="K19" s="1373"/>
      <c r="L19" s="2787" t="s">
        <v>2883</v>
      </c>
      <c r="M19" s="1730">
        <f>ROUND(SUMIF(地价!B2:F2,E2,地价!B26:F26),0)</f>
        <v>258</v>
      </c>
      <c r="N19" s="2788" t="s">
        <v>2884</v>
      </c>
      <c r="O19" s="924">
        <f>ROUNDDOWN(DATEDIF(E19,G19,"M")/3,0)</f>
        <v>21</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810</v>
      </c>
      <c r="B20" s="2793" t="s">
        <v>2885</v>
      </c>
      <c r="C20" s="925">
        <f ca="1">ROUND(POWER(1+G20,J20-I20)*(POWER(1+G20,I20)-1)/(POWER(1+G20,J20)-1),4)</f>
        <v>0.84370000000000001</v>
      </c>
      <c r="D20" s="2794" t="s">
        <v>2886</v>
      </c>
      <c r="E20" s="1764">
        <f ca="1">存贷款利率!D4/100</f>
        <v>4.3499999999999997E-2</v>
      </c>
      <c r="F20" s="2794" t="s">
        <v>2878</v>
      </c>
      <c r="G20" s="930">
        <f ca="1">SUMIF(M26:P26,E2,M28:P28)</f>
        <v>5.3999999999999999E-2</v>
      </c>
      <c r="H20" s="2794" t="s">
        <v>2887</v>
      </c>
      <c r="I20" s="931">
        <f>SUMIF('数据-取费表'!C6:C15,E2,'数据-取费表'!F6:F15)/COUNTIF('数据-取费表'!C6:C15,E2)</f>
        <v>25.67</v>
      </c>
      <c r="J20" s="932">
        <f>IF(E2="住宅",70,IF(E2="商业",40,50))</f>
        <v>40</v>
      </c>
      <c r="K20" s="1373"/>
      <c r="L20" s="2795" t="s">
        <v>2888</v>
      </c>
      <c r="M20" s="1731">
        <f>ROUND(SUMPRODUCT((地价!A4:A26=YEAR(G19)&amp;"-"&amp;ROUNDUP(MONTH(G19)/3,0))*(地价!B2:F2=E2)*(地价!B4:F26)),0)</f>
        <v>346</v>
      </c>
      <c r="N20" s="2796" t="s">
        <v>2889</v>
      </c>
      <c r="O20" s="2797" t="s">
        <v>2890</v>
      </c>
      <c r="P20" s="2798" t="s">
        <v>2891</v>
      </c>
      <c r="R20" s="1372"/>
      <c r="S20" s="1372"/>
      <c r="T20" s="1367"/>
      <c r="U20" s="1367"/>
      <c r="V20" s="1367"/>
      <c r="W20" s="1366"/>
      <c r="X20" s="1366"/>
      <c r="Y20" s="1366"/>
      <c r="Z20" s="1373"/>
      <c r="AA20" s="1374"/>
      <c r="AB20" s="1374"/>
      <c r="AC20" s="1374"/>
      <c r="AD20" s="1374"/>
      <c r="AE20" s="1374"/>
      <c r="AF20" s="1374"/>
    </row>
    <row r="21" spans="1:37" s="2734" customFormat="1" ht="15">
      <c r="A21" s="2799" t="s">
        <v>811</v>
      </c>
      <c r="B21" s="2800" t="s">
        <v>3178</v>
      </c>
      <c r="C21" s="933">
        <f>IF(B21="容积率修正",IF(G3&lt;=10,D22,J22),C23)</f>
        <v>1.8629</v>
      </c>
      <c r="D21" s="2801"/>
      <c r="E21" s="2801"/>
      <c r="F21" s="2801"/>
      <c r="G21" s="2801"/>
      <c r="H21" s="2801"/>
      <c r="I21" s="2801"/>
      <c r="J21" s="2802"/>
      <c r="K21" s="1373"/>
      <c r="N21" s="2803" t="s">
        <v>2892</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2893</v>
      </c>
      <c r="B22" s="2804" t="s">
        <v>2894</v>
      </c>
      <c r="C22" s="1806" t="s">
        <v>2895</v>
      </c>
      <c r="D22" s="1806">
        <f>IF(E22=G22,F22,IF(G3&lt;=10,ROUND(F22+(H22-F22)*(G3-E22)/(G22-E22),4),"——"))</f>
        <v>1.1089</v>
      </c>
      <c r="E22" s="912">
        <f>ROUNDDOWN(G3,1)</f>
        <v>1.9</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2">
        <f>ROUNDUP(G3,1)</f>
        <v>1.9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806" t="s">
        <v>155</v>
      </c>
      <c r="J22" s="934" t="str">
        <f>IF(G3&gt;10,D113,"——")</f>
        <v>——</v>
      </c>
      <c r="K22" s="1373"/>
      <c r="N22" s="2803" t="s">
        <v>2896</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60" t="s">
        <v>2897</v>
      </c>
      <c r="B23" s="2805" t="s">
        <v>2898</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2899</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4"/>
    </row>
    <row r="24" spans="1:37" s="2734" customFormat="1" ht="15.75" thickBot="1">
      <c r="A24" s="2792" t="s">
        <v>812</v>
      </c>
      <c r="B24" s="2781" t="s">
        <v>2900</v>
      </c>
      <c r="C24" s="920">
        <f>SUMIF(A45:A88,E2,B45:B88)</f>
        <v>1.0348999999999999</v>
      </c>
      <c r="D24" s="2782"/>
      <c r="E24" s="2811"/>
      <c r="F24" s="2811"/>
      <c r="G24" s="2811"/>
      <c r="H24" s="2811"/>
      <c r="I24" s="2811"/>
      <c r="J24" s="2812"/>
      <c r="K24" s="1373"/>
      <c r="N24" s="2813" t="s">
        <v>2901</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2" t="s">
        <v>813</v>
      </c>
      <c r="B25" s="2814" t="s">
        <v>2902</v>
      </c>
      <c r="C25" s="926"/>
      <c r="D25" s="2744"/>
      <c r="E25" s="2744"/>
      <c r="F25" s="2815"/>
      <c r="G25" s="2744"/>
      <c r="H25" s="2744"/>
      <c r="I25" s="2744"/>
      <c r="J25" s="2745"/>
      <c r="K25" s="1366"/>
      <c r="N25" s="2816" t="s">
        <v>2903</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7"/>
      <c r="B26" s="2804" t="s">
        <v>2904</v>
      </c>
      <c r="C26" s="204">
        <f ca="1">E29+SUM(E33:E39)</f>
        <v>8842</v>
      </c>
      <c r="D26" s="2818"/>
      <c r="E26" s="2769"/>
      <c r="F26" s="2819"/>
      <c r="G26" s="2769"/>
      <c r="H26" s="2769"/>
      <c r="I26" s="2769"/>
      <c r="J26" s="2820"/>
      <c r="K26" s="1366"/>
      <c r="L26" s="2773" t="s">
        <v>2803</v>
      </c>
      <c r="M26" s="916" t="s">
        <v>2868</v>
      </c>
      <c r="N26" s="916" t="s">
        <v>2869</v>
      </c>
      <c r="O26" s="916" t="s">
        <v>2870</v>
      </c>
      <c r="P26" s="2774" t="s">
        <v>2871</v>
      </c>
      <c r="R26" s="1372"/>
      <c r="S26" s="1372"/>
      <c r="T26" s="1367"/>
      <c r="U26" s="1367"/>
      <c r="V26" s="1367"/>
      <c r="W26" s="1366"/>
      <c r="X26" s="1366"/>
      <c r="Y26" s="1366"/>
      <c r="Z26" s="1373"/>
      <c r="AA26" s="1374"/>
      <c r="AB26" s="1374"/>
      <c r="AC26" s="1374"/>
      <c r="AD26" s="1374"/>
    </row>
    <row r="27" spans="1:37" ht="15.75" thickBot="1">
      <c r="A27" s="2817"/>
      <c r="B27" s="2821" t="s">
        <v>2905</v>
      </c>
      <c r="C27" s="927">
        <f ca="1">E30+SUM(I33:I39)</f>
        <v>552</v>
      </c>
      <c r="D27" s="2822"/>
      <c r="E27" s="2823"/>
      <c r="F27" s="2824"/>
      <c r="G27" s="2823"/>
      <c r="H27" s="2823"/>
      <c r="I27" s="2823"/>
      <c r="J27" s="2825"/>
      <c r="K27" s="1366"/>
      <c r="L27" s="2777" t="s">
        <v>2875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2906</v>
      </c>
      <c r="C28" s="2828" t="s">
        <v>2907</v>
      </c>
      <c r="D28" s="2828" t="s">
        <v>2908</v>
      </c>
      <c r="E28" s="2829" t="s">
        <v>2909</v>
      </c>
      <c r="F28" s="2830"/>
      <c r="G28" s="2757"/>
      <c r="H28" s="2757"/>
      <c r="I28" s="2757"/>
      <c r="J28" s="2758"/>
      <c r="K28" s="1366"/>
      <c r="L28" s="2778" t="s">
        <v>2878</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2910</v>
      </c>
      <c r="C29" s="204">
        <f ca="1">ROUND(C5*C18*C19*C20*C21*C24,0)</f>
        <v>25650</v>
      </c>
      <c r="D29" s="2833">
        <f>U2</f>
        <v>2587.25</v>
      </c>
      <c r="E29" s="938">
        <f ca="1">ROUND(C29*D29/10000,0)</f>
        <v>6636</v>
      </c>
      <c r="F29" s="2834" t="s">
        <v>2911</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2912</v>
      </c>
      <c r="C30" s="227">
        <f ca="1">ROUND(IF(E2="工业",C29*M39,C29*M38),0)</f>
        <v>6413</v>
      </c>
      <c r="D30" s="2839"/>
      <c r="E30" s="938">
        <f ca="1">ROUND(C30*D30/10000,0)</f>
        <v>0</v>
      </c>
      <c r="F30" s="2840" t="s">
        <v>2913</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499" t="s">
        <v>2907</v>
      </c>
      <c r="D32" s="496" t="s">
        <v>2908</v>
      </c>
      <c r="E32" s="496" t="s">
        <v>2909</v>
      </c>
      <c r="F32" s="386" t="s">
        <v>2917</v>
      </c>
      <c r="G32" s="2848" t="s">
        <v>2907</v>
      </c>
      <c r="H32" s="2848" t="s">
        <v>2908</v>
      </c>
      <c r="I32" s="2848" t="s">
        <v>2909</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246" t="s">
        <v>2918</v>
      </c>
      <c r="B33" s="2849" t="s">
        <v>2919</v>
      </c>
      <c r="C33" s="204">
        <f ca="1">ROUND(D5*C19*C20*C24*F33,0)</f>
        <v>8762</v>
      </c>
      <c r="D33" s="2833">
        <f>'数据-汇总表'!G19</f>
        <v>2517.69</v>
      </c>
      <c r="E33" s="198">
        <f ca="1">ROUND(C33*D33/10000,0)</f>
        <v>2206</v>
      </c>
      <c r="F33" s="198">
        <f>SUMIF(修正!A45:A56,G2,修正!B45:B56)</f>
        <v>0.7</v>
      </c>
      <c r="G33" s="198">
        <f t="shared" ref="G33" ca="1" si="6">ROUND(IF(E2="工业",C33*$M$39,C33*$M$38),0)</f>
        <v>2191</v>
      </c>
      <c r="H33" s="198">
        <f>D33</f>
        <v>2517.69</v>
      </c>
      <c r="I33" s="198">
        <f ca="1">ROUND(G33*H33/10000,0)</f>
        <v>552</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7"/>
      <c r="B34" s="2761" t="s">
        <v>2920</v>
      </c>
      <c r="C34" s="204">
        <f ca="1">ROUND(D5*C19*C20*C24*F34,0)</f>
        <v>5007</v>
      </c>
      <c r="D34" s="2833"/>
      <c r="E34" s="198">
        <f t="shared" ref="E34:E39" ca="1" si="7">ROUND(C34*D34/10000,0)</f>
        <v>0</v>
      </c>
      <c r="F34" s="198">
        <f>SUMIF(修正!A45:A56,G2,修正!C45:C56)</f>
        <v>0.4</v>
      </c>
      <c r="G34" s="198">
        <f ca="1">ROUND(IF(E2="工业",C34*$M$39,C34*$M$38),0)</f>
        <v>1252</v>
      </c>
      <c r="H34" s="198">
        <f t="shared" ref="H34:H39" si="8">D34</f>
        <v>0</v>
      </c>
      <c r="I34" s="198">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7"/>
      <c r="B35" s="2761" t="s">
        <v>2921</v>
      </c>
      <c r="C35" s="204">
        <f ca="1">ROUND(D5*C19*C20*C24*F35,0)</f>
        <v>3505</v>
      </c>
      <c r="D35" s="2833"/>
      <c r="E35" s="198">
        <f t="shared" ca="1" si="7"/>
        <v>0</v>
      </c>
      <c r="F35" s="198">
        <f>SUMIF(修正!A45:A56,G2,修正!D45:D56)</f>
        <v>0.28000000000000003</v>
      </c>
      <c r="G35" s="198">
        <f ca="1">ROUND(IF(E2="工业",C35*$M$39,C35*$M$38),0)</f>
        <v>876</v>
      </c>
      <c r="H35" s="198">
        <f t="shared" si="8"/>
        <v>0</v>
      </c>
      <c r="I35" s="198">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248"/>
      <c r="B36" s="2761" t="s">
        <v>2922</v>
      </c>
      <c r="C36" s="204">
        <f ca="1">ROUND(D5*C19*C20*C24*F36,0)</f>
        <v>3129</v>
      </c>
      <c r="D36" s="2833"/>
      <c r="E36" s="198">
        <f t="shared" ca="1" si="7"/>
        <v>0</v>
      </c>
      <c r="F36" s="198">
        <f>SUMIF(修正!A45:A56,G2,修正!E45:E56)</f>
        <v>0.25</v>
      </c>
      <c r="G36" s="198">
        <f ca="1">ROUND(IF(E2="工业",C36*$M$39,C36*$M$38),0)</f>
        <v>782</v>
      </c>
      <c r="H36" s="198">
        <f t="shared" si="8"/>
        <v>0</v>
      </c>
      <c r="I36" s="198">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2923</v>
      </c>
      <c r="C37" s="198">
        <f ca="1">ROUND(D5*C19*C20*C24*F37,0)</f>
        <v>3129</v>
      </c>
      <c r="D37" s="2833"/>
      <c r="E37" s="198">
        <f t="shared" ca="1" si="7"/>
        <v>0</v>
      </c>
      <c r="F37" s="204">
        <f>SUMIF(修正!A45:A56,G2,修正!F45:F56)</f>
        <v>0.25</v>
      </c>
      <c r="G37" s="198">
        <f ca="1">ROUND(IF(E2="工业",C37*$M$39,C37*$M$38),0)</f>
        <v>782</v>
      </c>
      <c r="H37" s="198">
        <f t="shared" si="8"/>
        <v>0</v>
      </c>
      <c r="I37" s="198">
        <f t="shared" ca="1" si="9"/>
        <v>0</v>
      </c>
      <c r="J37" s="2850"/>
      <c r="K37" s="1366"/>
      <c r="L37" s="2852" t="s">
        <v>2924</v>
      </c>
      <c r="M37" s="2853"/>
      <c r="N37" s="1366"/>
      <c r="O37" s="1366"/>
      <c r="P37" s="1366"/>
      <c r="Q37" s="1366"/>
      <c r="R37" s="1366"/>
      <c r="S37" s="1366"/>
      <c r="T37" s="1366"/>
      <c r="U37" s="1366"/>
      <c r="V37" s="1366"/>
      <c r="W37" s="1366"/>
      <c r="X37" s="1366"/>
      <c r="Y37" s="1366"/>
      <c r="Z37" s="1367"/>
    </row>
    <row r="38" spans="1:37">
      <c r="A38" s="2851"/>
      <c r="B38" s="2761" t="s">
        <v>2925</v>
      </c>
      <c r="C38" s="198">
        <f ca="1">ROUND(D5*C19*C41*C24*F38,0)</f>
        <v>0</v>
      </c>
      <c r="D38" s="2833"/>
      <c r="E38" s="198">
        <f t="shared" ca="1" si="7"/>
        <v>0</v>
      </c>
      <c r="F38" s="204">
        <f>SUMIF(修正!A45:A56,G2,修正!G45:G56)</f>
        <v>0.25</v>
      </c>
      <c r="G38" s="198">
        <f ca="1">ROUND(IF(E2="工业",C38*$M$39,C38*$M$38),0)</f>
        <v>0</v>
      </c>
      <c r="H38" s="198">
        <f t="shared" si="8"/>
        <v>0</v>
      </c>
      <c r="I38" s="198">
        <f t="shared" ca="1" si="9"/>
        <v>0</v>
      </c>
      <c r="J38" s="2850"/>
      <c r="K38" s="1366"/>
      <c r="L38" s="1883" t="s">
        <v>2926</v>
      </c>
      <c r="M38" s="2854">
        <v>0.25</v>
      </c>
      <c r="N38" s="1366"/>
      <c r="O38" s="1366"/>
      <c r="P38" s="1366"/>
      <c r="Q38" s="1366"/>
      <c r="R38" s="1366"/>
      <c r="S38" s="1366"/>
      <c r="T38" s="1366"/>
      <c r="U38" s="1366"/>
      <c r="V38" s="1366"/>
      <c r="W38" s="1366"/>
      <c r="X38" s="1366"/>
      <c r="Y38" s="1366"/>
      <c r="Z38" s="1367"/>
    </row>
    <row r="39" spans="1:37" ht="13.5" thickBot="1">
      <c r="A39" s="2837"/>
      <c r="B39" s="2855" t="s">
        <v>2927</v>
      </c>
      <c r="C39" s="227">
        <f ca="1">ROUND(D5*C19*C41*C24*F39,0)</f>
        <v>0</v>
      </c>
      <c r="D39" s="2839"/>
      <c r="E39" s="227">
        <f t="shared" ca="1" si="7"/>
        <v>0</v>
      </c>
      <c r="F39" s="928">
        <f>SUMIF(修正!A45:A56,G2,修正!H45:H56)</f>
        <v>0.2</v>
      </c>
      <c r="G39" s="227">
        <f ca="1">ROUND(IF(E2="工业",C39*$M$39,C39*$M$38),0)</f>
        <v>0</v>
      </c>
      <c r="H39" s="227">
        <f t="shared" si="8"/>
        <v>0</v>
      </c>
      <c r="I39" s="227">
        <f t="shared" ca="1" si="9"/>
        <v>0</v>
      </c>
      <c r="J39" s="2856"/>
      <c r="K39" s="1366"/>
      <c r="L39" s="2857" t="s">
        <v>2871</v>
      </c>
      <c r="M39" s="2858">
        <v>0.15</v>
      </c>
      <c r="N39" s="1366"/>
      <c r="O39" s="1366"/>
      <c r="P39" s="1366"/>
      <c r="Q39" s="1366"/>
      <c r="R39" s="1366"/>
      <c r="S39" s="1366"/>
      <c r="T39" s="1366"/>
      <c r="U39" s="1366"/>
      <c r="V39" s="1366"/>
      <c r="W39" s="1366"/>
      <c r="X39" s="1366"/>
      <c r="Y39" s="1366"/>
      <c r="Z39" s="1367"/>
    </row>
    <row r="40" spans="1:37" s="1366" customFormat="1">
      <c r="B40" s="2990" t="s">
        <v>3179</v>
      </c>
      <c r="C40" s="2990">
        <f ca="1">T3</f>
        <v>18412</v>
      </c>
      <c r="D40" s="2990">
        <f>U3</f>
        <v>1705.36</v>
      </c>
      <c r="E40" s="2990">
        <f ca="1">ROUND(C40*D40/10000,0)</f>
        <v>3140</v>
      </c>
      <c r="F40" s="2990">
        <f ca="1">E40+E33+E29</f>
        <v>11982</v>
      </c>
      <c r="Z40" s="1367"/>
      <c r="AA40" s="1367"/>
      <c r="AB40" s="1367"/>
      <c r="AC40" s="1367"/>
      <c r="AD40" s="1367"/>
      <c r="AE40" s="1367"/>
      <c r="AF40" s="1367"/>
      <c r="AG40" s="1367"/>
      <c r="AH40" s="1367"/>
      <c r="AI40" s="1367"/>
      <c r="AJ40" s="1367"/>
    </row>
    <row r="41" spans="1:37" s="1366" customFormat="1">
      <c r="A41" s="1367"/>
      <c r="B41" s="2926" t="s">
        <v>3038</v>
      </c>
      <c r="C41" s="386">
        <f ca="1">ROUND(POWER(1+E41,H41-G41)*(POWER(1+E41,G41)-1)/(POWER(1+E41,H41)-1),4)</f>
        <v>0</v>
      </c>
      <c r="D41" s="198" t="s">
        <v>2878</v>
      </c>
      <c r="E41" s="2925">
        <f ca="1">G20</f>
        <v>5.3999999999999999E-2</v>
      </c>
      <c r="F41" s="198" t="s">
        <v>2887</v>
      </c>
      <c r="G41" s="216"/>
      <c r="H41" s="198">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2928</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2929</v>
      </c>
      <c r="B46" s="2863">
        <f>1+E48</f>
        <v>1.0348999999999999</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2930</v>
      </c>
      <c r="B47" s="1805" t="s">
        <v>2931</v>
      </c>
      <c r="C47" s="1805" t="s">
        <v>2932</v>
      </c>
      <c r="D47" s="1805" t="s">
        <v>2933</v>
      </c>
      <c r="E47" s="815" t="s">
        <v>2934</v>
      </c>
      <c r="F47" s="2867" t="s">
        <v>2935</v>
      </c>
      <c r="G47" s="1805" t="s">
        <v>754</v>
      </c>
      <c r="H47" s="2868" t="s">
        <v>2936</v>
      </c>
      <c r="I47" s="1805" t="s">
        <v>2937</v>
      </c>
      <c r="J47" s="601" t="s">
        <v>2586</v>
      </c>
      <c r="K47" s="601" t="s">
        <v>2587</v>
      </c>
      <c r="L47" s="601" t="s">
        <v>2588</v>
      </c>
      <c r="M47" s="601" t="s">
        <v>2589</v>
      </c>
      <c r="N47" s="601" t="s">
        <v>2590</v>
      </c>
      <c r="AA47" s="1367"/>
      <c r="AB47" s="1367"/>
      <c r="AC47" s="1367"/>
      <c r="AD47" s="1367"/>
      <c r="AE47" s="1367"/>
      <c r="AF47" s="1367"/>
      <c r="AG47" s="1367"/>
      <c r="AH47" s="1367"/>
      <c r="AI47" s="1367"/>
      <c r="AJ47" s="1367"/>
      <c r="AK47" s="1367"/>
    </row>
    <row r="48" spans="1:37" s="1366" customFormat="1" ht="24.75">
      <c r="A48" s="2866" t="s">
        <v>2938</v>
      </c>
      <c r="B48" s="2869">
        <f>估价对象房地状况!C4</f>
        <v>0</v>
      </c>
      <c r="C48" s="2766" t="s">
        <v>3181</v>
      </c>
      <c r="D48" s="1282">
        <f t="shared" ref="D48:D56" si="10">SUMIF($J$47:$N$47,C48,J48:N48)</f>
        <v>0</v>
      </c>
      <c r="E48" s="817">
        <f>ROUND(SUM(D48:D56),4)</f>
        <v>3.49E-2</v>
      </c>
      <c r="F48" s="2497">
        <f>IF(E2="商业",SUMIF(L1:L12,G2,N1:N12),"——")</f>
        <v>0.13</v>
      </c>
      <c r="G48" s="1280">
        <f>H48</f>
        <v>2.1399999999999999E-2</v>
      </c>
      <c r="H48" s="1284">
        <f t="shared" ref="H48:H56" si="11">IFERROR(ROUNDDOWN($F$48*I48/2,4),"——")</f>
        <v>2.1399999999999999E-2</v>
      </c>
      <c r="I48" s="816">
        <v>0.33</v>
      </c>
      <c r="J48" s="1281">
        <f t="shared" ref="J48:J56" si="12">K48+$G48</f>
        <v>4.2799999999999998E-2</v>
      </c>
      <c r="K48" s="1281">
        <f t="shared" ref="K48:K56" si="13">$L48+$G48</f>
        <v>2.1399999999999999E-2</v>
      </c>
      <c r="L48" s="1281">
        <v>0</v>
      </c>
      <c r="M48" s="1281">
        <f t="shared" ref="M48:N56" si="14">L48-$G48</f>
        <v>-2.1399999999999999E-2</v>
      </c>
      <c r="N48" s="1281">
        <f t="shared" si="14"/>
        <v>-4.2799999999999998E-2</v>
      </c>
      <c r="AA48" s="1367"/>
      <c r="AB48" s="1367"/>
      <c r="AC48" s="1367"/>
      <c r="AD48" s="1367"/>
      <c r="AE48" s="1367"/>
      <c r="AF48" s="1367"/>
      <c r="AG48" s="1367"/>
      <c r="AH48" s="1367"/>
      <c r="AI48" s="1367"/>
      <c r="AJ48" s="1367"/>
      <c r="AK48" s="1367"/>
    </row>
    <row r="49" spans="1:37" s="1366" customFormat="1" ht="14.25">
      <c r="A49" s="2866" t="s">
        <v>2939</v>
      </c>
      <c r="B49" s="2870">
        <f>估价对象房地状况!C18</f>
        <v>0</v>
      </c>
      <c r="C49" s="2766" t="s">
        <v>3180</v>
      </c>
      <c r="D49" s="1282">
        <f t="shared" si="10"/>
        <v>1.6199999999999999E-2</v>
      </c>
      <c r="E49" s="818"/>
      <c r="F49" s="2497"/>
      <c r="G49" s="1280">
        <f t="shared" ref="G49:G56" si="15">H49</f>
        <v>1.6199999999999999E-2</v>
      </c>
      <c r="H49" s="1284">
        <f t="shared" si="11"/>
        <v>1.6199999999999999E-2</v>
      </c>
      <c r="I49" s="816">
        <v>0.25</v>
      </c>
      <c r="J49" s="1281">
        <f t="shared" si="12"/>
        <v>3.2399999999999998E-2</v>
      </c>
      <c r="K49" s="1281">
        <f t="shared" si="13"/>
        <v>1.6199999999999999E-2</v>
      </c>
      <c r="L49" s="1281">
        <v>0</v>
      </c>
      <c r="M49" s="1281">
        <f t="shared" si="14"/>
        <v>-1.6199999999999999E-2</v>
      </c>
      <c r="N49" s="1281">
        <f t="shared" si="14"/>
        <v>-3.2399999999999998E-2</v>
      </c>
      <c r="AA49" s="1367"/>
      <c r="AB49" s="1367"/>
      <c r="AC49" s="1367"/>
      <c r="AD49" s="1367"/>
      <c r="AE49" s="1367"/>
      <c r="AF49" s="1367"/>
      <c r="AG49" s="1367"/>
      <c r="AH49" s="1367"/>
      <c r="AI49" s="1367"/>
      <c r="AJ49" s="1367"/>
      <c r="AK49" s="1367"/>
    </row>
    <row r="50" spans="1:37" s="1366" customFormat="1" ht="24">
      <c r="A50" s="2866" t="s">
        <v>2940</v>
      </c>
      <c r="B50" s="2870">
        <f>估价对象房地状况!C19</f>
        <v>0</v>
      </c>
      <c r="C50" s="2766" t="s">
        <v>3180</v>
      </c>
      <c r="D50" s="1282">
        <f t="shared" si="10"/>
        <v>3.2000000000000002E-3</v>
      </c>
      <c r="E50" s="818"/>
      <c r="F50" s="2497"/>
      <c r="G50" s="1280">
        <f t="shared" si="15"/>
        <v>3.2000000000000002E-3</v>
      </c>
      <c r="H50" s="1284">
        <f t="shared" si="11"/>
        <v>3.2000000000000002E-3</v>
      </c>
      <c r="I50" s="816">
        <v>0.05</v>
      </c>
      <c r="J50" s="1281">
        <f t="shared" si="12"/>
        <v>6.4000000000000003E-3</v>
      </c>
      <c r="K50" s="1281">
        <f t="shared" si="13"/>
        <v>3.2000000000000002E-3</v>
      </c>
      <c r="L50" s="1281">
        <v>0</v>
      </c>
      <c r="M50" s="1281">
        <f t="shared" si="14"/>
        <v>-3.2000000000000002E-3</v>
      </c>
      <c r="N50" s="1281">
        <f t="shared" si="14"/>
        <v>-6.4000000000000003E-3</v>
      </c>
      <c r="AA50" s="1367"/>
      <c r="AB50" s="1367"/>
      <c r="AC50" s="1367"/>
      <c r="AD50" s="1367"/>
      <c r="AE50" s="1367"/>
      <c r="AF50" s="1367"/>
      <c r="AG50" s="1367"/>
      <c r="AH50" s="1367"/>
      <c r="AI50" s="1367"/>
      <c r="AJ50" s="1367"/>
      <c r="AK50" s="1367"/>
    </row>
    <row r="51" spans="1:37" s="1366" customFormat="1" ht="36.75">
      <c r="A51" s="2866" t="s">
        <v>2941</v>
      </c>
      <c r="B51" s="2871" t="s">
        <v>2942</v>
      </c>
      <c r="C51" s="2766" t="s">
        <v>3181</v>
      </c>
      <c r="D51" s="1282">
        <f t="shared" si="10"/>
        <v>0</v>
      </c>
      <c r="E51" s="818"/>
      <c r="F51" s="2497"/>
      <c r="G51" s="1280">
        <f t="shared" si="15"/>
        <v>3.2000000000000002E-3</v>
      </c>
      <c r="H51" s="1284">
        <f t="shared" si="11"/>
        <v>3.2000000000000002E-3</v>
      </c>
      <c r="I51" s="816">
        <v>0.05</v>
      </c>
      <c r="J51" s="1281">
        <f t="shared" si="12"/>
        <v>6.4000000000000003E-3</v>
      </c>
      <c r="K51" s="1281">
        <f t="shared" si="13"/>
        <v>3.2000000000000002E-3</v>
      </c>
      <c r="L51" s="1281">
        <v>0</v>
      </c>
      <c r="M51" s="1281">
        <f t="shared" si="14"/>
        <v>-3.2000000000000002E-3</v>
      </c>
      <c r="N51" s="1281">
        <f t="shared" si="14"/>
        <v>-6.4000000000000003E-3</v>
      </c>
      <c r="AA51" s="1367"/>
      <c r="AB51" s="1367"/>
      <c r="AC51" s="1367"/>
      <c r="AD51" s="1367"/>
      <c r="AE51" s="1367"/>
      <c r="AF51" s="1367"/>
      <c r="AG51" s="1367"/>
      <c r="AH51" s="1367"/>
      <c r="AI51" s="1367"/>
      <c r="AJ51" s="1367"/>
      <c r="AK51" s="1367"/>
    </row>
    <row r="52" spans="1:37" s="1366" customFormat="1" ht="24">
      <c r="A52" s="2866" t="s">
        <v>2943</v>
      </c>
      <c r="B52" s="2870">
        <f>估价对象房地状况!C24</f>
        <v>0</v>
      </c>
      <c r="C52" s="2766" t="s">
        <v>3181</v>
      </c>
      <c r="D52" s="1282">
        <f t="shared" si="10"/>
        <v>0</v>
      </c>
      <c r="E52" s="818"/>
      <c r="F52" s="2497"/>
      <c r="G52" s="1280">
        <f t="shared" si="15"/>
        <v>5.1999999999999998E-3</v>
      </c>
      <c r="H52" s="1284">
        <f t="shared" si="11"/>
        <v>5.1999999999999998E-3</v>
      </c>
      <c r="I52" s="816">
        <v>0.08</v>
      </c>
      <c r="J52" s="1281">
        <f t="shared" si="12"/>
        <v>1.04E-2</v>
      </c>
      <c r="K52" s="1281">
        <f t="shared" si="13"/>
        <v>5.1999999999999998E-3</v>
      </c>
      <c r="L52" s="1281">
        <v>0</v>
      </c>
      <c r="M52" s="1281">
        <f t="shared" si="14"/>
        <v>-5.1999999999999998E-3</v>
      </c>
      <c r="N52" s="1281">
        <f t="shared" si="14"/>
        <v>-1.04E-2</v>
      </c>
      <c r="AA52" s="1367"/>
      <c r="AB52" s="1367"/>
      <c r="AC52" s="1367"/>
      <c r="AD52" s="1367"/>
      <c r="AE52" s="1367"/>
      <c r="AF52" s="1367"/>
      <c r="AG52" s="1367"/>
      <c r="AH52" s="1367"/>
      <c r="AI52" s="1367"/>
      <c r="AJ52" s="1367"/>
      <c r="AK52" s="1367"/>
    </row>
    <row r="53" spans="1:37" s="1366" customFormat="1" ht="24">
      <c r="A53" s="2866" t="s">
        <v>2944</v>
      </c>
      <c r="B53" s="2872" t="s">
        <v>2945</v>
      </c>
      <c r="C53" s="2766" t="s">
        <v>3180</v>
      </c>
      <c r="D53" s="1282">
        <f t="shared" si="10"/>
        <v>1.9E-3</v>
      </c>
      <c r="E53" s="818"/>
      <c r="F53" s="2497"/>
      <c r="G53" s="1280">
        <f t="shared" si="15"/>
        <v>1.9E-3</v>
      </c>
      <c r="H53" s="1284">
        <f t="shared" si="11"/>
        <v>1.9E-3</v>
      </c>
      <c r="I53" s="816">
        <v>0.03</v>
      </c>
      <c r="J53" s="1281">
        <f t="shared" si="12"/>
        <v>3.8E-3</v>
      </c>
      <c r="K53" s="1281">
        <f t="shared" si="13"/>
        <v>1.9E-3</v>
      </c>
      <c r="L53" s="1281">
        <v>0</v>
      </c>
      <c r="M53" s="1281">
        <f t="shared" si="14"/>
        <v>-1.9E-3</v>
      </c>
      <c r="N53" s="1281">
        <f t="shared" si="14"/>
        <v>-3.8E-3</v>
      </c>
      <c r="AA53" s="1367"/>
      <c r="AB53" s="1367"/>
      <c r="AC53" s="1367"/>
      <c r="AD53" s="1367"/>
      <c r="AE53" s="1367"/>
      <c r="AF53" s="1367"/>
      <c r="AG53" s="1367"/>
      <c r="AH53" s="1367"/>
      <c r="AI53" s="1367"/>
      <c r="AJ53" s="1367"/>
      <c r="AK53" s="1367"/>
    </row>
    <row r="54" spans="1:37" s="1366" customFormat="1" ht="24">
      <c r="A54" s="2873" t="s">
        <v>2946</v>
      </c>
      <c r="B54" s="1721">
        <f>估价对象房地状况!C21</f>
        <v>0</v>
      </c>
      <c r="C54" s="2766" t="s">
        <v>3180</v>
      </c>
      <c r="D54" s="1282">
        <f t="shared" si="10"/>
        <v>3.2000000000000002E-3</v>
      </c>
      <c r="E54" s="818"/>
      <c r="F54" s="2497"/>
      <c r="G54" s="1280">
        <f t="shared" si="15"/>
        <v>3.2000000000000002E-3</v>
      </c>
      <c r="H54" s="1284">
        <f t="shared" si="11"/>
        <v>3.2000000000000002E-3</v>
      </c>
      <c r="I54" s="816">
        <v>0.05</v>
      </c>
      <c r="J54" s="1281">
        <f t="shared" si="12"/>
        <v>6.4000000000000003E-3</v>
      </c>
      <c r="K54" s="1281">
        <f t="shared" si="13"/>
        <v>3.2000000000000002E-3</v>
      </c>
      <c r="L54" s="1281">
        <v>0</v>
      </c>
      <c r="M54" s="1281">
        <f t="shared" si="14"/>
        <v>-3.2000000000000002E-3</v>
      </c>
      <c r="N54" s="1281">
        <f t="shared" si="14"/>
        <v>-6.4000000000000003E-3</v>
      </c>
      <c r="AA54" s="1367"/>
      <c r="AB54" s="1367"/>
      <c r="AC54" s="1367"/>
      <c r="AD54" s="1367"/>
      <c r="AE54" s="1367"/>
      <c r="AF54" s="1367"/>
      <c r="AG54" s="1367"/>
      <c r="AH54" s="1367"/>
      <c r="AI54" s="1367"/>
      <c r="AJ54" s="1367"/>
      <c r="AK54" s="1367"/>
    </row>
    <row r="55" spans="1:37" s="1366" customFormat="1" ht="24">
      <c r="A55" s="2873" t="s">
        <v>2947</v>
      </c>
      <c r="B55" s="2870">
        <f>估价对象房地状况!C22</f>
        <v>0</v>
      </c>
      <c r="C55" s="2766" t="s">
        <v>3180</v>
      </c>
      <c r="D55" s="1282">
        <f t="shared" si="10"/>
        <v>6.4999999999999997E-3</v>
      </c>
      <c r="E55" s="818"/>
      <c r="F55" s="2497"/>
      <c r="G55" s="1280">
        <f t="shared" si="15"/>
        <v>6.4999999999999997E-3</v>
      </c>
      <c r="H55" s="1284">
        <f t="shared" si="11"/>
        <v>6.4999999999999997E-3</v>
      </c>
      <c r="I55" s="816">
        <v>0.1</v>
      </c>
      <c r="J55" s="1281">
        <f t="shared" si="12"/>
        <v>1.2999999999999999E-2</v>
      </c>
      <c r="K55" s="1281">
        <f t="shared" si="13"/>
        <v>6.4999999999999997E-3</v>
      </c>
      <c r="L55" s="1281">
        <v>0</v>
      </c>
      <c r="M55" s="1281">
        <f t="shared" si="14"/>
        <v>-6.4999999999999997E-3</v>
      </c>
      <c r="N55" s="1281">
        <f t="shared" si="14"/>
        <v>-1.2999999999999999E-2</v>
      </c>
      <c r="AA55" s="1367"/>
      <c r="AB55" s="1367"/>
      <c r="AC55" s="1367"/>
      <c r="AD55" s="1367"/>
      <c r="AE55" s="1367"/>
      <c r="AF55" s="1367"/>
      <c r="AG55" s="1367"/>
      <c r="AH55" s="1367"/>
      <c r="AI55" s="1367"/>
      <c r="AJ55" s="1367"/>
      <c r="AK55" s="1367"/>
    </row>
    <row r="56" spans="1:37" s="1366" customFormat="1" ht="24.75" thickBot="1">
      <c r="A56" s="2874" t="s">
        <v>2948</v>
      </c>
      <c r="B56" s="2875">
        <f>估价对象房地状况!C20</f>
        <v>0</v>
      </c>
      <c r="C56" s="2766" t="s">
        <v>3180</v>
      </c>
      <c r="D56" s="1282">
        <f t="shared" si="10"/>
        <v>3.8999999999999998E-3</v>
      </c>
      <c r="E56" s="821"/>
      <c r="F56" s="2497"/>
      <c r="G56" s="1280">
        <f t="shared" si="15"/>
        <v>3.8999999999999998E-3</v>
      </c>
      <c r="H56" s="1284">
        <f t="shared" si="11"/>
        <v>3.8999999999999998E-3</v>
      </c>
      <c r="I56" s="820">
        <v>0.06</v>
      </c>
      <c r="J56" s="1281">
        <f t="shared" si="12"/>
        <v>7.7999999999999996E-3</v>
      </c>
      <c r="K56" s="1281">
        <f t="shared" si="13"/>
        <v>3.8999999999999998E-3</v>
      </c>
      <c r="L56" s="1281">
        <v>0</v>
      </c>
      <c r="M56" s="1281">
        <f t="shared" si="14"/>
        <v>-3.8999999999999998E-3</v>
      </c>
      <c r="N56" s="1281">
        <f t="shared" si="14"/>
        <v>-7.7999999999999996E-3</v>
      </c>
      <c r="AA56" s="1367"/>
      <c r="AB56" s="1367"/>
      <c r="AC56" s="1367"/>
      <c r="AD56" s="1367"/>
      <c r="AE56" s="1367"/>
      <c r="AF56" s="1367"/>
      <c r="AG56" s="1367"/>
      <c r="AH56" s="1367"/>
      <c r="AI56" s="1367"/>
      <c r="AJ56" s="1367"/>
      <c r="AK56" s="1367"/>
    </row>
    <row r="57" spans="1:37" s="1366" customFormat="1" ht="15">
      <c r="A57" s="2862" t="s">
        <v>2949</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2930</v>
      </c>
      <c r="B58" s="1805"/>
      <c r="C58" s="1805" t="s">
        <v>2932</v>
      </c>
      <c r="D58" s="1805" t="s">
        <v>2933</v>
      </c>
      <c r="E58" s="815" t="s">
        <v>2934</v>
      </c>
      <c r="F58" s="2867" t="s">
        <v>2950</v>
      </c>
      <c r="G58" s="1805" t="s">
        <v>754</v>
      </c>
      <c r="H58" s="2868" t="s">
        <v>2936</v>
      </c>
      <c r="I58" s="1805" t="s">
        <v>2937</v>
      </c>
      <c r="J58" s="601" t="s">
        <v>2586</v>
      </c>
      <c r="K58" s="601" t="s">
        <v>2587</v>
      </c>
      <c r="L58" s="601" t="s">
        <v>2588</v>
      </c>
      <c r="M58" s="601" t="s">
        <v>2589</v>
      </c>
      <c r="N58" s="601" t="s">
        <v>2590</v>
      </c>
      <c r="AA58" s="1367"/>
      <c r="AB58" s="1367"/>
      <c r="AC58" s="1367"/>
      <c r="AD58" s="1367"/>
      <c r="AE58" s="1367"/>
      <c r="AF58" s="1367"/>
      <c r="AG58" s="1367"/>
      <c r="AH58" s="1367"/>
      <c r="AI58" s="1367"/>
      <c r="AJ58" s="1367"/>
      <c r="AK58" s="1367"/>
    </row>
    <row r="59" spans="1:37" s="1366" customFormat="1" ht="24">
      <c r="A59" s="2866" t="s">
        <v>2951</v>
      </c>
      <c r="B59" s="2869">
        <f>估价对象房地状况!C17</f>
        <v>0</v>
      </c>
      <c r="C59" s="2766"/>
      <c r="D59" s="1282">
        <f t="shared" ref="D59:D67" si="16">SUMIF($J$58:$N$58,C59,J59:N59)</f>
        <v>0</v>
      </c>
      <c r="E59" s="817">
        <f>ROUND(SUM(D59:D67),4)</f>
        <v>0</v>
      </c>
      <c r="F59" s="2497" t="str">
        <f>IF(E2="办公",SUMIF(L1:L12,G2,N1:N12),"——")</f>
        <v>——</v>
      </c>
      <c r="G59" s="1280"/>
      <c r="H59" s="1284" t="str">
        <f t="shared" ref="H59:H67" si="17">IFERROR(ROUNDDOWN($F$59*I59/2,4),"——")</f>
        <v>——</v>
      </c>
      <c r="I59" s="816">
        <v>0.24</v>
      </c>
      <c r="J59" s="1281">
        <f t="shared" ref="J59:J67" si="18">K59+$G59</f>
        <v>0</v>
      </c>
      <c r="K59" s="1281">
        <f t="shared" ref="K59:K67" si="19">$L59+$G59</f>
        <v>0</v>
      </c>
      <c r="L59" s="1281">
        <v>0</v>
      </c>
      <c r="M59" s="1281">
        <f t="shared" ref="M59:N67" si="20">L59-$G59</f>
        <v>0</v>
      </c>
      <c r="N59" s="1281">
        <f t="shared" si="20"/>
        <v>0</v>
      </c>
      <c r="AA59" s="1367"/>
      <c r="AB59" s="1367"/>
      <c r="AC59" s="1367"/>
      <c r="AD59" s="1367"/>
      <c r="AE59" s="1367"/>
      <c r="AF59" s="1367"/>
      <c r="AG59" s="1367"/>
      <c r="AH59" s="1367"/>
      <c r="AI59" s="1367"/>
      <c r="AJ59" s="1367"/>
      <c r="AK59" s="1367"/>
    </row>
    <row r="60" spans="1:37" s="1366" customFormat="1" ht="14.25">
      <c r="A60" s="2866" t="s">
        <v>2939</v>
      </c>
      <c r="B60" s="2870">
        <f>估价对象房地状况!C18</f>
        <v>0</v>
      </c>
      <c r="C60" s="2766"/>
      <c r="D60" s="1282">
        <f t="shared" si="16"/>
        <v>0</v>
      </c>
      <c r="E60" s="818"/>
      <c r="F60" s="2497"/>
      <c r="G60" s="1280"/>
      <c r="H60" s="1284" t="str">
        <f t="shared" si="17"/>
        <v>——</v>
      </c>
      <c r="I60" s="816">
        <v>0.3</v>
      </c>
      <c r="J60" s="1281">
        <f t="shared" si="18"/>
        <v>0</v>
      </c>
      <c r="K60" s="1281">
        <f t="shared" si="19"/>
        <v>0</v>
      </c>
      <c r="L60" s="1281">
        <v>0</v>
      </c>
      <c r="M60" s="1281">
        <f t="shared" si="20"/>
        <v>0</v>
      </c>
      <c r="N60" s="1281">
        <f t="shared" si="20"/>
        <v>0</v>
      </c>
      <c r="AA60" s="1367"/>
      <c r="AB60" s="1367"/>
      <c r="AC60" s="1367"/>
      <c r="AD60" s="1367"/>
      <c r="AE60" s="1367"/>
      <c r="AF60" s="1367"/>
      <c r="AG60" s="1367"/>
      <c r="AH60" s="1367"/>
      <c r="AI60" s="1367"/>
      <c r="AJ60" s="1367"/>
      <c r="AK60" s="1367"/>
    </row>
    <row r="61" spans="1:37" s="1366" customFormat="1" ht="24">
      <c r="A61" s="2866" t="s">
        <v>2940</v>
      </c>
      <c r="B61" s="2870">
        <f>估价对象房地状况!C19</f>
        <v>0</v>
      </c>
      <c r="C61" s="2766"/>
      <c r="D61" s="1282">
        <f t="shared" si="16"/>
        <v>0</v>
      </c>
      <c r="E61" s="818"/>
      <c r="F61" s="2497"/>
      <c r="G61" s="1280"/>
      <c r="H61" s="1284" t="str">
        <f t="shared" si="17"/>
        <v>——</v>
      </c>
      <c r="I61" s="816">
        <v>0.08</v>
      </c>
      <c r="J61" s="1281">
        <f t="shared" si="18"/>
        <v>0</v>
      </c>
      <c r="K61" s="1281">
        <f t="shared" si="19"/>
        <v>0</v>
      </c>
      <c r="L61" s="1281">
        <v>0</v>
      </c>
      <c r="M61" s="1281">
        <f t="shared" si="20"/>
        <v>0</v>
      </c>
      <c r="N61" s="1281">
        <f t="shared" si="20"/>
        <v>0</v>
      </c>
      <c r="AA61" s="1367"/>
      <c r="AB61" s="1367"/>
      <c r="AC61" s="1367"/>
      <c r="AD61" s="1367"/>
      <c r="AE61" s="1367"/>
      <c r="AF61" s="1367"/>
      <c r="AG61" s="1367"/>
      <c r="AH61" s="1367"/>
      <c r="AI61" s="1367"/>
      <c r="AJ61" s="1367"/>
      <c r="AK61" s="1367"/>
    </row>
    <row r="62" spans="1:37" s="1366" customFormat="1" ht="36.75">
      <c r="A62" s="2866" t="s">
        <v>2941</v>
      </c>
      <c r="B62" s="2871" t="s">
        <v>2942</v>
      </c>
      <c r="C62" s="2766"/>
      <c r="D62" s="1282">
        <f t="shared" si="16"/>
        <v>0</v>
      </c>
      <c r="E62" s="818"/>
      <c r="F62" s="2497"/>
      <c r="G62" s="1280"/>
      <c r="H62" s="1284" t="str">
        <f t="shared" si="17"/>
        <v>——</v>
      </c>
      <c r="I62" s="816">
        <v>0.04</v>
      </c>
      <c r="J62" s="1281">
        <f t="shared" si="18"/>
        <v>0</v>
      </c>
      <c r="K62" s="1281">
        <f t="shared" si="19"/>
        <v>0</v>
      </c>
      <c r="L62" s="1281">
        <v>0</v>
      </c>
      <c r="M62" s="1281">
        <f t="shared" si="20"/>
        <v>0</v>
      </c>
      <c r="N62" s="1281">
        <f t="shared" si="20"/>
        <v>0</v>
      </c>
      <c r="AA62" s="1367"/>
      <c r="AB62" s="1367"/>
      <c r="AC62" s="1367"/>
      <c r="AD62" s="1367"/>
      <c r="AE62" s="1367"/>
      <c r="AF62" s="1367"/>
      <c r="AG62" s="1367"/>
      <c r="AH62" s="1367"/>
      <c r="AI62" s="1367"/>
      <c r="AJ62" s="1367"/>
      <c r="AK62" s="1367"/>
    </row>
    <row r="63" spans="1:37" s="1366" customFormat="1" ht="24">
      <c r="A63" s="2866" t="s">
        <v>2943</v>
      </c>
      <c r="B63" s="2870">
        <f>估价对象房地状况!C24</f>
        <v>0</v>
      </c>
      <c r="C63" s="2766"/>
      <c r="D63" s="1282">
        <f t="shared" si="16"/>
        <v>0</v>
      </c>
      <c r="E63" s="818"/>
      <c r="F63" s="2497"/>
      <c r="G63" s="1280"/>
      <c r="H63" s="1284" t="str">
        <f t="shared" si="17"/>
        <v>——</v>
      </c>
      <c r="I63" s="816">
        <v>0.05</v>
      </c>
      <c r="J63" s="1281">
        <f t="shared" si="18"/>
        <v>0</v>
      </c>
      <c r="K63" s="1281">
        <f t="shared" si="19"/>
        <v>0</v>
      </c>
      <c r="L63" s="1281">
        <v>0</v>
      </c>
      <c r="M63" s="1281">
        <f t="shared" si="20"/>
        <v>0</v>
      </c>
      <c r="N63" s="1281">
        <f t="shared" si="20"/>
        <v>0</v>
      </c>
      <c r="AA63" s="1367"/>
      <c r="AB63" s="1367"/>
      <c r="AC63" s="1367"/>
      <c r="AD63" s="1367"/>
      <c r="AE63" s="1367"/>
      <c r="AF63" s="1367"/>
      <c r="AG63" s="1367"/>
      <c r="AH63" s="1367"/>
      <c r="AI63" s="1367"/>
      <c r="AJ63" s="1367"/>
      <c r="AK63" s="1367"/>
    </row>
    <row r="64" spans="1:37" s="1366" customFormat="1" ht="24">
      <c r="A64" s="2866" t="s">
        <v>2944</v>
      </c>
      <c r="B64" s="2872" t="s">
        <v>2945</v>
      </c>
      <c r="C64" s="2766"/>
      <c r="D64" s="1282">
        <f t="shared" si="16"/>
        <v>0</v>
      </c>
      <c r="E64" s="818"/>
      <c r="F64" s="2497"/>
      <c r="G64" s="1280"/>
      <c r="H64" s="1284" t="str">
        <f t="shared" si="17"/>
        <v>——</v>
      </c>
      <c r="I64" s="816">
        <v>0.05</v>
      </c>
      <c r="J64" s="1281">
        <f t="shared" si="18"/>
        <v>0</v>
      </c>
      <c r="K64" s="1281">
        <f t="shared" si="19"/>
        <v>0</v>
      </c>
      <c r="L64" s="1281">
        <v>0</v>
      </c>
      <c r="M64" s="1281">
        <f t="shared" si="20"/>
        <v>0</v>
      </c>
      <c r="N64" s="1281">
        <f t="shared" si="20"/>
        <v>0</v>
      </c>
      <c r="AA64" s="1367"/>
      <c r="AB64" s="1367"/>
      <c r="AC64" s="1367"/>
      <c r="AD64" s="1367"/>
      <c r="AE64" s="1367"/>
      <c r="AF64" s="1367"/>
      <c r="AG64" s="1367"/>
      <c r="AH64" s="1367"/>
      <c r="AI64" s="1367"/>
      <c r="AJ64" s="1367"/>
      <c r="AK64" s="1367"/>
    </row>
    <row r="65" spans="1:37" s="1366" customFormat="1" ht="24">
      <c r="A65" s="2866" t="s">
        <v>2946</v>
      </c>
      <c r="B65" s="1721">
        <f>估价对象房地状况!C21</f>
        <v>0</v>
      </c>
      <c r="C65" s="2766"/>
      <c r="D65" s="1282">
        <f t="shared" si="16"/>
        <v>0</v>
      </c>
      <c r="E65" s="818"/>
      <c r="F65" s="2497"/>
      <c r="G65" s="1280"/>
      <c r="H65" s="1284" t="str">
        <f t="shared" si="17"/>
        <v>——</v>
      </c>
      <c r="I65" s="816">
        <v>0.06</v>
      </c>
      <c r="J65" s="1281">
        <f t="shared" si="18"/>
        <v>0</v>
      </c>
      <c r="K65" s="1281">
        <f t="shared" si="19"/>
        <v>0</v>
      </c>
      <c r="L65" s="1281">
        <v>0</v>
      </c>
      <c r="M65" s="1281">
        <f t="shared" si="20"/>
        <v>0</v>
      </c>
      <c r="N65" s="1281">
        <f t="shared" si="20"/>
        <v>0</v>
      </c>
      <c r="AA65" s="1367"/>
      <c r="AB65" s="1367"/>
      <c r="AC65" s="1367"/>
      <c r="AD65" s="1367"/>
      <c r="AE65" s="1367"/>
      <c r="AF65" s="1367"/>
      <c r="AG65" s="1367"/>
      <c r="AH65" s="1367"/>
      <c r="AI65" s="1367"/>
      <c r="AJ65" s="1367"/>
      <c r="AK65" s="1367"/>
    </row>
    <row r="66" spans="1:37" s="1366" customFormat="1" ht="24">
      <c r="A66" s="2866" t="s">
        <v>2947</v>
      </c>
      <c r="B66" s="1721">
        <f>估价对象房地状况!C22</f>
        <v>0</v>
      </c>
      <c r="C66" s="2766"/>
      <c r="D66" s="1282">
        <f t="shared" si="16"/>
        <v>0</v>
      </c>
      <c r="E66" s="818"/>
      <c r="F66" s="2497"/>
      <c r="G66" s="1280"/>
      <c r="H66" s="1284" t="str">
        <f t="shared" si="17"/>
        <v>——</v>
      </c>
      <c r="I66" s="816">
        <v>0.12</v>
      </c>
      <c r="J66" s="1281">
        <f t="shared" si="18"/>
        <v>0</v>
      </c>
      <c r="K66" s="1281">
        <f t="shared" si="19"/>
        <v>0</v>
      </c>
      <c r="L66" s="1281">
        <v>0</v>
      </c>
      <c r="M66" s="1281">
        <f t="shared" si="20"/>
        <v>0</v>
      </c>
      <c r="N66" s="1281">
        <f t="shared" si="20"/>
        <v>0</v>
      </c>
      <c r="AA66" s="1367"/>
      <c r="AB66" s="1367"/>
      <c r="AC66" s="1367"/>
      <c r="AD66" s="1367"/>
      <c r="AE66" s="1367"/>
      <c r="AF66" s="1367"/>
      <c r="AG66" s="1367"/>
      <c r="AH66" s="1367"/>
      <c r="AI66" s="1367"/>
      <c r="AJ66" s="1367"/>
      <c r="AK66" s="1367"/>
    </row>
    <row r="67" spans="1:37" s="1366" customFormat="1" ht="24.75" thickBot="1">
      <c r="A67" s="2874" t="s">
        <v>2948</v>
      </c>
      <c r="B67" s="2876">
        <f>估价对象房地状况!C20</f>
        <v>0</v>
      </c>
      <c r="C67" s="2766"/>
      <c r="D67" s="1282">
        <f t="shared" si="16"/>
        <v>0</v>
      </c>
      <c r="E67" s="821"/>
      <c r="F67" s="2497"/>
      <c r="G67" s="1280"/>
      <c r="H67" s="1284" t="str">
        <f t="shared" si="17"/>
        <v>——</v>
      </c>
      <c r="I67" s="820">
        <v>0.06</v>
      </c>
      <c r="J67" s="1281">
        <f t="shared" si="18"/>
        <v>0</v>
      </c>
      <c r="K67" s="1281">
        <f t="shared" si="19"/>
        <v>0</v>
      </c>
      <c r="L67" s="1281">
        <v>0</v>
      </c>
      <c r="M67" s="1281">
        <f t="shared" si="20"/>
        <v>0</v>
      </c>
      <c r="N67" s="1281">
        <f t="shared" si="20"/>
        <v>0</v>
      </c>
      <c r="AA67" s="1367"/>
      <c r="AB67" s="1367"/>
      <c r="AC67" s="1367"/>
      <c r="AD67" s="1367"/>
      <c r="AE67" s="1367"/>
      <c r="AF67" s="1367"/>
      <c r="AG67" s="1367"/>
      <c r="AH67" s="1367"/>
      <c r="AI67" s="1367"/>
      <c r="AJ67" s="1367"/>
      <c r="AK67" s="1367"/>
    </row>
    <row r="68" spans="1:37" s="1366" customFormat="1" ht="15">
      <c r="A68" s="2862" t="s">
        <v>2952</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2930</v>
      </c>
      <c r="B69" s="1805"/>
      <c r="C69" s="1805" t="s">
        <v>2932</v>
      </c>
      <c r="D69" s="1805" t="s">
        <v>2933</v>
      </c>
      <c r="E69" s="815" t="s">
        <v>2934</v>
      </c>
      <c r="F69" s="2867" t="s">
        <v>2950</v>
      </c>
      <c r="G69" s="1805" t="s">
        <v>754</v>
      </c>
      <c r="H69" s="2868" t="s">
        <v>2936</v>
      </c>
      <c r="I69" s="1805" t="s">
        <v>2937</v>
      </c>
      <c r="J69" s="601" t="s">
        <v>2586</v>
      </c>
      <c r="K69" s="601" t="s">
        <v>2587</v>
      </c>
      <c r="L69" s="601" t="s">
        <v>2588</v>
      </c>
      <c r="M69" s="601" t="s">
        <v>2589</v>
      </c>
      <c r="N69" s="601" t="s">
        <v>2590</v>
      </c>
      <c r="AA69" s="1367"/>
      <c r="AB69" s="1367"/>
      <c r="AC69" s="1367"/>
      <c r="AD69" s="1367"/>
      <c r="AE69" s="1367"/>
      <c r="AF69" s="1367"/>
      <c r="AG69" s="1367"/>
      <c r="AH69" s="1367"/>
      <c r="AI69" s="1367"/>
      <c r="AJ69" s="1367"/>
      <c r="AK69" s="1367"/>
    </row>
    <row r="70" spans="1:37" s="1366" customFormat="1" ht="24">
      <c r="A70" s="2866" t="s">
        <v>2953</v>
      </c>
      <c r="B70" s="2869">
        <f>估价对象房地状况!C15</f>
        <v>0</v>
      </c>
      <c r="C70" s="2766"/>
      <c r="D70" s="1282">
        <f t="shared" ref="D70:D78" si="21">SUMIF($J$69:$N$69,C70,J70:N70)</f>
        <v>0</v>
      </c>
      <c r="E70" s="817">
        <f>ROUND(SUM(D70:D78),4)</f>
        <v>0</v>
      </c>
      <c r="F70" s="2497"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14.25">
      <c r="A71" s="2866" t="s">
        <v>2939</v>
      </c>
      <c r="B71" s="2870">
        <f>估价对象房地状况!C18</f>
        <v>0</v>
      </c>
      <c r="C71" s="2766"/>
      <c r="D71" s="1282">
        <f t="shared" si="21"/>
        <v>0</v>
      </c>
      <c r="E71" s="822"/>
      <c r="F71" s="2497"/>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66" t="s">
        <v>2940</v>
      </c>
      <c r="B72" s="2870">
        <f>估价对象房地状况!C19</f>
        <v>0</v>
      </c>
      <c r="C72" s="2766"/>
      <c r="D72" s="1282">
        <f t="shared" si="21"/>
        <v>0</v>
      </c>
      <c r="E72" s="822"/>
      <c r="F72" s="2497"/>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66" t="s">
        <v>2954</v>
      </c>
      <c r="B73" s="2870">
        <f>估价对象房地状况!C24</f>
        <v>0</v>
      </c>
      <c r="C73" s="2766"/>
      <c r="D73" s="1282">
        <f t="shared" si="21"/>
        <v>0</v>
      </c>
      <c r="E73" s="822"/>
      <c r="F73" s="2497"/>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4">
      <c r="A74" s="2866" t="s">
        <v>2946</v>
      </c>
      <c r="B74" s="1721">
        <f>估价对象房地状况!C21</f>
        <v>0</v>
      </c>
      <c r="C74" s="2766"/>
      <c r="D74" s="1282">
        <f t="shared" si="21"/>
        <v>0</v>
      </c>
      <c r="E74" s="822"/>
      <c r="F74" s="2497"/>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4">
      <c r="A75" s="2866" t="s">
        <v>2947</v>
      </c>
      <c r="B75" s="1721">
        <f>估价对象房地状况!C22</f>
        <v>0</v>
      </c>
      <c r="C75" s="2766"/>
      <c r="D75" s="1282">
        <f t="shared" si="21"/>
        <v>0</v>
      </c>
      <c r="E75" s="822"/>
      <c r="F75" s="2497"/>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5" customFormat="1" ht="24">
      <c r="A76" s="2866" t="s">
        <v>2944</v>
      </c>
      <c r="B76" s="2872" t="s">
        <v>2945</v>
      </c>
      <c r="C76" s="2766"/>
      <c r="D76" s="1282">
        <f t="shared" si="21"/>
        <v>0</v>
      </c>
      <c r="E76" s="822"/>
      <c r="F76" s="2497"/>
      <c r="G76" s="1280"/>
      <c r="H76" s="1284" t="str">
        <f t="shared" si="22"/>
        <v>——</v>
      </c>
      <c r="I76" s="816">
        <v>0.05</v>
      </c>
      <c r="J76" s="1281">
        <f t="shared" si="23"/>
        <v>0</v>
      </c>
      <c r="K76" s="1281">
        <f t="shared" si="24"/>
        <v>0</v>
      </c>
      <c r="L76" s="1281">
        <v>0</v>
      </c>
      <c r="M76" s="1281">
        <f t="shared" si="25"/>
        <v>0</v>
      </c>
      <c r="N76" s="1281">
        <f t="shared" si="25"/>
        <v>0</v>
      </c>
      <c r="AA76" s="2877"/>
      <c r="AB76" s="1367"/>
      <c r="AC76" s="1367"/>
      <c r="AD76" s="1367"/>
      <c r="AE76" s="1367"/>
      <c r="AF76" s="1367"/>
      <c r="AG76" s="1367"/>
      <c r="AH76" s="2877"/>
      <c r="AI76" s="2877"/>
      <c r="AJ76" s="2877"/>
      <c r="AK76" s="2877"/>
    </row>
    <row r="77" spans="1:37" ht="24">
      <c r="A77" s="2866" t="s">
        <v>2948</v>
      </c>
      <c r="B77" s="2869">
        <f>估价对象房地状况!C20</f>
        <v>0</v>
      </c>
      <c r="C77" s="2766"/>
      <c r="D77" s="1282">
        <f t="shared" si="21"/>
        <v>0</v>
      </c>
      <c r="E77" s="822"/>
      <c r="F77" s="2497"/>
      <c r="G77" s="1280"/>
      <c r="H77" s="1284" t="str">
        <f t="shared" si="22"/>
        <v>——</v>
      </c>
      <c r="I77" s="816">
        <v>0.15</v>
      </c>
      <c r="J77" s="1281">
        <f t="shared" si="23"/>
        <v>0</v>
      </c>
      <c r="K77" s="1281">
        <f t="shared" si="24"/>
        <v>0</v>
      </c>
      <c r="L77" s="1281">
        <v>0</v>
      </c>
      <c r="M77" s="1281">
        <f t="shared" si="25"/>
        <v>0</v>
      </c>
      <c r="N77" s="1281">
        <f t="shared" si="25"/>
        <v>0</v>
      </c>
      <c r="Z77" s="2716"/>
      <c r="AA77" s="2784"/>
      <c r="AG77" s="1368"/>
      <c r="AK77" s="2784"/>
    </row>
    <row r="78" spans="1:37" ht="24.75" thickBot="1">
      <c r="A78" s="2874" t="s">
        <v>2955</v>
      </c>
      <c r="B78" s="2878"/>
      <c r="C78" s="2766"/>
      <c r="D78" s="1282">
        <f t="shared" si="21"/>
        <v>0</v>
      </c>
      <c r="E78" s="823"/>
      <c r="F78" s="2497"/>
      <c r="G78" s="1280"/>
      <c r="H78" s="1284" t="str">
        <f t="shared" si="22"/>
        <v>——</v>
      </c>
      <c r="I78" s="820">
        <v>0.04</v>
      </c>
      <c r="J78" s="1281">
        <f t="shared" si="23"/>
        <v>0</v>
      </c>
      <c r="K78" s="1281">
        <f t="shared" si="24"/>
        <v>0</v>
      </c>
      <c r="L78" s="1281">
        <v>0</v>
      </c>
      <c r="M78" s="1281">
        <f t="shared" si="25"/>
        <v>0</v>
      </c>
      <c r="N78" s="1281">
        <f t="shared" si="25"/>
        <v>0</v>
      </c>
      <c r="Z78" s="2716"/>
      <c r="AA78" s="2784"/>
      <c r="AG78" s="1368"/>
      <c r="AK78" s="2784"/>
    </row>
    <row r="79" spans="1:37" ht="15">
      <c r="A79" s="2862" t="s">
        <v>2956</v>
      </c>
      <c r="B79" s="2863">
        <f>1+E81</f>
        <v>1</v>
      </c>
      <c r="C79" s="810"/>
      <c r="D79" s="810"/>
      <c r="E79" s="811"/>
      <c r="F79" s="2865"/>
      <c r="G79" s="6"/>
      <c r="H79" s="6"/>
      <c r="I79" s="6"/>
      <c r="J79" s="7"/>
      <c r="K79" s="7"/>
      <c r="L79" s="7"/>
      <c r="M79" s="7"/>
      <c r="N79" s="7"/>
      <c r="Z79" s="2716"/>
      <c r="AA79" s="2784"/>
      <c r="AG79" s="1368"/>
      <c r="AK79" s="2784"/>
    </row>
    <row r="80" spans="1:37" ht="24.75">
      <c r="A80" s="2866" t="s">
        <v>2930</v>
      </c>
      <c r="B80" s="1805"/>
      <c r="C80" s="1805" t="s">
        <v>2932</v>
      </c>
      <c r="D80" s="1805" t="s">
        <v>2933</v>
      </c>
      <c r="E80" s="815" t="s">
        <v>2934</v>
      </c>
      <c r="F80" s="2867" t="s">
        <v>2950</v>
      </c>
      <c r="G80" s="1805" t="s">
        <v>754</v>
      </c>
      <c r="H80" s="2868" t="s">
        <v>2936</v>
      </c>
      <c r="I80" s="1805" t="s">
        <v>2937</v>
      </c>
      <c r="J80" s="601" t="s">
        <v>2586</v>
      </c>
      <c r="K80" s="601" t="s">
        <v>2587</v>
      </c>
      <c r="L80" s="601" t="s">
        <v>2588</v>
      </c>
      <c r="M80" s="601" t="s">
        <v>2589</v>
      </c>
      <c r="N80" s="601" t="s">
        <v>2590</v>
      </c>
      <c r="Z80" s="2716"/>
      <c r="AA80" s="2784"/>
      <c r="AG80" s="1368"/>
      <c r="AK80" s="2784"/>
    </row>
    <row r="81" spans="1:37" ht="24">
      <c r="A81" s="2866" t="s">
        <v>2957</v>
      </c>
      <c r="B81" s="2870">
        <f>估价对象房地状况!G15</f>
        <v>0</v>
      </c>
      <c r="C81" s="2766"/>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6"/>
      <c r="AA81" s="2784"/>
      <c r="AG81" s="1368"/>
      <c r="AK81" s="2784"/>
    </row>
    <row r="82" spans="1:37" ht="14.25">
      <c r="A82" s="2866" t="s">
        <v>2939</v>
      </c>
      <c r="B82" s="2870">
        <f>估价对象房地状况!G16</f>
        <v>0</v>
      </c>
      <c r="C82" s="2766"/>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6"/>
      <c r="AA82" s="2784"/>
      <c r="AG82" s="1368"/>
      <c r="AK82" s="2784"/>
    </row>
    <row r="83" spans="1:37" ht="24">
      <c r="A83" s="2866" t="s">
        <v>2940</v>
      </c>
      <c r="B83" s="2870">
        <f>估价对象房地状况!G17</f>
        <v>0</v>
      </c>
      <c r="C83" s="2766"/>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6"/>
      <c r="AA83" s="2784"/>
      <c r="AG83" s="1368"/>
      <c r="AK83" s="2784"/>
    </row>
    <row r="84" spans="1:37" ht="14.25">
      <c r="A84" s="2866" t="s">
        <v>2954</v>
      </c>
      <c r="B84" s="2870">
        <f>估价对象房地状况!G22</f>
        <v>0</v>
      </c>
      <c r="C84" s="2766"/>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6"/>
      <c r="AA84" s="2784"/>
      <c r="AG84" s="1368"/>
      <c r="AK84" s="2784"/>
    </row>
    <row r="85" spans="1:37" ht="24">
      <c r="A85" s="2866" t="s">
        <v>2946</v>
      </c>
      <c r="B85" s="1721">
        <f>估价对象房地状况!G19</f>
        <v>0</v>
      </c>
      <c r="C85" s="2766"/>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6"/>
      <c r="AA85" s="2784"/>
      <c r="AG85" s="1368"/>
      <c r="AK85" s="2784"/>
    </row>
    <row r="86" spans="1:37" ht="24">
      <c r="A86" s="2866" t="s">
        <v>2947</v>
      </c>
      <c r="B86" s="1721">
        <f>估价对象房地状况!G20</f>
        <v>0</v>
      </c>
      <c r="C86" s="2766"/>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6"/>
      <c r="AA86" s="2784"/>
      <c r="AG86" s="1368"/>
      <c r="AK86" s="2784"/>
    </row>
    <row r="87" spans="1:37" ht="24">
      <c r="A87" s="2866" t="s">
        <v>2944</v>
      </c>
      <c r="B87" s="2872" t="s">
        <v>2958</v>
      </c>
      <c r="C87" s="2766"/>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6"/>
      <c r="AA87" s="2784"/>
      <c r="AG87" s="1368"/>
      <c r="AK87" s="2784"/>
    </row>
    <row r="88" spans="1:37" ht="15" thickBot="1">
      <c r="A88" s="2874" t="s">
        <v>2959</v>
      </c>
      <c r="B88" s="2879">
        <f>估价对象房地状况!G18</f>
        <v>0</v>
      </c>
      <c r="C88" s="2766"/>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6"/>
      <c r="AA88" s="2784"/>
      <c r="AG88" s="1368"/>
      <c r="AK88" s="2784"/>
    </row>
    <row r="90" spans="1:37">
      <c r="A90" s="3240" t="s">
        <v>2960</v>
      </c>
      <c r="B90" s="3240"/>
      <c r="C90" s="3240"/>
      <c r="D90" s="3240"/>
      <c r="E90" s="3240"/>
      <c r="F90" s="3240"/>
      <c r="G90" s="3240"/>
      <c r="H90" s="3240"/>
      <c r="I90" s="3240"/>
      <c r="J90" s="3240"/>
      <c r="K90" s="2880"/>
      <c r="L90" s="2880"/>
      <c r="M90" s="2880"/>
      <c r="N90" s="2880"/>
    </row>
    <row r="91" spans="1:37">
      <c r="A91" s="3242" t="s">
        <v>2961</v>
      </c>
      <c r="B91" s="3242" t="s">
        <v>2962</v>
      </c>
      <c r="C91" s="2834" t="s">
        <v>2963</v>
      </c>
      <c r="D91" s="2835"/>
      <c r="E91" s="2835"/>
      <c r="F91" s="2835"/>
      <c r="G91" s="2835"/>
      <c r="H91" s="2835"/>
      <c r="I91" s="2835"/>
      <c r="J91" s="2881"/>
      <c r="K91" s="2882"/>
      <c r="L91" s="2882"/>
      <c r="M91" s="2882"/>
      <c r="N91" s="2882"/>
    </row>
    <row r="92" spans="1:37">
      <c r="A92" s="3242"/>
      <c r="B92" s="3242"/>
      <c r="C92" s="938" t="s">
        <v>2830</v>
      </c>
      <c r="D92" s="938" t="s">
        <v>2831</v>
      </c>
      <c r="E92" s="938" t="s">
        <v>2832</v>
      </c>
      <c r="F92" s="938" t="s">
        <v>2833</v>
      </c>
      <c r="G92" s="938" t="s">
        <v>2834</v>
      </c>
      <c r="H92" s="938" t="s">
        <v>2835</v>
      </c>
      <c r="I92" s="938" t="s">
        <v>2836</v>
      </c>
      <c r="J92" s="938" t="s">
        <v>2837</v>
      </c>
      <c r="K92" s="938" t="s">
        <v>2838</v>
      </c>
      <c r="L92" s="938" t="s">
        <v>2839</v>
      </c>
      <c r="M92" s="938" t="s">
        <v>2840</v>
      </c>
      <c r="N92" s="938" t="s">
        <v>2841</v>
      </c>
    </row>
    <row r="93" spans="1:37">
      <c r="A93" s="3243"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4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4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4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4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4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44"/>
      <c r="B99" s="2883" t="s">
        <v>2846</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45"/>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43" t="s">
        <v>2965</v>
      </c>
      <c r="B101" s="2887" t="s">
        <v>2966</v>
      </c>
      <c r="C101" s="2888">
        <f>$G$3</f>
        <v>1.9</v>
      </c>
      <c r="D101" s="2888">
        <f t="shared" ref="D101:N101" si="32">$G$3</f>
        <v>1.9</v>
      </c>
      <c r="E101" s="2888">
        <f t="shared" si="32"/>
        <v>1.9</v>
      </c>
      <c r="F101" s="2888">
        <f t="shared" si="32"/>
        <v>1.9</v>
      </c>
      <c r="G101" s="2888">
        <f t="shared" si="32"/>
        <v>1.9</v>
      </c>
      <c r="H101" s="2888">
        <f t="shared" si="32"/>
        <v>1.9</v>
      </c>
      <c r="I101" s="2888">
        <f t="shared" si="32"/>
        <v>1.9</v>
      </c>
      <c r="J101" s="2888">
        <f t="shared" si="32"/>
        <v>1.9</v>
      </c>
      <c r="K101" s="2888">
        <f t="shared" si="32"/>
        <v>1.9</v>
      </c>
      <c r="L101" s="2888">
        <f t="shared" si="32"/>
        <v>1.9</v>
      </c>
      <c r="M101" s="2888">
        <f t="shared" si="32"/>
        <v>1.9</v>
      </c>
      <c r="N101" s="2888">
        <f t="shared" si="32"/>
        <v>1.9</v>
      </c>
    </row>
    <row r="102" spans="1:14">
      <c r="A102" s="3244"/>
      <c r="B102" s="2883">
        <v>1</v>
      </c>
      <c r="C102" s="2884">
        <f>1.9362/C101</f>
        <v>1.0190526315789474</v>
      </c>
      <c r="D102" s="2884">
        <f>1.9362/D101</f>
        <v>1.0190526315789474</v>
      </c>
      <c r="E102" s="2884">
        <f>1.8629/E101</f>
        <v>0.98047368421052639</v>
      </c>
      <c r="F102" s="2884">
        <f>1.8629/F101</f>
        <v>0.98047368421052639</v>
      </c>
      <c r="G102" s="2884">
        <f>1.8629/G101</f>
        <v>0.98047368421052639</v>
      </c>
      <c r="H102" s="2884">
        <f>1.8629/H101</f>
        <v>0.98047368421052639</v>
      </c>
      <c r="I102" s="2884">
        <f>1.8629/I101</f>
        <v>0.98047368421052639</v>
      </c>
      <c r="J102" s="2884">
        <f>1.942/J101</f>
        <v>1.0221052631578948</v>
      </c>
      <c r="K102" s="2884">
        <f>1.942/K101</f>
        <v>1.0221052631578948</v>
      </c>
      <c r="L102" s="2884">
        <f>1.942/L101</f>
        <v>1.0221052631578948</v>
      </c>
      <c r="M102" s="2884">
        <f>1.942/M101</f>
        <v>1.0221052631578948</v>
      </c>
      <c r="N102" s="2884">
        <f>1.942/N101</f>
        <v>1.0221052631578948</v>
      </c>
    </row>
    <row r="103" spans="1:14">
      <c r="A103" s="3244"/>
      <c r="B103" s="2883">
        <v>2</v>
      </c>
      <c r="C103" s="2884">
        <f>1.4198/C101</f>
        <v>0.74726315789473685</v>
      </c>
      <c r="D103" s="2884">
        <f>1.4198/D101</f>
        <v>0.74726315789473685</v>
      </c>
      <c r="E103" s="2884">
        <f>1.3372/E101</f>
        <v>0.70378947368421052</v>
      </c>
      <c r="F103" s="2884">
        <f>1.3372/F101</f>
        <v>0.70378947368421052</v>
      </c>
      <c r="G103" s="2884">
        <f>1.3372/G101</f>
        <v>0.70378947368421052</v>
      </c>
      <c r="H103" s="2884">
        <f>1.3372/H101</f>
        <v>0.70378947368421052</v>
      </c>
      <c r="I103" s="2884">
        <f>1.3372/I101</f>
        <v>0.70378947368421052</v>
      </c>
      <c r="J103" s="2884">
        <f>1.2799/J101</f>
        <v>0.67363157894736847</v>
      </c>
      <c r="K103" s="2884">
        <f>1.2799/K101</f>
        <v>0.67363157894736847</v>
      </c>
      <c r="L103" s="2884">
        <f>1.2799/L101</f>
        <v>0.67363157894736847</v>
      </c>
      <c r="M103" s="2884">
        <f>1.2799/M101</f>
        <v>0.67363157894736847</v>
      </c>
      <c r="N103" s="2884">
        <f>1.2799/N101</f>
        <v>0.67363157894736847</v>
      </c>
    </row>
    <row r="104" spans="1:14">
      <c r="A104" s="3244"/>
      <c r="B104" s="2883">
        <v>3</v>
      </c>
      <c r="C104" s="2884">
        <f>1.1594/C101</f>
        <v>0.61021052631578954</v>
      </c>
      <c r="D104" s="2884">
        <f>1.1594/D101</f>
        <v>0.61021052631578954</v>
      </c>
      <c r="E104" s="2884">
        <f>1.0788/E101</f>
        <v>0.56778947368421051</v>
      </c>
      <c r="F104" s="2884">
        <f>1.0788/F101</f>
        <v>0.56778947368421051</v>
      </c>
      <c r="G104" s="2884">
        <f>1.0788/G101</f>
        <v>0.56778947368421051</v>
      </c>
      <c r="H104" s="2884">
        <f>1.0788/H101</f>
        <v>0.56778947368421051</v>
      </c>
      <c r="I104" s="2884">
        <f>1.0788/I101</f>
        <v>0.56778947368421051</v>
      </c>
      <c r="J104" s="2884">
        <f>1.0072/J101</f>
        <v>0.53010526315789486</v>
      </c>
      <c r="K104" s="2884">
        <f>1.0072/K101</f>
        <v>0.53010526315789486</v>
      </c>
      <c r="L104" s="2884">
        <f>1.0072/L101</f>
        <v>0.53010526315789486</v>
      </c>
      <c r="M104" s="2884">
        <f>1.0072/M101</f>
        <v>0.53010526315789486</v>
      </c>
      <c r="N104" s="2884">
        <f>1.0072/N101</f>
        <v>0.53010526315789486</v>
      </c>
    </row>
    <row r="105" spans="1:14">
      <c r="A105" s="3244"/>
      <c r="B105" s="2883">
        <v>4</v>
      </c>
      <c r="C105" s="2884">
        <f>0.9622/C101</f>
        <v>0.50642105263157899</v>
      </c>
      <c r="D105" s="2884">
        <f>0.9622/D101</f>
        <v>0.50642105263157899</v>
      </c>
      <c r="E105" s="2884">
        <f>0.8656/E101</f>
        <v>0.45557894736842108</v>
      </c>
      <c r="F105" s="2884">
        <f>0.8656/F101</f>
        <v>0.45557894736842108</v>
      </c>
      <c r="G105" s="2884">
        <f>0.8656/G101</f>
        <v>0.45557894736842108</v>
      </c>
      <c r="H105" s="2884">
        <f>0.8656/H101</f>
        <v>0.45557894736842108</v>
      </c>
      <c r="I105" s="2884">
        <f>0.8656/I101</f>
        <v>0.45557894736842108</v>
      </c>
      <c r="J105" s="2884">
        <f>0.7525/J101</f>
        <v>0.39605263157894738</v>
      </c>
      <c r="K105" s="2884">
        <f>0.7525/K101</f>
        <v>0.39605263157894738</v>
      </c>
      <c r="L105" s="2884">
        <f>0.7525/L101</f>
        <v>0.39605263157894738</v>
      </c>
      <c r="M105" s="2884">
        <f>0.7525/M101</f>
        <v>0.39605263157894738</v>
      </c>
      <c r="N105" s="2884">
        <f>0.7525/N101</f>
        <v>0.39605263157894738</v>
      </c>
    </row>
    <row r="106" spans="1:14">
      <c r="A106" s="3244"/>
      <c r="B106" s="2883">
        <v>5</v>
      </c>
      <c r="C106" s="2884">
        <f>0.8417/C101</f>
        <v>0.443</v>
      </c>
      <c r="D106" s="2884">
        <f>0.8417/D101</f>
        <v>0.443</v>
      </c>
      <c r="E106" s="2884">
        <f>0.7371/E101</f>
        <v>0.38794736842105265</v>
      </c>
      <c r="F106" s="2884">
        <f>0.7371/F101</f>
        <v>0.38794736842105265</v>
      </c>
      <c r="G106" s="2884">
        <f>0.7371/G101</f>
        <v>0.38794736842105265</v>
      </c>
      <c r="H106" s="2884">
        <f>0.7371/H101</f>
        <v>0.38794736842105265</v>
      </c>
      <c r="I106" s="2884">
        <f>0.7371/I101</f>
        <v>0.38794736842105265</v>
      </c>
      <c r="J106" s="2884">
        <f>0.5659/J101</f>
        <v>0.29784210526315791</v>
      </c>
      <c r="K106" s="2884">
        <f>0.5659/K101</f>
        <v>0.29784210526315791</v>
      </c>
      <c r="L106" s="2884">
        <f>0.5659/L101</f>
        <v>0.29784210526315791</v>
      </c>
      <c r="M106" s="2884">
        <f>0.5659/M101</f>
        <v>0.29784210526315791</v>
      </c>
      <c r="N106" s="2884">
        <f>0.5659/N101</f>
        <v>0.29784210526315791</v>
      </c>
    </row>
    <row r="107" spans="1:14">
      <c r="A107" s="3244"/>
      <c r="B107" s="2883">
        <v>6</v>
      </c>
      <c r="C107" s="2884">
        <f>0.7608/C101</f>
        <v>0.40042105263157896</v>
      </c>
      <c r="D107" s="2884">
        <f>0.7608/D101</f>
        <v>0.40042105263157896</v>
      </c>
      <c r="E107" s="2884">
        <f>0.6482/E101</f>
        <v>0.3411578947368421</v>
      </c>
      <c r="F107" s="2884">
        <f>0.6482/F101</f>
        <v>0.3411578947368421</v>
      </c>
      <c r="G107" s="2884">
        <f>0.6482/G101</f>
        <v>0.3411578947368421</v>
      </c>
      <c r="H107" s="2884">
        <f>0.6482/H101</f>
        <v>0.3411578947368421</v>
      </c>
      <c r="I107" s="2884">
        <f>0.6482/I101</f>
        <v>0.3411578947368421</v>
      </c>
      <c r="J107" s="2884">
        <f>0.4525/J101</f>
        <v>0.23815789473684212</v>
      </c>
      <c r="K107" s="2884">
        <f>0.4525/K101</f>
        <v>0.23815789473684212</v>
      </c>
      <c r="L107" s="2884">
        <f>0.4525/L101</f>
        <v>0.23815789473684212</v>
      </c>
      <c r="M107" s="2884">
        <f>0.4525/M101</f>
        <v>0.23815789473684212</v>
      </c>
      <c r="N107" s="2884">
        <f>0.4525/N101</f>
        <v>0.23815789473684212</v>
      </c>
    </row>
    <row r="108" spans="1:14">
      <c r="A108" s="3244"/>
      <c r="B108" s="3198" t="s">
        <v>2967</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45"/>
      <c r="B109" s="3199"/>
      <c r="C109" s="2886">
        <f>(-0.163*(C108^2)-0.59*C108+7617)*(10^(-4))/C101</f>
        <v>0.40085510526315793</v>
      </c>
      <c r="D109" s="2886">
        <f>(-0.163*(D108^2)-0.59*D108+7617)*(10^(-4))/D101</f>
        <v>0.40085510526315793</v>
      </c>
      <c r="E109" s="2886">
        <f>(-0.161*(E108^2)-7.509*E108+6533)*(10^(-4))/E101</f>
        <v>0.34343842105263162</v>
      </c>
      <c r="F109" s="2886">
        <f>(-0.161*(F108^2)-7.509*F108+6533)*(10^(-4))/F101</f>
        <v>0.34343842105263162</v>
      </c>
      <c r="G109" s="2886">
        <f>(-0.161*(G108^2)-7.509*G108+6533)*(10^(-4))/G101</f>
        <v>0.34343842105263162</v>
      </c>
      <c r="H109" s="2886">
        <f>(-0.161*(H108^2)-7.509*H108+6533)*(10^(-4))/H101</f>
        <v>0.34343842105263162</v>
      </c>
      <c r="I109" s="2886">
        <f>(-0.161*(I108^2)-7.509*I108+6533)*(10^(-4))/I101</f>
        <v>0.34343842105263162</v>
      </c>
      <c r="J109" s="2886">
        <f>(-0.214*(J108^2)-21.991*J108+4665)*(10^(-4))/J101</f>
        <v>0.24435763157894738</v>
      </c>
      <c r="K109" s="2886">
        <f>(-0.214*(K108^2)-21.991*K108+4665)*(10^(-4))/K101</f>
        <v>0.24435763157894738</v>
      </c>
      <c r="L109" s="2886">
        <f>(-0.214*(L108^2)-21.991*L108+4665)*(10^(-4))/L101</f>
        <v>0.24435763157894738</v>
      </c>
      <c r="M109" s="2886">
        <f>(-0.214*(M108^2)-21.991*M108+4665)*(10^(-4))/M101</f>
        <v>0.24435763157894738</v>
      </c>
      <c r="N109" s="2886">
        <f>(-0.214*(N108^2)-21.991*N108+4665)*(10^(-4))/N101</f>
        <v>0.24435763157894738</v>
      </c>
    </row>
    <row r="110" spans="1:14">
      <c r="A110" s="3241" t="s">
        <v>2968</v>
      </c>
      <c r="B110" s="3241"/>
      <c r="C110" s="3241"/>
      <c r="D110" s="3241"/>
      <c r="E110" s="3241"/>
      <c r="F110" s="3241"/>
      <c r="G110" s="3241"/>
      <c r="H110" s="3241"/>
      <c r="I110" s="3241"/>
      <c r="J110" s="3241"/>
      <c r="K110" s="2889"/>
      <c r="L110" s="2889"/>
      <c r="M110" s="2889"/>
      <c r="N110" s="2889"/>
    </row>
    <row r="112" spans="1:14" ht="13.5" thickBot="1"/>
    <row r="113" spans="1:13" ht="25.5" thickBot="1">
      <c r="A113" s="899" t="s">
        <v>2969</v>
      </c>
      <c r="B113" s="1283">
        <f>G3</f>
        <v>1.9</v>
      </c>
      <c r="C113" s="900" t="s">
        <v>2970</v>
      </c>
      <c r="D113" s="901">
        <f>SUMPRODUCT((A115:A118=F113)*(B114:M114=H113)*B115:M118)</f>
        <v>0.81240000000000001</v>
      </c>
      <c r="E113" s="2720" t="s">
        <v>2803</v>
      </c>
      <c r="F113" s="2891" t="str">
        <f>E2</f>
        <v>商业</v>
      </c>
      <c r="G113" s="2720" t="s">
        <v>2804</v>
      </c>
      <c r="H113" s="2891" t="str">
        <f>G2</f>
        <v>六级</v>
      </c>
      <c r="I113" s="2720"/>
      <c r="J113" s="2892"/>
      <c r="K113" s="2892"/>
      <c r="L113" s="2892"/>
      <c r="M113" s="2892"/>
    </row>
    <row r="114" spans="1:13">
      <c r="A114" s="904"/>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5" t="s">
        <v>2868</v>
      </c>
      <c r="B115" s="906">
        <f>ROUND(0.9335-0.0094*B113,4)</f>
        <v>0.91559999999999997</v>
      </c>
      <c r="C115" s="906">
        <f>B115</f>
        <v>0.91559999999999997</v>
      </c>
      <c r="D115" s="906">
        <f>ROUND(0.8331-0.0109*B113,4)</f>
        <v>0.81240000000000001</v>
      </c>
      <c r="E115" s="906">
        <f>D115</f>
        <v>0.81240000000000001</v>
      </c>
      <c r="F115" s="906">
        <f>E115</f>
        <v>0.81240000000000001</v>
      </c>
      <c r="G115" s="906">
        <f>F115</f>
        <v>0.81240000000000001</v>
      </c>
      <c r="H115" s="906">
        <f>G115</f>
        <v>0.81240000000000001</v>
      </c>
      <c r="I115" s="906">
        <f>ROUND(0.689-0.0155*B113,4)</f>
        <v>0.65959999999999996</v>
      </c>
      <c r="J115" s="906">
        <f t="shared" ref="J115:M118" si="34">I115</f>
        <v>0.65959999999999996</v>
      </c>
      <c r="K115" s="906">
        <f t="shared" si="34"/>
        <v>0.65959999999999996</v>
      </c>
      <c r="L115" s="906">
        <f t="shared" si="34"/>
        <v>0.65959999999999996</v>
      </c>
      <c r="M115" s="907">
        <f t="shared" si="34"/>
        <v>0.65959999999999996</v>
      </c>
    </row>
    <row r="116" spans="1:13">
      <c r="A116" s="905" t="s">
        <v>2869</v>
      </c>
      <c r="B116" s="906">
        <f>ROUND(0.949-0.012*B113,4)</f>
        <v>0.92620000000000002</v>
      </c>
      <c r="C116" s="906">
        <f>B116</f>
        <v>0.92620000000000002</v>
      </c>
      <c r="D116" s="906">
        <f>ROUND(0.8567-0.013*B113,4)</f>
        <v>0.83199999999999996</v>
      </c>
      <c r="E116" s="906">
        <f t="shared" ref="E116:H117" si="35">D116</f>
        <v>0.83199999999999996</v>
      </c>
      <c r="F116" s="906">
        <f t="shared" si="35"/>
        <v>0.83199999999999996</v>
      </c>
      <c r="G116" s="906">
        <f t="shared" si="35"/>
        <v>0.83199999999999996</v>
      </c>
      <c r="H116" s="906">
        <f t="shared" si="35"/>
        <v>0.83199999999999996</v>
      </c>
      <c r="I116" s="906">
        <f>ROUND(0.7694-0.014*B113,4)</f>
        <v>0.74280000000000002</v>
      </c>
      <c r="J116" s="906">
        <f t="shared" si="34"/>
        <v>0.74280000000000002</v>
      </c>
      <c r="K116" s="906">
        <f t="shared" si="34"/>
        <v>0.74280000000000002</v>
      </c>
      <c r="L116" s="906">
        <f t="shared" si="34"/>
        <v>0.74280000000000002</v>
      </c>
      <c r="M116" s="907">
        <f t="shared" si="34"/>
        <v>0.74280000000000002</v>
      </c>
    </row>
    <row r="117" spans="1:13">
      <c r="A117" s="905" t="s">
        <v>2870</v>
      </c>
      <c r="B117" s="906">
        <f>ROUND(0.8808-0.006*B113,4)</f>
        <v>0.86939999999999995</v>
      </c>
      <c r="C117" s="906">
        <f>B117</f>
        <v>0.86939999999999995</v>
      </c>
      <c r="D117" s="906">
        <f>ROUND(0.8748-0.008*B113,4)</f>
        <v>0.85960000000000003</v>
      </c>
      <c r="E117" s="906">
        <f t="shared" si="35"/>
        <v>0.85960000000000003</v>
      </c>
      <c r="F117" s="906">
        <f t="shared" si="35"/>
        <v>0.85960000000000003</v>
      </c>
      <c r="G117" s="906">
        <f t="shared" si="35"/>
        <v>0.85960000000000003</v>
      </c>
      <c r="H117" s="906">
        <f t="shared" si="35"/>
        <v>0.85960000000000003</v>
      </c>
      <c r="I117" s="906">
        <f>ROUND(0.7412-0.0095*B113,4)</f>
        <v>0.72319999999999995</v>
      </c>
      <c r="J117" s="906">
        <f t="shared" si="34"/>
        <v>0.72319999999999995</v>
      </c>
      <c r="K117" s="906">
        <f t="shared" si="34"/>
        <v>0.72319999999999995</v>
      </c>
      <c r="L117" s="906">
        <f t="shared" si="34"/>
        <v>0.72319999999999995</v>
      </c>
      <c r="M117" s="907">
        <f t="shared" si="34"/>
        <v>0.72319999999999995</v>
      </c>
    </row>
    <row r="118" spans="1:13" ht="13.5" thickBot="1">
      <c r="A118" s="712" t="s">
        <v>2871</v>
      </c>
      <c r="B118" s="908">
        <f>ROUND(0.7275-0.01*B113,4)</f>
        <v>0.70850000000000002</v>
      </c>
      <c r="C118" s="908">
        <f>B118</f>
        <v>0.70850000000000002</v>
      </c>
      <c r="D118" s="908">
        <f>ROUND(0.7043-0.012*B113,4)</f>
        <v>0.68149999999999999</v>
      </c>
      <c r="E118" s="908">
        <f>D118</f>
        <v>0.68149999999999999</v>
      </c>
      <c r="F118" s="908">
        <f>E118</f>
        <v>0.68149999999999999</v>
      </c>
      <c r="G118" s="908">
        <f>ROUND(0.6299-0.0122*B113,4)</f>
        <v>0.60670000000000002</v>
      </c>
      <c r="H118" s="908">
        <f>G118</f>
        <v>0.60670000000000002</v>
      </c>
      <c r="I118" s="908">
        <f>ROUND(0.5667-0.0136*B113,4)</f>
        <v>0.54090000000000005</v>
      </c>
      <c r="J118" s="908">
        <f t="shared" si="34"/>
        <v>0.54090000000000005</v>
      </c>
      <c r="K118" s="908">
        <f t="shared" si="34"/>
        <v>0.54090000000000005</v>
      </c>
      <c r="L118" s="908">
        <f t="shared" si="34"/>
        <v>0.54090000000000005</v>
      </c>
      <c r="M118" s="909">
        <f t="shared" si="34"/>
        <v>0.54090000000000005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38" t="s">
        <v>2793</v>
      </c>
      <c r="B1" s="239"/>
      <c r="C1" s="243" t="s">
        <v>2794</v>
      </c>
      <c r="D1" s="386">
        <f>SUM(D29:D30,D33:D39)</f>
        <v>22062.67</v>
      </c>
      <c r="E1" s="2713"/>
      <c r="F1" s="2713"/>
      <c r="G1" s="2713"/>
      <c r="H1" s="2713"/>
      <c r="I1" s="2713"/>
      <c r="J1" s="2713"/>
      <c r="K1" s="1366"/>
      <c r="L1" s="2714" t="s">
        <v>2795</v>
      </c>
      <c r="M1" s="1076">
        <f>SUMPRODUCT((区片价!B5:B9=I2)*(区片价!C3:F3=E2)*(区片价!C5:F9))</f>
        <v>0</v>
      </c>
      <c r="N1" s="1079">
        <f>SUMPRODUCT((因素修正幅度!B5:B9=I2)*(因素修正幅度!C3:F3=E2)*(因素修正幅度!C5:F9))</f>
        <v>0</v>
      </c>
      <c r="O1" s="2715"/>
      <c r="P1" s="2715"/>
      <c r="Q1" s="1366"/>
      <c r="R1" s="1598" t="s">
        <v>2796</v>
      </c>
      <c r="S1" s="1598" t="s">
        <v>2797</v>
      </c>
      <c r="T1" s="1598" t="s">
        <v>2798</v>
      </c>
      <c r="U1" s="1598" t="s">
        <v>2799</v>
      </c>
      <c r="V1" s="1598" t="s">
        <v>2800</v>
      </c>
      <c r="W1" s="1602"/>
      <c r="X1" s="1602"/>
      <c r="Y1" s="1602"/>
      <c r="Z1" s="1602"/>
      <c r="AA1" s="1602"/>
      <c r="AB1" s="1602"/>
      <c r="AC1" s="1603"/>
      <c r="AD1" s="1604"/>
      <c r="AE1" s="1604"/>
      <c r="AF1" s="1604"/>
      <c r="AG1" s="1604"/>
      <c r="AH1" s="1604"/>
      <c r="AI1" s="1604"/>
      <c r="AJ1" s="1605"/>
    </row>
    <row r="2" spans="1:36" ht="15.75">
      <c r="A2" s="243" t="s">
        <v>2801</v>
      </c>
      <c r="B2" s="246">
        <f ca="1">C26</f>
        <v>26806</v>
      </c>
      <c r="C2" s="2717" t="s">
        <v>2802</v>
      </c>
      <c r="D2" s="2718" t="s">
        <v>2803</v>
      </c>
      <c r="E2" s="2719" t="s">
        <v>27</v>
      </c>
      <c r="F2" s="2718" t="s">
        <v>2804</v>
      </c>
      <c r="G2" s="2720" t="str">
        <f>IF(E2="商业",项目基本情况!B37,IF(E2="办公",项目基本情况!C37,IF(E2="住宅",项目基本情况!D37,项目基本情况!E37)))</f>
        <v>六级</v>
      </c>
      <c r="H2" s="2718" t="s">
        <v>2805</v>
      </c>
      <c r="I2" s="2720" t="str">
        <f>IF(E2="商业",项目基本情况!B38,IF(E2="办公",项目基本情况!C38,IF(E2="住宅",项目基本情况!D38,项目基本情况!E38)))</f>
        <v>Ⅵ-08</v>
      </c>
      <c r="J2" s="2721"/>
      <c r="K2" s="1366"/>
      <c r="L2" s="2722" t="s">
        <v>2806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25236</v>
      </c>
      <c r="U2" s="1599"/>
      <c r="V2" s="1598">
        <f ca="1">ROUND(T2*U2/10000,0)</f>
        <v>0</v>
      </c>
      <c r="W2" s="1602"/>
      <c r="X2" s="1602"/>
      <c r="Y2" s="1602"/>
      <c r="Z2" s="1602"/>
      <c r="AA2" s="1602"/>
      <c r="AB2" s="1602"/>
      <c r="AC2" s="1603"/>
      <c r="AD2" s="1604"/>
      <c r="AE2" s="1604"/>
      <c r="AF2" s="1604"/>
      <c r="AG2" s="1604"/>
      <c r="AH2" s="1604"/>
      <c r="AI2" s="1604"/>
      <c r="AJ2" s="1605"/>
    </row>
    <row r="3" spans="1:36" ht="25.5">
      <c r="A3" s="245" t="s">
        <v>2807</v>
      </c>
      <c r="B3" s="246">
        <f ca="1">ROUND(B2*10000/D1,0)</f>
        <v>12150</v>
      </c>
      <c r="C3" s="2717" t="s">
        <v>2808</v>
      </c>
      <c r="D3" s="2718" t="s">
        <v>2809</v>
      </c>
      <c r="E3" s="2723" t="s">
        <v>3182</v>
      </c>
      <c r="F3" s="2724" t="s">
        <v>2810</v>
      </c>
      <c r="G3" s="912">
        <f>IF(F3="宗地容积率",'数据-汇总表'!I4,IF(F3="估价对象容积率",'数据-汇总表'!I6,'数据-汇总表'!I7))</f>
        <v>1.9</v>
      </c>
      <c r="H3" s="196" t="s">
        <v>2811</v>
      </c>
      <c r="I3" s="940">
        <v>1</v>
      </c>
      <c r="J3" s="2721" t="s">
        <v>2812</v>
      </c>
      <c r="K3" s="1366"/>
      <c r="L3" s="2722" t="s">
        <v>2813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18114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31"/>
      <c r="B4" s="3232"/>
      <c r="C4" s="3232"/>
      <c r="D4" s="3233"/>
      <c r="E4" s="3233"/>
      <c r="F4" s="3233"/>
      <c r="G4" s="3233"/>
      <c r="H4" s="3233"/>
      <c r="I4" s="3233"/>
      <c r="J4" s="3234"/>
      <c r="K4" s="1366"/>
      <c r="L4" s="2722" t="s">
        <v>2814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14614</v>
      </c>
      <c r="U4" s="1599"/>
      <c r="V4" s="1598">
        <f t="shared" ca="1" si="1"/>
        <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2815</v>
      </c>
      <c r="C5" s="913">
        <f>ROUND(IF(E2="商业",C6*C7+C16,(IF(E2="住宅",C6*C12+C16,C6+C16))),0)</f>
        <v>10650</v>
      </c>
      <c r="D5" s="1783">
        <f>ROUND(IF(F17="增加",C6+C16,C6-C16),0)</f>
        <v>10650</v>
      </c>
      <c r="E5" s="1783"/>
      <c r="F5" s="2727"/>
      <c r="G5" s="2728"/>
      <c r="H5" s="2728"/>
      <c r="I5" s="2728"/>
      <c r="J5" s="2729"/>
      <c r="K5" s="2730"/>
      <c r="L5" s="2722" t="s">
        <v>2816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11726</v>
      </c>
      <c r="U5" s="1599"/>
      <c r="V5" s="1598">
        <f t="shared" ca="1" si="1"/>
        <v>0</v>
      </c>
      <c r="W5" s="1602"/>
      <c r="X5" s="1602"/>
      <c r="Y5" s="1602"/>
      <c r="Z5" s="1602"/>
      <c r="AA5" s="1602"/>
      <c r="AB5" s="1602"/>
      <c r="AC5" s="2731"/>
      <c r="AD5" s="2732"/>
      <c r="AE5" s="2732"/>
      <c r="AF5" s="2732"/>
      <c r="AG5" s="2732"/>
      <c r="AH5" s="2732"/>
      <c r="AI5" s="2732"/>
      <c r="AJ5" s="2733"/>
    </row>
    <row r="6" spans="1:36" ht="15.75" thickBot="1">
      <c r="A6" s="2735" t="s">
        <v>2817</v>
      </c>
      <c r="B6" s="2736" t="s">
        <v>2818</v>
      </c>
      <c r="C6" s="914">
        <f>SUMIF(L1:L12,G2,M1:M12)</f>
        <v>10650</v>
      </c>
      <c r="D6" s="2737" t="s">
        <v>2819</v>
      </c>
      <c r="E6" s="2738"/>
      <c r="F6" s="2738"/>
      <c r="G6" s="2739"/>
      <c r="H6" s="2739"/>
      <c r="I6" s="2739"/>
      <c r="J6" s="2740"/>
      <c r="K6" s="1838"/>
      <c r="L6" s="2722" t="s">
        <v>2820</v>
      </c>
      <c r="M6" s="1077">
        <f>SUMPRODUCT((区片价!B110:B157=I2)*(区片价!C3:F3=E2)*(区片价!C110:F157))</f>
        <v>10650</v>
      </c>
      <c r="N6" s="1079">
        <f>SUMPRODUCT((因素修正幅度!B110:B157=I2)*(因素修正幅度!C3:F3=E2)*(因素修正幅度!C110:F157))</f>
        <v>0.13</v>
      </c>
      <c r="O6" s="1366"/>
      <c r="P6" s="1366"/>
      <c r="Q6" s="1366"/>
      <c r="R6" s="1598">
        <v>5</v>
      </c>
      <c r="S6" s="1598">
        <f>ROUND(IF(G3&gt;1,IF(R6&lt;7,SUMPRODUCT((B93:B98=R6)*(C92:N92=G2)*(C93:N98)),SUMIF(C92:N92,G2,C100:N100)),IF(R6&lt;7,SUMPRODUCT((B102:B107=R6)*(C92:N92=G2)*(C102:N107)),SUMIF(C92:N92,G2,C109:N109))),4)</f>
        <v>0.73709999999999998</v>
      </c>
      <c r="T6" s="1598">
        <f t="shared" ca="1" si="0"/>
        <v>9985</v>
      </c>
      <c r="U6" s="1599"/>
      <c r="V6" s="1598">
        <f t="shared" ca="1" si="1"/>
        <v>0</v>
      </c>
      <c r="W6" s="1602"/>
      <c r="X6" s="1602"/>
      <c r="Y6" s="1602"/>
      <c r="Z6" s="1602"/>
      <c r="AA6" s="1602"/>
      <c r="AB6" s="1602"/>
      <c r="AC6" s="2731"/>
      <c r="AD6" s="2732"/>
      <c r="AE6" s="2732"/>
      <c r="AF6" s="2732"/>
      <c r="AG6" s="2732"/>
      <c r="AH6" s="2732"/>
      <c r="AI6" s="2732"/>
      <c r="AJ6" s="2733"/>
    </row>
    <row r="7" spans="1:36" ht="24">
      <c r="A7" s="3235" t="str">
        <f>IF(E2="商业",IF(C8="不临58条商业街","",2),"")</f>
        <v/>
      </c>
      <c r="B7" s="2741" t="s">
        <v>2821</v>
      </c>
      <c r="C7" s="915">
        <f>IF(C8="不临58条商业街",1,ROUND(1+(1.6*E8+1.2*E9+0.8*E10+0.4*E11)*C9,4))</f>
        <v>1</v>
      </c>
      <c r="D7" s="2742" t="s">
        <v>2822</v>
      </c>
      <c r="E7" s="941">
        <v>60</v>
      </c>
      <c r="F7" s="2743"/>
      <c r="G7" s="2744"/>
      <c r="H7" s="2744"/>
      <c r="I7" s="2744"/>
      <c r="J7" s="2745"/>
      <c r="K7" s="1838"/>
      <c r="L7" s="2722" t="s">
        <v>2823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8781</v>
      </c>
      <c r="U7" s="1599"/>
      <c r="V7" s="1598">
        <f t="shared" ca="1" si="1"/>
        <v>0</v>
      </c>
      <c r="W7" s="2964" t="s">
        <v>2824</v>
      </c>
      <c r="X7" s="1600" t="str">
        <f>G2</f>
        <v>六级</v>
      </c>
      <c r="Y7" s="1600" t="s">
        <v>2825</v>
      </c>
      <c r="Z7" s="1601">
        <f>G3</f>
        <v>1.9</v>
      </c>
      <c r="AA7" s="1602"/>
      <c r="AB7" s="1602"/>
      <c r="AC7" s="1603"/>
      <c r="AD7" s="1604"/>
      <c r="AE7" s="1604"/>
      <c r="AF7" s="1604"/>
      <c r="AG7" s="1604"/>
      <c r="AH7" s="1604"/>
      <c r="AI7" s="1604"/>
      <c r="AJ7" s="1605"/>
    </row>
    <row r="8" spans="1:36" ht="25.5">
      <c r="A8" s="3236"/>
      <c r="B8" s="196" t="s">
        <v>2826</v>
      </c>
      <c r="C8" s="2746" t="s">
        <v>3170</v>
      </c>
      <c r="D8" s="916" t="s">
        <v>139</v>
      </c>
      <c r="E8" s="917">
        <f>ROUND(C11/E7,4)</f>
        <v>0</v>
      </c>
      <c r="F8" s="2747" t="s">
        <v>2827</v>
      </c>
      <c r="G8" s="2748"/>
      <c r="H8" s="2748"/>
      <c r="I8" s="2748"/>
      <c r="J8" s="2749"/>
      <c r="K8" s="1366"/>
      <c r="L8" s="2722" t="s">
        <v>2828</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28" t="s">
        <v>2829</v>
      </c>
      <c r="X8" s="3229"/>
      <c r="Y8" s="1606" t="s">
        <v>2830</v>
      </c>
      <c r="Z8" s="1606" t="s">
        <v>2831</v>
      </c>
      <c r="AA8" s="1606" t="s">
        <v>2832</v>
      </c>
      <c r="AB8" s="1606" t="s">
        <v>2833</v>
      </c>
      <c r="AC8" s="1606" t="s">
        <v>2834</v>
      </c>
      <c r="AD8" s="1606" t="s">
        <v>2835</v>
      </c>
      <c r="AE8" s="1606" t="s">
        <v>2836</v>
      </c>
      <c r="AF8" s="1606" t="s">
        <v>2837</v>
      </c>
      <c r="AG8" s="1606" t="s">
        <v>2838</v>
      </c>
      <c r="AH8" s="1606" t="s">
        <v>2839</v>
      </c>
      <c r="AI8" s="1606" t="s">
        <v>2840</v>
      </c>
      <c r="AJ8" s="1606" t="s">
        <v>2841</v>
      </c>
    </row>
    <row r="9" spans="1:36" ht="15">
      <c r="A9" s="3236"/>
      <c r="B9" s="196" t="s">
        <v>2842</v>
      </c>
      <c r="C9" s="918">
        <f>SUMIF(修正!C59:C119,C8,修正!E59:E119)</f>
        <v>0</v>
      </c>
      <c r="D9" s="198" t="s">
        <v>140</v>
      </c>
      <c r="E9" s="198">
        <f>ROUND(C11/E7,4)</f>
        <v>0</v>
      </c>
      <c r="F9" s="2747" t="s">
        <v>2843</v>
      </c>
      <c r="G9" s="2748"/>
      <c r="H9" s="2748"/>
      <c r="I9" s="2748"/>
      <c r="J9" s="2749"/>
      <c r="K9" s="1366"/>
      <c r="L9" s="2722" t="s">
        <v>2844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30" t="s">
        <v>2845</v>
      </c>
      <c r="X9" s="1607" t="s">
        <v>2846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6"/>
      <c r="B10" s="196" t="s">
        <v>2847</v>
      </c>
      <c r="C10" s="198">
        <f>SUMIF(修正!C59:C119,C8,修正!F59:F119)</f>
        <v>0</v>
      </c>
      <c r="D10" s="198" t="s">
        <v>141</v>
      </c>
      <c r="E10" s="198">
        <f>ROUND(C11/E7,4)</f>
        <v>0</v>
      </c>
      <c r="F10" s="2747" t="s">
        <v>2848</v>
      </c>
      <c r="G10" s="2748"/>
      <c r="H10" s="2748"/>
      <c r="I10" s="2748"/>
      <c r="J10" s="2749"/>
      <c r="K10" s="1366"/>
      <c r="L10" s="2722" t="s">
        <v>2849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3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36"/>
      <c r="B11" s="2750" t="s">
        <v>2850</v>
      </c>
      <c r="C11" s="919">
        <f>C10/4</f>
        <v>0</v>
      </c>
      <c r="D11" s="919" t="s">
        <v>142</v>
      </c>
      <c r="E11" s="919">
        <f>ROUND(C11/E7,4)</f>
        <v>0</v>
      </c>
      <c r="F11" s="2751" t="s">
        <v>2851</v>
      </c>
      <c r="G11" s="2752"/>
      <c r="H11" s="2752"/>
      <c r="I11" s="2752"/>
      <c r="J11" s="2753"/>
      <c r="K11" s="1366"/>
      <c r="L11" s="2722" t="s">
        <v>2852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30" t="s">
        <v>2853</v>
      </c>
      <c r="X11" s="1610" t="s">
        <v>2854</v>
      </c>
      <c r="Y11" s="1611">
        <f>$G$3</f>
        <v>1.9</v>
      </c>
      <c r="Z11" s="1611">
        <f t="shared" ref="Z11:AJ11" si="3">$G$3</f>
        <v>1.9</v>
      </c>
      <c r="AA11" s="1611">
        <f t="shared" si="3"/>
        <v>1.9</v>
      </c>
      <c r="AB11" s="1611">
        <f t="shared" si="3"/>
        <v>1.9</v>
      </c>
      <c r="AC11" s="1611">
        <f t="shared" si="3"/>
        <v>1.9</v>
      </c>
      <c r="AD11" s="1611">
        <f t="shared" si="3"/>
        <v>1.9</v>
      </c>
      <c r="AE11" s="1611">
        <f t="shared" si="3"/>
        <v>1.9</v>
      </c>
      <c r="AF11" s="1611">
        <f t="shared" si="3"/>
        <v>1.9</v>
      </c>
      <c r="AG11" s="1611">
        <f t="shared" si="3"/>
        <v>1.9</v>
      </c>
      <c r="AH11" s="1611">
        <f t="shared" si="3"/>
        <v>1.9</v>
      </c>
      <c r="AI11" s="1611">
        <f t="shared" si="3"/>
        <v>1.9</v>
      </c>
      <c r="AJ11" s="1611">
        <f t="shared" si="3"/>
        <v>1.9</v>
      </c>
    </row>
    <row r="12" spans="1:36" ht="25.5" thickBot="1">
      <c r="A12" s="3235" t="s">
        <v>2855</v>
      </c>
      <c r="B12" s="2754" t="s">
        <v>2856</v>
      </c>
      <c r="C12" s="915">
        <f>ROUND(C15*D15*E15*F15*G15*H15*I15*J15,4)</f>
        <v>1.21</v>
      </c>
      <c r="D12" s="2755" t="s">
        <v>2857</v>
      </c>
      <c r="E12" s="2756"/>
      <c r="F12" s="2756"/>
      <c r="G12" s="2757"/>
      <c r="H12" s="2757"/>
      <c r="I12" s="2757"/>
      <c r="J12" s="2758"/>
      <c r="K12" s="1366"/>
      <c r="L12" s="2759" t="s">
        <v>2858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30"/>
      <c r="X12" s="1612" t="s">
        <v>2859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37"/>
      <c r="B13" s="2760" t="s">
        <v>2860</v>
      </c>
      <c r="C13" s="2761" t="s">
        <v>2861</v>
      </c>
      <c r="D13" s="2952" t="s">
        <v>2862</v>
      </c>
      <c r="E13" s="2952" t="s">
        <v>2863</v>
      </c>
      <c r="F13" s="30" t="s">
        <v>2864</v>
      </c>
      <c r="G13" s="2762" t="s">
        <v>2865</v>
      </c>
      <c r="H13" s="2762" t="s">
        <v>2865</v>
      </c>
      <c r="I13" s="2762" t="s">
        <v>2865</v>
      </c>
      <c r="J13" s="2763" t="s">
        <v>2865</v>
      </c>
      <c r="K13" s="1366"/>
      <c r="L13" s="1366"/>
      <c r="M13" s="1366"/>
      <c r="N13" s="1366"/>
      <c r="O13" s="1366"/>
      <c r="P13" s="1366"/>
      <c r="Q13" s="1366"/>
      <c r="R13" s="1598">
        <v>12</v>
      </c>
      <c r="S13" s="1599"/>
      <c r="T13" s="1598">
        <f t="shared" ca="1" si="0"/>
        <v>0</v>
      </c>
      <c r="U13" s="1599"/>
      <c r="V13" s="1598">
        <f t="shared" ca="1" si="1"/>
        <v>0</v>
      </c>
      <c r="W13" s="3230"/>
      <c r="X13" s="1612"/>
      <c r="Y13" s="1609">
        <f>(-0.163*(Y12^2)-0.59*Y12+7617)*(10^(-4))/Y11</f>
        <v>0.4008947368421053</v>
      </c>
      <c r="Z13" s="1609">
        <f t="shared" ref="Z13:AJ13" si="5">(-0.163*(Z12^2)-0.59*Z12+7617)*(10^(-4))/Z11</f>
        <v>0.4008947368421053</v>
      </c>
      <c r="AA13" s="1609">
        <f t="shared" si="5"/>
        <v>0.4008947368421053</v>
      </c>
      <c r="AB13" s="1609">
        <f t="shared" si="5"/>
        <v>0.4008947368421053</v>
      </c>
      <c r="AC13" s="1609">
        <f t="shared" si="5"/>
        <v>0.4008947368421053</v>
      </c>
      <c r="AD13" s="1609">
        <f t="shared" si="5"/>
        <v>0.4008947368421053</v>
      </c>
      <c r="AE13" s="1609">
        <f t="shared" si="5"/>
        <v>0.4008947368421053</v>
      </c>
      <c r="AF13" s="1609">
        <f t="shared" si="5"/>
        <v>0.4008947368421053</v>
      </c>
      <c r="AG13" s="1609">
        <f t="shared" si="5"/>
        <v>0.4008947368421053</v>
      </c>
      <c r="AH13" s="1609">
        <f t="shared" si="5"/>
        <v>0.4008947368421053</v>
      </c>
      <c r="AI13" s="1609">
        <f t="shared" si="5"/>
        <v>0.4008947368421053</v>
      </c>
      <c r="AJ13" s="1609">
        <f t="shared" si="5"/>
        <v>0.4008947368421053</v>
      </c>
    </row>
    <row r="14" spans="1:36" ht="15">
      <c r="A14" s="3237"/>
      <c r="B14" s="2764"/>
      <c r="C14" s="2765" t="s">
        <v>3171</v>
      </c>
      <c r="D14" s="2766" t="s">
        <v>3172</v>
      </c>
      <c r="E14" s="2766" t="s">
        <v>3171</v>
      </c>
      <c r="F14" s="2767" t="s">
        <v>3173</v>
      </c>
      <c r="G14" s="2768" t="s">
        <v>2866</v>
      </c>
      <c r="H14" s="2769"/>
      <c r="I14" s="2770"/>
      <c r="J14" s="2771"/>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38"/>
      <c r="B15" s="2772" t="s">
        <v>2867</v>
      </c>
      <c r="C15" s="227">
        <f>IF(C14="有",1.1,1)</f>
        <v>1.1000000000000001</v>
      </c>
      <c r="D15" s="227">
        <f>IF(D14="有",1.1,1)</f>
        <v>1</v>
      </c>
      <c r="E15" s="227">
        <f>IF(E14="有",1.1,1)</f>
        <v>1.1000000000000001</v>
      </c>
      <c r="F15" s="227">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35" t="s">
        <v>2872</v>
      </c>
      <c r="B16" s="2741" t="s">
        <v>2873</v>
      </c>
      <c r="C16" s="2953">
        <f>ROUND(IF(F17="与级别开发程度一致",0,(G17-E17)/C17),0)</f>
        <v>0</v>
      </c>
      <c r="D16" s="3249" t="s">
        <v>2877</v>
      </c>
      <c r="E16" s="3250"/>
      <c r="F16" s="3249" t="s">
        <v>2874</v>
      </c>
      <c r="G16" s="3250"/>
      <c r="H16" s="2775" t="s">
        <v>3150</v>
      </c>
      <c r="I16" s="2775" t="s">
        <v>3151</v>
      </c>
      <c r="J16" s="2935" t="s">
        <v>3154</v>
      </c>
      <c r="K16" s="2775" t="s">
        <v>3152</v>
      </c>
      <c r="L16" s="2775" t="s">
        <v>3153</v>
      </c>
      <c r="M16" s="2775" t="s">
        <v>3155</v>
      </c>
      <c r="N16" s="2775" t="s">
        <v>3156</v>
      </c>
      <c r="O16" s="2776" t="s">
        <v>3175</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39"/>
      <c r="B17" s="2942" t="s">
        <v>2876</v>
      </c>
      <c r="C17" s="2943">
        <f>SUMPRODUCT((修正!A2:A5=E2)*(修正!B1:M1=G2)*(修正!B2:M5))</f>
        <v>2.5</v>
      </c>
      <c r="D17" s="227" t="str">
        <f>IF(OR(G2="八级",G2="九级",G2="十级",G2="十一级",G2="十二级"),"五通一平","七通一平")</f>
        <v>七通一平</v>
      </c>
      <c r="E17" s="2932">
        <f>SUMPRODUCT((修正!B1:M1=G2)*(修正!B15:M15))</f>
        <v>300</v>
      </c>
      <c r="F17" s="2933" t="s">
        <v>3174</v>
      </c>
      <c r="G17" s="2934">
        <f>SUM(H17:O17)</f>
        <v>300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50</v>
      </c>
      <c r="N17" s="2943">
        <f>SUMPRODUCT((七通一平=N16)*(修正!B1:M1=G2)*(修正!B6:M14))</f>
        <v>40</v>
      </c>
      <c r="O17" s="2945">
        <f>SUMPRODUCT((七通一平=O16)*(修正!B1:M1=G2)*(修正!B6:M14))</f>
        <v>15</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6" t="s">
        <v>808</v>
      </c>
      <c r="B18" s="2937" t="s">
        <v>2879</v>
      </c>
      <c r="C18" s="2938">
        <f>SUMIF(修正!C18:C39,E3,修正!E18:E39)</f>
        <v>1</v>
      </c>
      <c r="D18" s="2939"/>
      <c r="E18" s="2940"/>
      <c r="F18" s="2940"/>
      <c r="G18" s="2940"/>
      <c r="H18" s="2940"/>
      <c r="I18" s="2940"/>
      <c r="J18" s="2941"/>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809</v>
      </c>
      <c r="B19" s="2781" t="s">
        <v>2880</v>
      </c>
      <c r="C19" s="920">
        <f>ROUND(IF(H19="按公示增长率计算",SUMPRODUCT((地价!A3:A26=YEAR(G19)&amp;"-"&amp;ROUNDUP(MONTH(G19)/3,0))*(地价!X2:AB2=E2)*(地价!X3:AB26)),IF(H19="地价指数",M20/M19,(1+I19)^O19)),4)</f>
        <v>1.3423</v>
      </c>
      <c r="D19" s="2785" t="s">
        <v>2881</v>
      </c>
      <c r="E19" s="921">
        <v>41640</v>
      </c>
      <c r="F19" s="2785" t="s">
        <v>2882</v>
      </c>
      <c r="G19" s="922">
        <f>'数据-取费表'!B2</f>
        <v>43566</v>
      </c>
      <c r="H19" s="2786" t="s">
        <v>3176</v>
      </c>
      <c r="I19" s="923" t="str">
        <f>IF(H19="季度增幅（自定义）",SUMIF(N21:N24,E2,O21:O24),"")</f>
        <v/>
      </c>
      <c r="J19" s="2783"/>
      <c r="K19" s="1373"/>
      <c r="L19" s="2787" t="s">
        <v>2883</v>
      </c>
      <c r="M19" s="1730">
        <f>ROUND(SUMIF(地价!B2:F2,E2,地价!B26:F26),0)</f>
        <v>258</v>
      </c>
      <c r="N19" s="2788" t="s">
        <v>2884</v>
      </c>
      <c r="O19" s="924">
        <f>ROUNDDOWN(DATEDIF(E19,G19,"M")/3,0)</f>
        <v>21</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810</v>
      </c>
      <c r="B20" s="2793" t="s">
        <v>2885</v>
      </c>
      <c r="C20" s="925">
        <f ca="1">ROUND(POWER(1+G20,J20-I20)*(POWER(1+G20,I20)-1)/(POWER(1+G20,J20)-1),4)</f>
        <v>0.90810000000000002</v>
      </c>
      <c r="D20" s="2794" t="s">
        <v>2886</v>
      </c>
      <c r="E20" s="1764">
        <f ca="1">存贷款利率!D4/100</f>
        <v>4.3499999999999997E-2</v>
      </c>
      <c r="F20" s="2794" t="s">
        <v>2878</v>
      </c>
      <c r="G20" s="930">
        <f ca="1">SUMIF(M26:P26,E2,M28:P28)</f>
        <v>5.1999999999999998E-2</v>
      </c>
      <c r="H20" s="2794" t="s">
        <v>2887</v>
      </c>
      <c r="I20" s="2963">
        <f>SUMIF('数据-取费表'!C6:C15,E2,'数据-取费表'!F6:F15)/COUNTIF('数据-取费表'!C6:C15,E2)</f>
        <v>35.68</v>
      </c>
      <c r="J20" s="932">
        <f>IF(E2="住宅",70,IF(E2="商业",40,50))</f>
        <v>50</v>
      </c>
      <c r="K20" s="1373"/>
      <c r="L20" s="2795" t="s">
        <v>2888</v>
      </c>
      <c r="M20" s="1731">
        <f>ROUND(SUMPRODUCT((地价!A4:A26=YEAR(G19)&amp;"-"&amp;ROUNDUP(MONTH(G19)/3,0))*(地价!B2:F2=E2)*(地价!B4:F26)),0)</f>
        <v>346</v>
      </c>
      <c r="N20" s="2796" t="s">
        <v>2889</v>
      </c>
      <c r="O20" s="2797" t="s">
        <v>2890</v>
      </c>
      <c r="P20" s="2798" t="s">
        <v>2891</v>
      </c>
      <c r="R20" s="1372"/>
      <c r="S20" s="1372"/>
      <c r="T20" s="1367"/>
      <c r="U20" s="1367"/>
      <c r="V20" s="1367"/>
      <c r="W20" s="1366"/>
      <c r="X20" s="1366"/>
      <c r="Y20" s="1366"/>
      <c r="Z20" s="1373"/>
      <c r="AA20" s="1374"/>
      <c r="AB20" s="1374"/>
      <c r="AC20" s="1374"/>
      <c r="AD20" s="1374"/>
      <c r="AE20" s="1374"/>
      <c r="AF20" s="1374"/>
    </row>
    <row r="21" spans="1:37" s="2734" customFormat="1" ht="15">
      <c r="A21" s="2799" t="s">
        <v>811</v>
      </c>
      <c r="B21" s="2800" t="s">
        <v>3177</v>
      </c>
      <c r="C21" s="2959">
        <f>IF(B21="容积率修正",IF(G3&lt;=10,D22,J22),C23)</f>
        <v>1.0901000000000001</v>
      </c>
      <c r="D21" s="2801"/>
      <c r="E21" s="2801"/>
      <c r="F21" s="2801"/>
      <c r="G21" s="2801"/>
      <c r="H21" s="2801"/>
      <c r="I21" s="2801"/>
      <c r="J21" s="2802"/>
      <c r="K21" s="1373"/>
      <c r="N21" s="2803" t="s">
        <v>2892</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4" customFormat="1" ht="14.25">
      <c r="A22" s="2660" t="s">
        <v>2893</v>
      </c>
      <c r="B22" s="2804" t="s">
        <v>2894</v>
      </c>
      <c r="C22" s="2958" t="s">
        <v>2895</v>
      </c>
      <c r="D22" s="2958">
        <f>IF(E22=G22,F22,IF(G3&lt;=10,ROUND(F22+(H22-F22)*(G3-E22)/(G22-E22),4),"——"))</f>
        <v>1.0901000000000001</v>
      </c>
      <c r="E22" s="912">
        <f>ROUNDDOWN(G3,1)</f>
        <v>1.9</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2">
        <f>ROUNDUP(G3,1)</f>
        <v>1.9</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2958" t="s">
        <v>155</v>
      </c>
      <c r="J22" s="934" t="str">
        <f>IF(G3&gt;10,D113,"——")</f>
        <v>——</v>
      </c>
      <c r="K22" s="1373"/>
      <c r="N22" s="2803" t="s">
        <v>2896</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60" t="s">
        <v>2897</v>
      </c>
      <c r="B23" s="2805" t="s">
        <v>2898</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2899</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4"/>
    </row>
    <row r="24" spans="1:37" s="2734" customFormat="1" ht="15.75" thickBot="1">
      <c r="A24" s="2792" t="s">
        <v>812</v>
      </c>
      <c r="B24" s="2781" t="s">
        <v>2900</v>
      </c>
      <c r="C24" s="920">
        <f>SUMIF(A45:A88,E2,B45:B88)</f>
        <v>1.0435000000000001</v>
      </c>
      <c r="D24" s="2782"/>
      <c r="E24" s="2811"/>
      <c r="F24" s="2811"/>
      <c r="G24" s="2811"/>
      <c r="H24" s="2811"/>
      <c r="I24" s="2811"/>
      <c r="J24" s="2812"/>
      <c r="K24" s="1373"/>
      <c r="N24" s="2813" t="s">
        <v>2901</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2" t="s">
        <v>813</v>
      </c>
      <c r="B25" s="2814" t="s">
        <v>2902</v>
      </c>
      <c r="C25" s="926"/>
      <c r="D25" s="2744"/>
      <c r="E25" s="2744"/>
      <c r="F25" s="2815"/>
      <c r="G25" s="2744"/>
      <c r="H25" s="2744"/>
      <c r="I25" s="2744"/>
      <c r="J25" s="2745"/>
      <c r="K25" s="1366"/>
      <c r="N25" s="2816" t="s">
        <v>2903</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7"/>
      <c r="B26" s="2804" t="s">
        <v>2904</v>
      </c>
      <c r="C26" s="204">
        <f ca="1">E29+SUM(E33:E39)</f>
        <v>26806</v>
      </c>
      <c r="D26" s="2818"/>
      <c r="E26" s="2769"/>
      <c r="F26" s="2819"/>
      <c r="G26" s="2769"/>
      <c r="H26" s="2769"/>
      <c r="I26" s="2769"/>
      <c r="J26" s="2820"/>
      <c r="K26" s="1366"/>
      <c r="L26" s="2773" t="s">
        <v>2803</v>
      </c>
      <c r="M26" s="916" t="s">
        <v>2868</v>
      </c>
      <c r="N26" s="916" t="s">
        <v>2869</v>
      </c>
      <c r="O26" s="916" t="s">
        <v>2870</v>
      </c>
      <c r="P26" s="2774" t="s">
        <v>2871</v>
      </c>
      <c r="R26" s="1372"/>
      <c r="S26" s="1372"/>
      <c r="T26" s="1367"/>
      <c r="U26" s="1367"/>
      <c r="V26" s="1367"/>
      <c r="W26" s="1366"/>
      <c r="X26" s="1366"/>
      <c r="Y26" s="1366"/>
      <c r="Z26" s="1373"/>
      <c r="AA26" s="1374"/>
      <c r="AB26" s="1374"/>
      <c r="AC26" s="1374"/>
      <c r="AD26" s="1374"/>
    </row>
    <row r="27" spans="1:37" ht="15.75" thickBot="1">
      <c r="A27" s="2817"/>
      <c r="B27" s="2821" t="s">
        <v>2905</v>
      </c>
      <c r="C27" s="927">
        <f ca="1">E30+SUM(I33:I39)</f>
        <v>324</v>
      </c>
      <c r="D27" s="2822"/>
      <c r="E27" s="2823"/>
      <c r="F27" s="2824"/>
      <c r="G27" s="2823"/>
      <c r="H27" s="2823"/>
      <c r="I27" s="2823"/>
      <c r="J27" s="2825"/>
      <c r="K27" s="1366"/>
      <c r="L27" s="2777" t="s">
        <v>2875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2906</v>
      </c>
      <c r="C28" s="2828" t="s">
        <v>2907</v>
      </c>
      <c r="D28" s="2828" t="s">
        <v>2908</v>
      </c>
      <c r="E28" s="2829" t="s">
        <v>2909</v>
      </c>
      <c r="F28" s="2830"/>
      <c r="G28" s="2757"/>
      <c r="H28" s="2757"/>
      <c r="I28" s="2757"/>
      <c r="J28" s="2758"/>
      <c r="K28" s="1366"/>
      <c r="L28" s="2778" t="s">
        <v>2878</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2910</v>
      </c>
      <c r="C29" s="204">
        <f ca="1">ROUND(C5*C18*C19*C20*C21*C24,0)</f>
        <v>14767</v>
      </c>
      <c r="D29" s="2833">
        <f>'数据-汇总表'!F20</f>
        <v>17274</v>
      </c>
      <c r="E29" s="2962">
        <f ca="1">ROUND(C29*D29/10000,0)</f>
        <v>25509</v>
      </c>
      <c r="F29" s="2834" t="s">
        <v>2911</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2912</v>
      </c>
      <c r="C30" s="227">
        <f ca="1">ROUND(IF(E2="工业",C29*M39,C29*M38),0)</f>
        <v>3692</v>
      </c>
      <c r="D30" s="2839"/>
      <c r="E30" s="2962">
        <f ca="1">ROUND(C30*D30/10000,0)</f>
        <v>0</v>
      </c>
      <c r="F30" s="2840" t="s">
        <v>2913</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499" t="s">
        <v>2907</v>
      </c>
      <c r="D32" s="496" t="s">
        <v>2908</v>
      </c>
      <c r="E32" s="496" t="s">
        <v>2909</v>
      </c>
      <c r="F32" s="386" t="s">
        <v>2917</v>
      </c>
      <c r="G32" s="2848" t="s">
        <v>2907</v>
      </c>
      <c r="H32" s="2848" t="s">
        <v>2908</v>
      </c>
      <c r="I32" s="2848" t="s">
        <v>2909</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246" t="s">
        <v>2918</v>
      </c>
      <c r="B33" s="2849" t="s">
        <v>2919</v>
      </c>
      <c r="C33" s="204">
        <f ca="1">ROUND(D5*C19*C20*C24*F33,0)</f>
        <v>9483</v>
      </c>
      <c r="D33" s="2833"/>
      <c r="E33" s="198">
        <f ca="1">ROUND(C33*D33/10000,0)</f>
        <v>0</v>
      </c>
      <c r="F33" s="198">
        <f>SUMIF(修正!A45:A56,G2,修正!B45:B56)</f>
        <v>0.7</v>
      </c>
      <c r="G33" s="198">
        <f t="shared" ref="G33" ca="1" si="6">ROUND(IF(E2="工业",C33*$M$39,C33*$M$38),0)</f>
        <v>2371</v>
      </c>
      <c r="H33" s="198">
        <f>D33</f>
        <v>0</v>
      </c>
      <c r="I33" s="198">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7"/>
      <c r="B34" s="2761" t="s">
        <v>2920</v>
      </c>
      <c r="C34" s="204">
        <f ca="1">ROUND(D5*C19*C20*C24*F34,0)</f>
        <v>5419</v>
      </c>
      <c r="D34" s="2833"/>
      <c r="E34" s="198">
        <f t="shared" ref="E34:E39" ca="1" si="7">ROUND(C34*D34/10000,0)</f>
        <v>0</v>
      </c>
      <c r="F34" s="198">
        <f>SUMIF(修正!A45:A56,G2,修正!C45:C56)</f>
        <v>0.4</v>
      </c>
      <c r="G34" s="198">
        <f ca="1">ROUND(IF(E2="工业",C34*$M$39,C34*$M$38),0)</f>
        <v>1355</v>
      </c>
      <c r="H34" s="198">
        <f t="shared" ref="H34:H39" si="8">D34</f>
        <v>0</v>
      </c>
      <c r="I34" s="198">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7"/>
      <c r="B35" s="2761" t="s">
        <v>2921</v>
      </c>
      <c r="C35" s="204">
        <f ca="1">ROUND(D5*C19*C20*C24*F35,0)</f>
        <v>3793</v>
      </c>
      <c r="D35" s="2833"/>
      <c r="E35" s="198">
        <f t="shared" ca="1" si="7"/>
        <v>0</v>
      </c>
      <c r="F35" s="198">
        <f>SUMIF(修正!A45:A56,G2,修正!D45:D56)</f>
        <v>0.28000000000000003</v>
      </c>
      <c r="G35" s="198">
        <f ca="1">ROUND(IF(E2="工业",C35*$M$39,C35*$M$38),0)</f>
        <v>948</v>
      </c>
      <c r="H35" s="198">
        <f t="shared" si="8"/>
        <v>0</v>
      </c>
      <c r="I35" s="198">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248"/>
      <c r="B36" s="2761" t="s">
        <v>2922</v>
      </c>
      <c r="C36" s="204">
        <f ca="1">ROUND(D5*C19*C20*C24*F36,0)</f>
        <v>3387</v>
      </c>
      <c r="D36" s="2833"/>
      <c r="E36" s="198">
        <f t="shared" ca="1" si="7"/>
        <v>0</v>
      </c>
      <c r="F36" s="198">
        <f>SUMIF(修正!A45:A56,G2,修正!E45:E56)</f>
        <v>0.25</v>
      </c>
      <c r="G36" s="198">
        <f ca="1">ROUND(IF(E2="工业",C36*$M$39,C36*$M$38),0)</f>
        <v>847</v>
      </c>
      <c r="H36" s="198">
        <f t="shared" si="8"/>
        <v>0</v>
      </c>
      <c r="I36" s="198">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2923</v>
      </c>
      <c r="C37" s="198">
        <f ca="1">ROUND(D5*C19*C20*C24*F37,0)</f>
        <v>3387</v>
      </c>
      <c r="D37" s="2833"/>
      <c r="E37" s="198">
        <f t="shared" ca="1" si="7"/>
        <v>0</v>
      </c>
      <c r="F37" s="204">
        <f>SUMIF(修正!A45:A56,G2,修正!F45:F56)</f>
        <v>0.25</v>
      </c>
      <c r="G37" s="198">
        <f ca="1">ROUND(IF(E2="工业",C37*$M$39,C37*$M$38),0)</f>
        <v>847</v>
      </c>
      <c r="H37" s="198">
        <f t="shared" si="8"/>
        <v>0</v>
      </c>
      <c r="I37" s="198">
        <f t="shared" ca="1" si="9"/>
        <v>0</v>
      </c>
      <c r="J37" s="2850"/>
      <c r="K37" s="1366"/>
      <c r="L37" s="2852" t="s">
        <v>2924</v>
      </c>
      <c r="M37" s="2853"/>
      <c r="N37" s="1366"/>
      <c r="O37" s="1366"/>
      <c r="P37" s="1366"/>
      <c r="Q37" s="1366"/>
      <c r="R37" s="1366"/>
      <c r="S37" s="1366"/>
      <c r="T37" s="1366"/>
      <c r="U37" s="1366"/>
      <c r="V37" s="1366"/>
      <c r="W37" s="1366"/>
      <c r="X37" s="1366"/>
      <c r="Y37" s="1366"/>
      <c r="Z37" s="1367"/>
    </row>
    <row r="38" spans="1:37">
      <c r="A38" s="2851"/>
      <c r="B38" s="2761" t="s">
        <v>2925</v>
      </c>
      <c r="C38" s="198">
        <f ca="1">ROUND(D5*C19*C41*C24*F38,0)</f>
        <v>3387</v>
      </c>
      <c r="D38" s="2833"/>
      <c r="E38" s="198">
        <f t="shared" ca="1" si="7"/>
        <v>0</v>
      </c>
      <c r="F38" s="204">
        <f>SUMIF(修正!A45:A56,G2,修正!G45:G56)</f>
        <v>0.25</v>
      </c>
      <c r="G38" s="198">
        <f ca="1">ROUND(IF(E2="工业",C38*$M$39,C38*$M$38),0)</f>
        <v>847</v>
      </c>
      <c r="H38" s="198">
        <f t="shared" si="8"/>
        <v>0</v>
      </c>
      <c r="I38" s="198">
        <f t="shared" ca="1" si="9"/>
        <v>0</v>
      </c>
      <c r="J38" s="2850"/>
      <c r="K38" s="1366"/>
      <c r="L38" s="1883" t="s">
        <v>2926</v>
      </c>
      <c r="M38" s="2854">
        <v>0.25</v>
      </c>
      <c r="N38" s="1366"/>
      <c r="O38" s="1366"/>
      <c r="P38" s="1366"/>
      <c r="Q38" s="1366"/>
      <c r="R38" s="1366"/>
      <c r="S38" s="1366"/>
      <c r="T38" s="1366"/>
      <c r="U38" s="1366"/>
      <c r="V38" s="1366"/>
      <c r="W38" s="1366"/>
      <c r="X38" s="1366"/>
      <c r="Y38" s="1366"/>
      <c r="Z38" s="1367"/>
    </row>
    <row r="39" spans="1:37" ht="13.5" thickBot="1">
      <c r="A39" s="2837"/>
      <c r="B39" s="2855" t="s">
        <v>2927</v>
      </c>
      <c r="C39" s="227">
        <f ca="1">ROUND(D5*C19*C41*C24*F39,0)</f>
        <v>2709</v>
      </c>
      <c r="D39" s="2839">
        <f>'数据-汇总表'!G21</f>
        <v>4788.67</v>
      </c>
      <c r="E39" s="227">
        <f t="shared" ca="1" si="7"/>
        <v>1297</v>
      </c>
      <c r="F39" s="928">
        <f>SUMIF(修正!A45:A56,G2,修正!H45:H56)</f>
        <v>0.2</v>
      </c>
      <c r="G39" s="227">
        <f ca="1">ROUND(IF(E2="工业",C39*$M$39,C39*$M$38),0)</f>
        <v>677</v>
      </c>
      <c r="H39" s="227">
        <f t="shared" si="8"/>
        <v>4788.67</v>
      </c>
      <c r="I39" s="227">
        <f t="shared" ca="1" si="9"/>
        <v>324</v>
      </c>
      <c r="J39" s="2856"/>
      <c r="K39" s="1366"/>
      <c r="L39" s="2857" t="s">
        <v>2871</v>
      </c>
      <c r="M39" s="2858">
        <v>0.15</v>
      </c>
      <c r="N39" s="1366"/>
      <c r="O39" s="1366"/>
      <c r="P39" s="1366"/>
      <c r="Q39" s="1366"/>
      <c r="R39" s="1366"/>
      <c r="S39" s="1366"/>
      <c r="T39" s="1366"/>
      <c r="U39" s="1366"/>
      <c r="V39" s="1366"/>
      <c r="W39" s="1366"/>
      <c r="X39" s="1366"/>
      <c r="Y39" s="1366"/>
      <c r="Z39" s="1367"/>
    </row>
    <row r="40" spans="1:37" s="1366" customFormat="1">
      <c r="B40" s="2990"/>
      <c r="C40" s="2990"/>
      <c r="D40" s="2990"/>
      <c r="E40" s="2990"/>
      <c r="F40" s="2990"/>
      <c r="Z40" s="1367"/>
      <c r="AA40" s="1367"/>
      <c r="AB40" s="1367"/>
      <c r="AC40" s="1367"/>
      <c r="AD40" s="1367"/>
      <c r="AE40" s="1367"/>
      <c r="AF40" s="1367"/>
      <c r="AG40" s="1367"/>
      <c r="AH40" s="1367"/>
      <c r="AI40" s="1367"/>
      <c r="AJ40" s="1367"/>
    </row>
    <row r="41" spans="1:37" s="1366" customFormat="1" ht="25.5" customHeight="1">
      <c r="A41" s="1367"/>
      <c r="B41" s="2926" t="s">
        <v>3038</v>
      </c>
      <c r="C41" s="386">
        <f ca="1">ROUND(POWER(1+E41,H41-G41)*(POWER(1+E41,G41)-1)/(POWER(1+E41,H41)-1),4)</f>
        <v>0.90810000000000002</v>
      </c>
      <c r="D41" s="198" t="s">
        <v>2878</v>
      </c>
      <c r="E41" s="2925">
        <f ca="1">G20</f>
        <v>5.1999999999999998E-2</v>
      </c>
      <c r="F41" s="198" t="s">
        <v>2887</v>
      </c>
      <c r="G41" s="216">
        <f>项目基本情况!G15</f>
        <v>35.68</v>
      </c>
      <c r="H41" s="198">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2928</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2929</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2930</v>
      </c>
      <c r="B47" s="2951" t="s">
        <v>2931</v>
      </c>
      <c r="C47" s="2951" t="s">
        <v>2932</v>
      </c>
      <c r="D47" s="2951" t="s">
        <v>2933</v>
      </c>
      <c r="E47" s="815" t="s">
        <v>2934</v>
      </c>
      <c r="F47" s="2867" t="s">
        <v>2935</v>
      </c>
      <c r="G47" s="2951" t="s">
        <v>754</v>
      </c>
      <c r="H47" s="2868" t="s">
        <v>2936</v>
      </c>
      <c r="I47" s="2951" t="s">
        <v>2937</v>
      </c>
      <c r="J47" s="601" t="s">
        <v>2586</v>
      </c>
      <c r="K47" s="601" t="s">
        <v>2587</v>
      </c>
      <c r="L47" s="601" t="s">
        <v>2588</v>
      </c>
      <c r="M47" s="601" t="s">
        <v>2589</v>
      </c>
      <c r="N47" s="601" t="s">
        <v>2590</v>
      </c>
      <c r="AA47" s="1367"/>
      <c r="AB47" s="1367"/>
      <c r="AC47" s="1367"/>
      <c r="AD47" s="1367"/>
      <c r="AE47" s="1367"/>
      <c r="AF47" s="1367"/>
      <c r="AG47" s="1367"/>
      <c r="AH47" s="1367"/>
      <c r="AI47" s="1367"/>
      <c r="AJ47" s="1367"/>
      <c r="AK47" s="1367"/>
    </row>
    <row r="48" spans="1:37" s="1366" customFormat="1" ht="24.75">
      <c r="A48" s="2866" t="s">
        <v>2938</v>
      </c>
      <c r="B48" s="2869">
        <f>估价对象房地状况!C4</f>
        <v>0</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6" t="s">
        <v>2939</v>
      </c>
      <c r="B49" s="2870">
        <f>估价对象房地状况!C18</f>
        <v>0</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2940</v>
      </c>
      <c r="B50" s="2870">
        <f>估价对象房地状况!C19</f>
        <v>0</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2941</v>
      </c>
      <c r="B51" s="2871" t="s">
        <v>2942</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2943</v>
      </c>
      <c r="B52" s="2870">
        <f>估价对象房地状况!C24</f>
        <v>0</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2944</v>
      </c>
      <c r="B53" s="2872" t="s">
        <v>2945</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3" t="s">
        <v>2946</v>
      </c>
      <c r="B54" s="1721">
        <f>估价对象房地状况!C21</f>
        <v>0</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3" t="s">
        <v>2947</v>
      </c>
      <c r="B55" s="2870">
        <f>估价对象房地状况!C22</f>
        <v>0</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4" t="s">
        <v>2948</v>
      </c>
      <c r="B56" s="2875">
        <f>估价对象房地状况!C20</f>
        <v>0</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2949</v>
      </c>
      <c r="B57" s="2863">
        <f>1+E59</f>
        <v>1.0435000000000001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2930</v>
      </c>
      <c r="B58" s="2951"/>
      <c r="C58" s="2951" t="s">
        <v>2932</v>
      </c>
      <c r="D58" s="2951" t="s">
        <v>2933</v>
      </c>
      <c r="E58" s="815" t="s">
        <v>2934</v>
      </c>
      <c r="F58" s="2867" t="s">
        <v>2950</v>
      </c>
      <c r="G58" s="2951" t="s">
        <v>754</v>
      </c>
      <c r="H58" s="2868" t="s">
        <v>2936</v>
      </c>
      <c r="I58" s="2951" t="s">
        <v>2937</v>
      </c>
      <c r="J58" s="601" t="s">
        <v>2586</v>
      </c>
      <c r="K58" s="601" t="s">
        <v>2587</v>
      </c>
      <c r="L58" s="601" t="s">
        <v>2588</v>
      </c>
      <c r="M58" s="601" t="s">
        <v>2589</v>
      </c>
      <c r="N58" s="601" t="s">
        <v>2590</v>
      </c>
      <c r="AA58" s="1367"/>
      <c r="AB58" s="1367"/>
      <c r="AC58" s="1367"/>
      <c r="AD58" s="1367"/>
      <c r="AE58" s="1367"/>
      <c r="AF58" s="1367"/>
      <c r="AG58" s="1367"/>
      <c r="AH58" s="1367"/>
      <c r="AI58" s="1367"/>
      <c r="AJ58" s="1367"/>
      <c r="AK58" s="1367"/>
    </row>
    <row r="59" spans="1:37" s="1366" customFormat="1" ht="24">
      <c r="A59" s="2866" t="s">
        <v>2951</v>
      </c>
      <c r="B59" s="2869">
        <f>估价对象房地状况!C17</f>
        <v>0</v>
      </c>
      <c r="C59" s="2766" t="s">
        <v>3181</v>
      </c>
      <c r="D59" s="1282">
        <f t="shared" ref="D59:D67" si="15">SUMIF($J$58:$N$58,C59,J59:N59)</f>
        <v>0</v>
      </c>
      <c r="E59" s="817">
        <f>ROUND(SUM(D59:D67),4)</f>
        <v>4.3499999999999997E-2</v>
      </c>
      <c r="F59" s="2497">
        <f>IF(E2="办公",SUMIF(L1:L12,G2,N1:N12),"——")</f>
        <v>0.13</v>
      </c>
      <c r="G59" s="1280">
        <f>H59</f>
        <v>1.5599999999999999E-2</v>
      </c>
      <c r="H59" s="1284">
        <f t="shared" ref="H59:H67" si="16">IFERROR(ROUNDDOWN($F$59*I59/2,4),"——")</f>
        <v>1.5599999999999999E-2</v>
      </c>
      <c r="I59" s="816">
        <v>0.24</v>
      </c>
      <c r="J59" s="1281">
        <f t="shared" ref="J59:J67" si="17">K59+$G59</f>
        <v>3.1199999999999999E-2</v>
      </c>
      <c r="K59" s="1281">
        <f t="shared" ref="K59:K67" si="18">$L59+$G59</f>
        <v>1.5599999999999999E-2</v>
      </c>
      <c r="L59" s="1281">
        <v>0</v>
      </c>
      <c r="M59" s="1281">
        <f t="shared" ref="M59:N67" si="19">L59-$G59</f>
        <v>-1.5599999999999999E-2</v>
      </c>
      <c r="N59" s="1281">
        <f t="shared" si="19"/>
        <v>-3.1199999999999999E-2</v>
      </c>
      <c r="AA59" s="1367"/>
      <c r="AB59" s="1367"/>
      <c r="AC59" s="1367"/>
      <c r="AD59" s="1367"/>
      <c r="AE59" s="1367"/>
      <c r="AF59" s="1367"/>
      <c r="AG59" s="1367"/>
      <c r="AH59" s="1367"/>
      <c r="AI59" s="1367"/>
      <c r="AJ59" s="1367"/>
      <c r="AK59" s="1367"/>
    </row>
    <row r="60" spans="1:37" s="1366" customFormat="1" ht="14.25">
      <c r="A60" s="2866" t="s">
        <v>2939</v>
      </c>
      <c r="B60" s="2870">
        <f>估价对象房地状况!C18</f>
        <v>0</v>
      </c>
      <c r="C60" s="2766" t="s">
        <v>3180</v>
      </c>
      <c r="D60" s="1282">
        <f t="shared" si="15"/>
        <v>1.95E-2</v>
      </c>
      <c r="E60" s="818"/>
      <c r="F60" s="2497"/>
      <c r="G60" s="1280">
        <f t="shared" ref="G60:G67" si="20">H60</f>
        <v>1.95E-2</v>
      </c>
      <c r="H60" s="1284">
        <f t="shared" si="16"/>
        <v>1.95E-2</v>
      </c>
      <c r="I60" s="816">
        <v>0.3</v>
      </c>
      <c r="J60" s="1281">
        <f t="shared" si="17"/>
        <v>3.9E-2</v>
      </c>
      <c r="K60" s="1281">
        <f t="shared" si="18"/>
        <v>1.95E-2</v>
      </c>
      <c r="L60" s="1281">
        <v>0</v>
      </c>
      <c r="M60" s="1281">
        <f t="shared" si="19"/>
        <v>-1.95E-2</v>
      </c>
      <c r="N60" s="1281">
        <f t="shared" si="19"/>
        <v>-3.9E-2</v>
      </c>
      <c r="AA60" s="1367"/>
      <c r="AB60" s="1367"/>
      <c r="AC60" s="1367"/>
      <c r="AD60" s="1367"/>
      <c r="AE60" s="1367"/>
      <c r="AF60" s="1367"/>
      <c r="AG60" s="1367"/>
      <c r="AH60" s="1367"/>
      <c r="AI60" s="1367"/>
      <c r="AJ60" s="1367"/>
      <c r="AK60" s="1367"/>
    </row>
    <row r="61" spans="1:37" s="1366" customFormat="1" ht="24">
      <c r="A61" s="2866" t="s">
        <v>2940</v>
      </c>
      <c r="B61" s="2870">
        <f>估价对象房地状况!C19</f>
        <v>0</v>
      </c>
      <c r="C61" s="2766" t="s">
        <v>3180</v>
      </c>
      <c r="D61" s="1282">
        <f t="shared" si="15"/>
        <v>5.1999999999999998E-3</v>
      </c>
      <c r="E61" s="818"/>
      <c r="F61" s="2497"/>
      <c r="G61" s="1280">
        <f t="shared" si="20"/>
        <v>5.1999999999999998E-3</v>
      </c>
      <c r="H61" s="1284">
        <f t="shared" si="16"/>
        <v>5.1999999999999998E-3</v>
      </c>
      <c r="I61" s="816">
        <v>0.08</v>
      </c>
      <c r="J61" s="1281">
        <f t="shared" si="17"/>
        <v>1.04E-2</v>
      </c>
      <c r="K61" s="1281">
        <f t="shared" si="18"/>
        <v>5.1999999999999998E-3</v>
      </c>
      <c r="L61" s="1281">
        <v>0</v>
      </c>
      <c r="M61" s="1281">
        <f t="shared" si="19"/>
        <v>-5.1999999999999998E-3</v>
      </c>
      <c r="N61" s="1281">
        <f t="shared" si="19"/>
        <v>-1.04E-2</v>
      </c>
      <c r="AA61" s="1367"/>
      <c r="AB61" s="1367"/>
      <c r="AC61" s="1367"/>
      <c r="AD61" s="1367"/>
      <c r="AE61" s="1367"/>
      <c r="AF61" s="1367"/>
      <c r="AG61" s="1367"/>
      <c r="AH61" s="1367"/>
      <c r="AI61" s="1367"/>
      <c r="AJ61" s="1367"/>
      <c r="AK61" s="1367"/>
    </row>
    <row r="62" spans="1:37" s="1366" customFormat="1" ht="36.75">
      <c r="A62" s="2866" t="s">
        <v>2941</v>
      </c>
      <c r="B62" s="2871" t="s">
        <v>2942</v>
      </c>
      <c r="C62" s="2766" t="s">
        <v>3181</v>
      </c>
      <c r="D62" s="1282">
        <f t="shared" si="15"/>
        <v>0</v>
      </c>
      <c r="E62" s="818"/>
      <c r="F62" s="2497"/>
      <c r="G62" s="1280">
        <f t="shared" si="20"/>
        <v>2.5999999999999999E-3</v>
      </c>
      <c r="H62" s="1284">
        <f t="shared" si="16"/>
        <v>2.5999999999999999E-3</v>
      </c>
      <c r="I62" s="816">
        <v>0.04</v>
      </c>
      <c r="J62" s="1281">
        <f t="shared" si="17"/>
        <v>5.1999999999999998E-3</v>
      </c>
      <c r="K62" s="1281">
        <f t="shared" si="18"/>
        <v>2.5999999999999999E-3</v>
      </c>
      <c r="L62" s="1281">
        <v>0</v>
      </c>
      <c r="M62" s="1281">
        <f t="shared" si="19"/>
        <v>-2.5999999999999999E-3</v>
      </c>
      <c r="N62" s="1281">
        <f t="shared" si="19"/>
        <v>-5.1999999999999998E-3</v>
      </c>
      <c r="AA62" s="1367"/>
      <c r="AB62" s="1367"/>
      <c r="AC62" s="1367"/>
      <c r="AD62" s="1367"/>
      <c r="AE62" s="1367"/>
      <c r="AF62" s="1367"/>
      <c r="AG62" s="1367"/>
      <c r="AH62" s="1367"/>
      <c r="AI62" s="1367"/>
      <c r="AJ62" s="1367"/>
      <c r="AK62" s="1367"/>
    </row>
    <row r="63" spans="1:37" s="1366" customFormat="1" ht="24">
      <c r="A63" s="2866" t="s">
        <v>2943</v>
      </c>
      <c r="B63" s="2870">
        <f>估价对象房地状况!C24</f>
        <v>0</v>
      </c>
      <c r="C63" s="2766" t="s">
        <v>3181</v>
      </c>
      <c r="D63" s="1282">
        <f t="shared" si="15"/>
        <v>0</v>
      </c>
      <c r="E63" s="818"/>
      <c r="F63" s="2497"/>
      <c r="G63" s="1280">
        <f t="shared" si="20"/>
        <v>3.2000000000000002E-3</v>
      </c>
      <c r="H63" s="1284">
        <f t="shared" si="16"/>
        <v>3.2000000000000002E-3</v>
      </c>
      <c r="I63" s="816">
        <v>0.05</v>
      </c>
      <c r="J63" s="1281">
        <f t="shared" si="17"/>
        <v>6.4000000000000003E-3</v>
      </c>
      <c r="K63" s="1281">
        <f t="shared" si="18"/>
        <v>3.2000000000000002E-3</v>
      </c>
      <c r="L63" s="1281">
        <v>0</v>
      </c>
      <c r="M63" s="1281">
        <f t="shared" si="19"/>
        <v>-3.2000000000000002E-3</v>
      </c>
      <c r="N63" s="1281">
        <f t="shared" si="19"/>
        <v>-6.4000000000000003E-3</v>
      </c>
      <c r="AA63" s="1367"/>
      <c r="AB63" s="1367"/>
      <c r="AC63" s="1367"/>
      <c r="AD63" s="1367"/>
      <c r="AE63" s="1367"/>
      <c r="AF63" s="1367"/>
      <c r="AG63" s="1367"/>
      <c r="AH63" s="1367"/>
      <c r="AI63" s="1367"/>
      <c r="AJ63" s="1367"/>
      <c r="AK63" s="1367"/>
    </row>
    <row r="64" spans="1:37" s="1366" customFormat="1" ht="24">
      <c r="A64" s="2866" t="s">
        <v>2944</v>
      </c>
      <c r="B64" s="2872" t="s">
        <v>2945</v>
      </c>
      <c r="C64" s="2766" t="s">
        <v>3180</v>
      </c>
      <c r="D64" s="1282">
        <f t="shared" si="15"/>
        <v>3.2000000000000002E-3</v>
      </c>
      <c r="E64" s="818"/>
      <c r="F64" s="2497"/>
      <c r="G64" s="1280">
        <f t="shared" si="20"/>
        <v>3.2000000000000002E-3</v>
      </c>
      <c r="H64" s="1284">
        <f t="shared" si="16"/>
        <v>3.2000000000000002E-3</v>
      </c>
      <c r="I64" s="816">
        <v>0.05</v>
      </c>
      <c r="J64" s="1281">
        <f t="shared" si="17"/>
        <v>6.4000000000000003E-3</v>
      </c>
      <c r="K64" s="1281">
        <f t="shared" si="18"/>
        <v>3.2000000000000002E-3</v>
      </c>
      <c r="L64" s="1281">
        <v>0</v>
      </c>
      <c r="M64" s="1281">
        <f t="shared" si="19"/>
        <v>-3.2000000000000002E-3</v>
      </c>
      <c r="N64" s="1281">
        <f t="shared" si="19"/>
        <v>-6.4000000000000003E-3</v>
      </c>
      <c r="AA64" s="1367"/>
      <c r="AB64" s="1367"/>
      <c r="AC64" s="1367"/>
      <c r="AD64" s="1367"/>
      <c r="AE64" s="1367"/>
      <c r="AF64" s="1367"/>
      <c r="AG64" s="1367"/>
      <c r="AH64" s="1367"/>
      <c r="AI64" s="1367"/>
      <c r="AJ64" s="1367"/>
      <c r="AK64" s="1367"/>
    </row>
    <row r="65" spans="1:37" s="1366" customFormat="1" ht="24">
      <c r="A65" s="2866" t="s">
        <v>2946</v>
      </c>
      <c r="B65" s="1721">
        <f>估价对象房地状况!C21</f>
        <v>0</v>
      </c>
      <c r="C65" s="2766" t="s">
        <v>3180</v>
      </c>
      <c r="D65" s="1282">
        <f t="shared" si="15"/>
        <v>3.8999999999999998E-3</v>
      </c>
      <c r="E65" s="818"/>
      <c r="F65" s="2497"/>
      <c r="G65" s="1280">
        <f t="shared" si="20"/>
        <v>3.8999999999999998E-3</v>
      </c>
      <c r="H65" s="1284">
        <f t="shared" si="16"/>
        <v>3.8999999999999998E-3</v>
      </c>
      <c r="I65" s="816">
        <v>0.06</v>
      </c>
      <c r="J65" s="1281">
        <f t="shared" si="17"/>
        <v>7.7999999999999996E-3</v>
      </c>
      <c r="K65" s="1281">
        <f t="shared" si="18"/>
        <v>3.8999999999999998E-3</v>
      </c>
      <c r="L65" s="1281">
        <v>0</v>
      </c>
      <c r="M65" s="1281">
        <f t="shared" si="19"/>
        <v>-3.8999999999999998E-3</v>
      </c>
      <c r="N65" s="1281">
        <f t="shared" si="19"/>
        <v>-7.7999999999999996E-3</v>
      </c>
      <c r="AA65" s="1367"/>
      <c r="AB65" s="1367"/>
      <c r="AC65" s="1367"/>
      <c r="AD65" s="1367"/>
      <c r="AE65" s="1367"/>
      <c r="AF65" s="1367"/>
      <c r="AG65" s="1367"/>
      <c r="AH65" s="1367"/>
      <c r="AI65" s="1367"/>
      <c r="AJ65" s="1367"/>
      <c r="AK65" s="1367"/>
    </row>
    <row r="66" spans="1:37" s="1366" customFormat="1" ht="24">
      <c r="A66" s="2866" t="s">
        <v>2947</v>
      </c>
      <c r="B66" s="1721">
        <f>估价对象房地状况!C22</f>
        <v>0</v>
      </c>
      <c r="C66" s="2766" t="s">
        <v>3180</v>
      </c>
      <c r="D66" s="1282">
        <f t="shared" si="15"/>
        <v>7.7999999999999996E-3</v>
      </c>
      <c r="E66" s="818"/>
      <c r="F66" s="2497"/>
      <c r="G66" s="1280">
        <f t="shared" si="20"/>
        <v>7.7999999999999996E-3</v>
      </c>
      <c r="H66" s="1284">
        <f t="shared" si="16"/>
        <v>7.7999999999999996E-3</v>
      </c>
      <c r="I66" s="816">
        <v>0.12</v>
      </c>
      <c r="J66" s="1281">
        <f t="shared" si="17"/>
        <v>1.5599999999999999E-2</v>
      </c>
      <c r="K66" s="1281">
        <f t="shared" si="18"/>
        <v>7.7999999999999996E-3</v>
      </c>
      <c r="L66" s="1281">
        <v>0</v>
      </c>
      <c r="M66" s="1281">
        <f t="shared" si="19"/>
        <v>-7.7999999999999996E-3</v>
      </c>
      <c r="N66" s="1281">
        <f t="shared" si="19"/>
        <v>-1.5599999999999999E-2</v>
      </c>
      <c r="AA66" s="1367"/>
      <c r="AB66" s="1367"/>
      <c r="AC66" s="1367"/>
      <c r="AD66" s="1367"/>
      <c r="AE66" s="1367"/>
      <c r="AF66" s="1367"/>
      <c r="AG66" s="1367"/>
      <c r="AH66" s="1367"/>
      <c r="AI66" s="1367"/>
      <c r="AJ66" s="1367"/>
      <c r="AK66" s="1367"/>
    </row>
    <row r="67" spans="1:37" s="1366" customFormat="1" ht="24.75" thickBot="1">
      <c r="A67" s="2874" t="s">
        <v>2948</v>
      </c>
      <c r="B67" s="2876">
        <f>估价对象房地状况!C20</f>
        <v>0</v>
      </c>
      <c r="C67" s="2766" t="s">
        <v>3180</v>
      </c>
      <c r="D67" s="1282">
        <f t="shared" si="15"/>
        <v>3.8999999999999998E-3</v>
      </c>
      <c r="E67" s="821"/>
      <c r="F67" s="2497"/>
      <c r="G67" s="1280">
        <f t="shared" si="20"/>
        <v>3.8999999999999998E-3</v>
      </c>
      <c r="H67" s="1284">
        <f t="shared" si="16"/>
        <v>3.8999999999999998E-3</v>
      </c>
      <c r="I67" s="820">
        <v>0.06</v>
      </c>
      <c r="J67" s="1281">
        <f t="shared" si="17"/>
        <v>7.7999999999999996E-3</v>
      </c>
      <c r="K67" s="1281">
        <f t="shared" si="18"/>
        <v>3.8999999999999998E-3</v>
      </c>
      <c r="L67" s="1281">
        <v>0</v>
      </c>
      <c r="M67" s="1281">
        <f t="shared" si="19"/>
        <v>-3.8999999999999998E-3</v>
      </c>
      <c r="N67" s="1281">
        <f t="shared" si="19"/>
        <v>-7.7999999999999996E-3</v>
      </c>
      <c r="AA67" s="1367"/>
      <c r="AB67" s="1367"/>
      <c r="AC67" s="1367"/>
      <c r="AD67" s="1367"/>
      <c r="AE67" s="1367"/>
      <c r="AF67" s="1367"/>
      <c r="AG67" s="1367"/>
      <c r="AH67" s="1367"/>
      <c r="AI67" s="1367"/>
      <c r="AJ67" s="1367"/>
      <c r="AK67" s="1367"/>
    </row>
    <row r="68" spans="1:37" s="1366" customFormat="1" ht="15">
      <c r="A68" s="2862" t="s">
        <v>2952</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2930</v>
      </c>
      <c r="B69" s="2951"/>
      <c r="C69" s="2951" t="s">
        <v>2932</v>
      </c>
      <c r="D69" s="2951" t="s">
        <v>2933</v>
      </c>
      <c r="E69" s="815" t="s">
        <v>2934</v>
      </c>
      <c r="F69" s="2867" t="s">
        <v>2950</v>
      </c>
      <c r="G69" s="2951" t="s">
        <v>754</v>
      </c>
      <c r="H69" s="2868" t="s">
        <v>2936</v>
      </c>
      <c r="I69" s="2951" t="s">
        <v>2937</v>
      </c>
      <c r="J69" s="601" t="s">
        <v>2586</v>
      </c>
      <c r="K69" s="601" t="s">
        <v>2587</v>
      </c>
      <c r="L69" s="601" t="s">
        <v>2588</v>
      </c>
      <c r="M69" s="601" t="s">
        <v>2589</v>
      </c>
      <c r="N69" s="601" t="s">
        <v>2590</v>
      </c>
      <c r="AA69" s="1367"/>
      <c r="AB69" s="1367"/>
      <c r="AC69" s="1367"/>
      <c r="AD69" s="1367"/>
      <c r="AE69" s="1367"/>
      <c r="AF69" s="1367"/>
      <c r="AG69" s="1367"/>
      <c r="AH69" s="1367"/>
      <c r="AI69" s="1367"/>
      <c r="AJ69" s="1367"/>
      <c r="AK69" s="1367"/>
    </row>
    <row r="70" spans="1:37" s="1366" customFormat="1" ht="24">
      <c r="A70" s="2866" t="s">
        <v>2953</v>
      </c>
      <c r="B70" s="2869">
        <f>估价对象房地状况!C15</f>
        <v>0</v>
      </c>
      <c r="C70" s="2766"/>
      <c r="D70" s="1282">
        <f t="shared" ref="D70:D78" si="21">SUMIF($J$69:$N$69,C70,J70:N70)</f>
        <v>0</v>
      </c>
      <c r="E70" s="817">
        <f>ROUND(SUM(D70:D78),4)</f>
        <v>0</v>
      </c>
      <c r="F70" s="2497"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14.25">
      <c r="A71" s="2866" t="s">
        <v>2939</v>
      </c>
      <c r="B71" s="2870">
        <f>估价对象房地状况!C18</f>
        <v>0</v>
      </c>
      <c r="C71" s="2766"/>
      <c r="D71" s="1282">
        <f t="shared" si="21"/>
        <v>0</v>
      </c>
      <c r="E71" s="822"/>
      <c r="F71" s="2497"/>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66" t="s">
        <v>2940</v>
      </c>
      <c r="B72" s="2870">
        <f>估价对象房地状况!C19</f>
        <v>0</v>
      </c>
      <c r="C72" s="2766"/>
      <c r="D72" s="1282">
        <f t="shared" si="21"/>
        <v>0</v>
      </c>
      <c r="E72" s="822"/>
      <c r="F72" s="2497"/>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66" t="s">
        <v>2954</v>
      </c>
      <c r="B73" s="2870">
        <f>估价对象房地状况!C24</f>
        <v>0</v>
      </c>
      <c r="C73" s="2766"/>
      <c r="D73" s="1282">
        <f t="shared" si="21"/>
        <v>0</v>
      </c>
      <c r="E73" s="822"/>
      <c r="F73" s="2497"/>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4">
      <c r="A74" s="2866" t="s">
        <v>2946</v>
      </c>
      <c r="B74" s="1721">
        <f>估价对象房地状况!C21</f>
        <v>0</v>
      </c>
      <c r="C74" s="2766"/>
      <c r="D74" s="1282">
        <f t="shared" si="21"/>
        <v>0</v>
      </c>
      <c r="E74" s="822"/>
      <c r="F74" s="2497"/>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4">
      <c r="A75" s="2866" t="s">
        <v>2947</v>
      </c>
      <c r="B75" s="1721">
        <f>估价对象房地状况!C22</f>
        <v>0</v>
      </c>
      <c r="C75" s="2766"/>
      <c r="D75" s="1282">
        <f t="shared" si="21"/>
        <v>0</v>
      </c>
      <c r="E75" s="822"/>
      <c r="F75" s="2497"/>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5" customFormat="1" ht="24">
      <c r="A76" s="2866" t="s">
        <v>2944</v>
      </c>
      <c r="B76" s="2872" t="s">
        <v>2945</v>
      </c>
      <c r="C76" s="2766"/>
      <c r="D76" s="1282">
        <f t="shared" si="21"/>
        <v>0</v>
      </c>
      <c r="E76" s="822"/>
      <c r="F76" s="2497"/>
      <c r="G76" s="1280"/>
      <c r="H76" s="1284" t="str">
        <f t="shared" si="22"/>
        <v>——</v>
      </c>
      <c r="I76" s="816">
        <v>0.05</v>
      </c>
      <c r="J76" s="1281">
        <f t="shared" si="23"/>
        <v>0</v>
      </c>
      <c r="K76" s="1281">
        <f t="shared" si="24"/>
        <v>0</v>
      </c>
      <c r="L76" s="1281">
        <v>0</v>
      </c>
      <c r="M76" s="1281">
        <f t="shared" si="25"/>
        <v>0</v>
      </c>
      <c r="N76" s="1281">
        <f t="shared" si="25"/>
        <v>0</v>
      </c>
      <c r="AA76" s="2877"/>
      <c r="AB76" s="1367"/>
      <c r="AC76" s="1367"/>
      <c r="AD76" s="1367"/>
      <c r="AE76" s="1367"/>
      <c r="AF76" s="1367"/>
      <c r="AG76" s="1367"/>
      <c r="AH76" s="2877"/>
      <c r="AI76" s="2877"/>
      <c r="AJ76" s="2877"/>
      <c r="AK76" s="2877"/>
    </row>
    <row r="77" spans="1:37" ht="24">
      <c r="A77" s="2866" t="s">
        <v>2948</v>
      </c>
      <c r="B77" s="2869">
        <f>估价对象房地状况!C20</f>
        <v>0</v>
      </c>
      <c r="C77" s="2766"/>
      <c r="D77" s="1282">
        <f t="shared" si="21"/>
        <v>0</v>
      </c>
      <c r="E77" s="822"/>
      <c r="F77" s="2497"/>
      <c r="G77" s="1280"/>
      <c r="H77" s="1284" t="str">
        <f t="shared" si="22"/>
        <v>——</v>
      </c>
      <c r="I77" s="816">
        <v>0.15</v>
      </c>
      <c r="J77" s="1281">
        <f t="shared" si="23"/>
        <v>0</v>
      </c>
      <c r="K77" s="1281">
        <f t="shared" si="24"/>
        <v>0</v>
      </c>
      <c r="L77" s="1281">
        <v>0</v>
      </c>
      <c r="M77" s="1281">
        <f t="shared" si="25"/>
        <v>0</v>
      </c>
      <c r="N77" s="1281">
        <f t="shared" si="25"/>
        <v>0</v>
      </c>
      <c r="Z77" s="2716"/>
      <c r="AA77" s="2784"/>
      <c r="AG77" s="1368"/>
      <c r="AK77" s="2784"/>
    </row>
    <row r="78" spans="1:37" ht="24.75" thickBot="1">
      <c r="A78" s="2874" t="s">
        <v>2955</v>
      </c>
      <c r="B78" s="2878"/>
      <c r="C78" s="2766"/>
      <c r="D78" s="1282">
        <f t="shared" si="21"/>
        <v>0</v>
      </c>
      <c r="E78" s="823"/>
      <c r="F78" s="2497"/>
      <c r="G78" s="1280"/>
      <c r="H78" s="1284" t="str">
        <f t="shared" si="22"/>
        <v>——</v>
      </c>
      <c r="I78" s="820">
        <v>0.04</v>
      </c>
      <c r="J78" s="1281">
        <f t="shared" si="23"/>
        <v>0</v>
      </c>
      <c r="K78" s="1281">
        <f t="shared" si="24"/>
        <v>0</v>
      </c>
      <c r="L78" s="1281">
        <v>0</v>
      </c>
      <c r="M78" s="1281">
        <f t="shared" si="25"/>
        <v>0</v>
      </c>
      <c r="N78" s="1281">
        <f t="shared" si="25"/>
        <v>0</v>
      </c>
      <c r="Z78" s="2716"/>
      <c r="AA78" s="2784"/>
      <c r="AG78" s="1368"/>
      <c r="AK78" s="2784"/>
    </row>
    <row r="79" spans="1:37" ht="15">
      <c r="A79" s="2862" t="s">
        <v>2956</v>
      </c>
      <c r="B79" s="2863">
        <f>1+E81</f>
        <v>1</v>
      </c>
      <c r="C79" s="810"/>
      <c r="D79" s="810"/>
      <c r="E79" s="811"/>
      <c r="F79" s="2865"/>
      <c r="G79" s="6"/>
      <c r="H79" s="6"/>
      <c r="I79" s="6"/>
      <c r="J79" s="7"/>
      <c r="K79" s="7"/>
      <c r="L79" s="7"/>
      <c r="M79" s="7"/>
      <c r="N79" s="7"/>
      <c r="Z79" s="2716"/>
      <c r="AA79" s="2784"/>
      <c r="AG79" s="1368"/>
      <c r="AK79" s="2784"/>
    </row>
    <row r="80" spans="1:37" ht="24.75">
      <c r="A80" s="2866" t="s">
        <v>2930</v>
      </c>
      <c r="B80" s="2951"/>
      <c r="C80" s="2951" t="s">
        <v>2932</v>
      </c>
      <c r="D80" s="2951" t="s">
        <v>2933</v>
      </c>
      <c r="E80" s="815" t="s">
        <v>2934</v>
      </c>
      <c r="F80" s="2867" t="s">
        <v>2950</v>
      </c>
      <c r="G80" s="2951" t="s">
        <v>754</v>
      </c>
      <c r="H80" s="2868" t="s">
        <v>2936</v>
      </c>
      <c r="I80" s="2951" t="s">
        <v>2937</v>
      </c>
      <c r="J80" s="601" t="s">
        <v>2586</v>
      </c>
      <c r="K80" s="601" t="s">
        <v>2587</v>
      </c>
      <c r="L80" s="601" t="s">
        <v>2588</v>
      </c>
      <c r="M80" s="601" t="s">
        <v>2589</v>
      </c>
      <c r="N80" s="601" t="s">
        <v>2590</v>
      </c>
      <c r="Z80" s="2716"/>
      <c r="AA80" s="2784"/>
      <c r="AG80" s="1368"/>
      <c r="AK80" s="2784"/>
    </row>
    <row r="81" spans="1:37" ht="24">
      <c r="A81" s="2866" t="s">
        <v>2957</v>
      </c>
      <c r="B81" s="2870">
        <f>估价对象房地状况!G15</f>
        <v>0</v>
      </c>
      <c r="C81" s="2766"/>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6"/>
      <c r="AA81" s="2784"/>
      <c r="AG81" s="1368"/>
      <c r="AK81" s="2784"/>
    </row>
    <row r="82" spans="1:37" ht="14.25">
      <c r="A82" s="2866" t="s">
        <v>2939</v>
      </c>
      <c r="B82" s="2870">
        <f>估价对象房地状况!G16</f>
        <v>0</v>
      </c>
      <c r="C82" s="2766"/>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6"/>
      <c r="AA82" s="2784"/>
      <c r="AG82" s="1368"/>
      <c r="AK82" s="2784"/>
    </row>
    <row r="83" spans="1:37" ht="24">
      <c r="A83" s="2866" t="s">
        <v>2940</v>
      </c>
      <c r="B83" s="2870">
        <f>估价对象房地状况!G17</f>
        <v>0</v>
      </c>
      <c r="C83" s="2766"/>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6"/>
      <c r="AA83" s="2784"/>
      <c r="AG83" s="1368"/>
      <c r="AK83" s="2784"/>
    </row>
    <row r="84" spans="1:37" ht="14.25">
      <c r="A84" s="2866" t="s">
        <v>2954</v>
      </c>
      <c r="B84" s="2870">
        <f>估价对象房地状况!G22</f>
        <v>0</v>
      </c>
      <c r="C84" s="2766"/>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6"/>
      <c r="AA84" s="2784"/>
      <c r="AG84" s="1368"/>
      <c r="AK84" s="2784"/>
    </row>
    <row r="85" spans="1:37" ht="24">
      <c r="A85" s="2866" t="s">
        <v>2946</v>
      </c>
      <c r="B85" s="1721">
        <f>估价对象房地状况!G19</f>
        <v>0</v>
      </c>
      <c r="C85" s="2766"/>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6"/>
      <c r="AA85" s="2784"/>
      <c r="AG85" s="1368"/>
      <c r="AK85" s="2784"/>
    </row>
    <row r="86" spans="1:37" ht="24">
      <c r="A86" s="2866" t="s">
        <v>2947</v>
      </c>
      <c r="B86" s="1721">
        <f>估价对象房地状况!G20</f>
        <v>0</v>
      </c>
      <c r="C86" s="2766"/>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6"/>
      <c r="AA86" s="2784"/>
      <c r="AG86" s="1368"/>
      <c r="AK86" s="2784"/>
    </row>
    <row r="87" spans="1:37" ht="24">
      <c r="A87" s="2866" t="s">
        <v>2944</v>
      </c>
      <c r="B87" s="2872" t="s">
        <v>2958</v>
      </c>
      <c r="C87" s="2766"/>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6"/>
      <c r="AA87" s="2784"/>
      <c r="AG87" s="1368"/>
      <c r="AK87" s="2784"/>
    </row>
    <row r="88" spans="1:37" ht="15" thickBot="1">
      <c r="A88" s="2874" t="s">
        <v>2959</v>
      </c>
      <c r="B88" s="2879">
        <f>估价对象房地状况!G18</f>
        <v>0</v>
      </c>
      <c r="C88" s="2766"/>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6"/>
      <c r="AA88" s="2784"/>
      <c r="AG88" s="1368"/>
      <c r="AK88" s="2784"/>
    </row>
    <row r="90" spans="1:37">
      <c r="A90" s="3240" t="s">
        <v>2960</v>
      </c>
      <c r="B90" s="3240"/>
      <c r="C90" s="3240"/>
      <c r="D90" s="3240"/>
      <c r="E90" s="3240"/>
      <c r="F90" s="3240"/>
      <c r="G90" s="3240"/>
      <c r="H90" s="3240"/>
      <c r="I90" s="3240"/>
      <c r="J90" s="3240"/>
      <c r="K90" s="2960"/>
      <c r="L90" s="2960"/>
      <c r="M90" s="2960"/>
      <c r="N90" s="2960"/>
    </row>
    <row r="91" spans="1:37">
      <c r="A91" s="3242" t="s">
        <v>2961</v>
      </c>
      <c r="B91" s="3242" t="s">
        <v>2962</v>
      </c>
      <c r="C91" s="2834" t="s">
        <v>2963</v>
      </c>
      <c r="D91" s="2835"/>
      <c r="E91" s="2835"/>
      <c r="F91" s="2835"/>
      <c r="G91" s="2835"/>
      <c r="H91" s="2835"/>
      <c r="I91" s="2835"/>
      <c r="J91" s="2881"/>
      <c r="K91" s="2882"/>
      <c r="L91" s="2882"/>
      <c r="M91" s="2882"/>
      <c r="N91" s="2882"/>
    </row>
    <row r="92" spans="1:37">
      <c r="A92" s="3242"/>
      <c r="B92" s="3242"/>
      <c r="C92" s="2962" t="s">
        <v>2830</v>
      </c>
      <c r="D92" s="2962" t="s">
        <v>2831</v>
      </c>
      <c r="E92" s="2962" t="s">
        <v>2832</v>
      </c>
      <c r="F92" s="2962" t="s">
        <v>2833</v>
      </c>
      <c r="G92" s="2962" t="s">
        <v>2834</v>
      </c>
      <c r="H92" s="2962" t="s">
        <v>2835</v>
      </c>
      <c r="I92" s="2962" t="s">
        <v>2836</v>
      </c>
      <c r="J92" s="2962" t="s">
        <v>2837</v>
      </c>
      <c r="K92" s="2962" t="s">
        <v>2838</v>
      </c>
      <c r="L92" s="2962" t="s">
        <v>2839</v>
      </c>
      <c r="M92" s="2962" t="s">
        <v>2840</v>
      </c>
      <c r="N92" s="2962" t="s">
        <v>2841</v>
      </c>
    </row>
    <row r="93" spans="1:37">
      <c r="A93" s="3243"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4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4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4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4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4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44"/>
      <c r="B99" s="2883" t="s">
        <v>2846</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45"/>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43" t="s">
        <v>2965</v>
      </c>
      <c r="B101" s="2887" t="s">
        <v>2966</v>
      </c>
      <c r="C101" s="2888">
        <f>$G$3</f>
        <v>1.9</v>
      </c>
      <c r="D101" s="2888">
        <f t="shared" ref="D101:N101" si="32">$G$3</f>
        <v>1.9</v>
      </c>
      <c r="E101" s="2888">
        <f t="shared" si="32"/>
        <v>1.9</v>
      </c>
      <c r="F101" s="2888">
        <f t="shared" si="32"/>
        <v>1.9</v>
      </c>
      <c r="G101" s="2888">
        <f t="shared" si="32"/>
        <v>1.9</v>
      </c>
      <c r="H101" s="2888">
        <f t="shared" si="32"/>
        <v>1.9</v>
      </c>
      <c r="I101" s="2888">
        <f t="shared" si="32"/>
        <v>1.9</v>
      </c>
      <c r="J101" s="2888">
        <f t="shared" si="32"/>
        <v>1.9</v>
      </c>
      <c r="K101" s="2888">
        <f t="shared" si="32"/>
        <v>1.9</v>
      </c>
      <c r="L101" s="2888">
        <f t="shared" si="32"/>
        <v>1.9</v>
      </c>
      <c r="M101" s="2888">
        <f t="shared" si="32"/>
        <v>1.9</v>
      </c>
      <c r="N101" s="2888">
        <f t="shared" si="32"/>
        <v>1.9</v>
      </c>
    </row>
    <row r="102" spans="1:14">
      <c r="A102" s="3244"/>
      <c r="B102" s="2883">
        <v>1</v>
      </c>
      <c r="C102" s="2884">
        <f>1.9362/C101</f>
        <v>1.0190526315789474</v>
      </c>
      <c r="D102" s="2884">
        <f>1.9362/D101</f>
        <v>1.0190526315789474</v>
      </c>
      <c r="E102" s="2884">
        <f>1.8629/E101</f>
        <v>0.98047368421052639</v>
      </c>
      <c r="F102" s="2884">
        <f>1.8629/F101</f>
        <v>0.98047368421052639</v>
      </c>
      <c r="G102" s="2884">
        <f>1.8629/G101</f>
        <v>0.98047368421052639</v>
      </c>
      <c r="H102" s="2884">
        <f>1.8629/H101</f>
        <v>0.98047368421052639</v>
      </c>
      <c r="I102" s="2884">
        <f>1.8629/I101</f>
        <v>0.98047368421052639</v>
      </c>
      <c r="J102" s="2884">
        <f>1.942/J101</f>
        <v>1.0221052631578948</v>
      </c>
      <c r="K102" s="2884">
        <f>1.942/K101</f>
        <v>1.0221052631578948</v>
      </c>
      <c r="L102" s="2884">
        <f>1.942/L101</f>
        <v>1.0221052631578948</v>
      </c>
      <c r="M102" s="2884">
        <f>1.942/M101</f>
        <v>1.0221052631578948</v>
      </c>
      <c r="N102" s="2884">
        <f>1.942/N101</f>
        <v>1.0221052631578948</v>
      </c>
    </row>
    <row r="103" spans="1:14">
      <c r="A103" s="3244"/>
      <c r="B103" s="2883">
        <v>2</v>
      </c>
      <c r="C103" s="2884">
        <f>1.4198/C101</f>
        <v>0.74726315789473685</v>
      </c>
      <c r="D103" s="2884">
        <f>1.4198/D101</f>
        <v>0.74726315789473685</v>
      </c>
      <c r="E103" s="2884">
        <f>1.3372/E101</f>
        <v>0.70378947368421052</v>
      </c>
      <c r="F103" s="2884">
        <f>1.3372/F101</f>
        <v>0.70378947368421052</v>
      </c>
      <c r="G103" s="2884">
        <f>1.3372/G101</f>
        <v>0.70378947368421052</v>
      </c>
      <c r="H103" s="2884">
        <f>1.3372/H101</f>
        <v>0.70378947368421052</v>
      </c>
      <c r="I103" s="2884">
        <f>1.3372/I101</f>
        <v>0.70378947368421052</v>
      </c>
      <c r="J103" s="2884">
        <f>1.2799/J101</f>
        <v>0.67363157894736847</v>
      </c>
      <c r="K103" s="2884">
        <f>1.2799/K101</f>
        <v>0.67363157894736847</v>
      </c>
      <c r="L103" s="2884">
        <f>1.2799/L101</f>
        <v>0.67363157894736847</v>
      </c>
      <c r="M103" s="2884">
        <f>1.2799/M101</f>
        <v>0.67363157894736847</v>
      </c>
      <c r="N103" s="2884">
        <f>1.2799/N101</f>
        <v>0.67363157894736847</v>
      </c>
    </row>
    <row r="104" spans="1:14">
      <c r="A104" s="3244"/>
      <c r="B104" s="2883">
        <v>3</v>
      </c>
      <c r="C104" s="2884">
        <f>1.1594/C101</f>
        <v>0.61021052631578954</v>
      </c>
      <c r="D104" s="2884">
        <f>1.1594/D101</f>
        <v>0.61021052631578954</v>
      </c>
      <c r="E104" s="2884">
        <f>1.0788/E101</f>
        <v>0.56778947368421051</v>
      </c>
      <c r="F104" s="2884">
        <f>1.0788/F101</f>
        <v>0.56778947368421051</v>
      </c>
      <c r="G104" s="2884">
        <f>1.0788/G101</f>
        <v>0.56778947368421051</v>
      </c>
      <c r="H104" s="2884">
        <f>1.0788/H101</f>
        <v>0.56778947368421051</v>
      </c>
      <c r="I104" s="2884">
        <f>1.0788/I101</f>
        <v>0.56778947368421051</v>
      </c>
      <c r="J104" s="2884">
        <f>1.0072/J101</f>
        <v>0.53010526315789486</v>
      </c>
      <c r="K104" s="2884">
        <f>1.0072/K101</f>
        <v>0.53010526315789486</v>
      </c>
      <c r="L104" s="2884">
        <f>1.0072/L101</f>
        <v>0.53010526315789486</v>
      </c>
      <c r="M104" s="2884">
        <f>1.0072/M101</f>
        <v>0.53010526315789486</v>
      </c>
      <c r="N104" s="2884">
        <f>1.0072/N101</f>
        <v>0.53010526315789486</v>
      </c>
    </row>
    <row r="105" spans="1:14">
      <c r="A105" s="3244"/>
      <c r="B105" s="2883">
        <v>4</v>
      </c>
      <c r="C105" s="2884">
        <f>0.9622/C101</f>
        <v>0.50642105263157899</v>
      </c>
      <c r="D105" s="2884">
        <f>0.9622/D101</f>
        <v>0.50642105263157899</v>
      </c>
      <c r="E105" s="2884">
        <f>0.8656/E101</f>
        <v>0.45557894736842108</v>
      </c>
      <c r="F105" s="2884">
        <f>0.8656/F101</f>
        <v>0.45557894736842108</v>
      </c>
      <c r="G105" s="2884">
        <f>0.8656/G101</f>
        <v>0.45557894736842108</v>
      </c>
      <c r="H105" s="2884">
        <f>0.8656/H101</f>
        <v>0.45557894736842108</v>
      </c>
      <c r="I105" s="2884">
        <f>0.8656/I101</f>
        <v>0.45557894736842108</v>
      </c>
      <c r="J105" s="2884">
        <f>0.7525/J101</f>
        <v>0.39605263157894738</v>
      </c>
      <c r="K105" s="2884">
        <f>0.7525/K101</f>
        <v>0.39605263157894738</v>
      </c>
      <c r="L105" s="2884">
        <f>0.7525/L101</f>
        <v>0.39605263157894738</v>
      </c>
      <c r="M105" s="2884">
        <f>0.7525/M101</f>
        <v>0.39605263157894738</v>
      </c>
      <c r="N105" s="2884">
        <f>0.7525/N101</f>
        <v>0.39605263157894738</v>
      </c>
    </row>
    <row r="106" spans="1:14">
      <c r="A106" s="3244"/>
      <c r="B106" s="2883">
        <v>5</v>
      </c>
      <c r="C106" s="2884">
        <f>0.8417/C101</f>
        <v>0.443</v>
      </c>
      <c r="D106" s="2884">
        <f>0.8417/D101</f>
        <v>0.443</v>
      </c>
      <c r="E106" s="2884">
        <f>0.7371/E101</f>
        <v>0.38794736842105265</v>
      </c>
      <c r="F106" s="2884">
        <f>0.7371/F101</f>
        <v>0.38794736842105265</v>
      </c>
      <c r="G106" s="2884">
        <f>0.7371/G101</f>
        <v>0.38794736842105265</v>
      </c>
      <c r="H106" s="2884">
        <f>0.7371/H101</f>
        <v>0.38794736842105265</v>
      </c>
      <c r="I106" s="2884">
        <f>0.7371/I101</f>
        <v>0.38794736842105265</v>
      </c>
      <c r="J106" s="2884">
        <f>0.5659/J101</f>
        <v>0.29784210526315791</v>
      </c>
      <c r="K106" s="2884">
        <f>0.5659/K101</f>
        <v>0.29784210526315791</v>
      </c>
      <c r="L106" s="2884">
        <f>0.5659/L101</f>
        <v>0.29784210526315791</v>
      </c>
      <c r="M106" s="2884">
        <f>0.5659/M101</f>
        <v>0.29784210526315791</v>
      </c>
      <c r="N106" s="2884">
        <f>0.5659/N101</f>
        <v>0.29784210526315791</v>
      </c>
    </row>
    <row r="107" spans="1:14">
      <c r="A107" s="3244"/>
      <c r="B107" s="2883">
        <v>6</v>
      </c>
      <c r="C107" s="2884">
        <f>0.7608/C101</f>
        <v>0.40042105263157896</v>
      </c>
      <c r="D107" s="2884">
        <f>0.7608/D101</f>
        <v>0.40042105263157896</v>
      </c>
      <c r="E107" s="2884">
        <f>0.6482/E101</f>
        <v>0.3411578947368421</v>
      </c>
      <c r="F107" s="2884">
        <f>0.6482/F101</f>
        <v>0.3411578947368421</v>
      </c>
      <c r="G107" s="2884">
        <f>0.6482/G101</f>
        <v>0.3411578947368421</v>
      </c>
      <c r="H107" s="2884">
        <f>0.6482/H101</f>
        <v>0.3411578947368421</v>
      </c>
      <c r="I107" s="2884">
        <f>0.6482/I101</f>
        <v>0.3411578947368421</v>
      </c>
      <c r="J107" s="2884">
        <f>0.4525/J101</f>
        <v>0.23815789473684212</v>
      </c>
      <c r="K107" s="2884">
        <f>0.4525/K101</f>
        <v>0.23815789473684212</v>
      </c>
      <c r="L107" s="2884">
        <f>0.4525/L101</f>
        <v>0.23815789473684212</v>
      </c>
      <c r="M107" s="2884">
        <f>0.4525/M101</f>
        <v>0.23815789473684212</v>
      </c>
      <c r="N107" s="2884">
        <f>0.4525/N101</f>
        <v>0.23815789473684212</v>
      </c>
    </row>
    <row r="108" spans="1:14">
      <c r="A108" s="3244"/>
      <c r="B108" s="3198" t="s">
        <v>2967</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45"/>
      <c r="B109" s="3199"/>
      <c r="C109" s="2886">
        <f>(-0.163*(C108^2)-0.59*C108+7617)*(10^(-4))/C101</f>
        <v>0.40085510526315793</v>
      </c>
      <c r="D109" s="2886">
        <f>(-0.163*(D108^2)-0.59*D108+7617)*(10^(-4))/D101</f>
        <v>0.40085510526315793</v>
      </c>
      <c r="E109" s="2886">
        <f>(-0.161*(E108^2)-7.509*E108+6533)*(10^(-4))/E101</f>
        <v>0.34343842105263162</v>
      </c>
      <c r="F109" s="2886">
        <f>(-0.161*(F108^2)-7.509*F108+6533)*(10^(-4))/F101</f>
        <v>0.34343842105263162</v>
      </c>
      <c r="G109" s="2886">
        <f>(-0.161*(G108^2)-7.509*G108+6533)*(10^(-4))/G101</f>
        <v>0.34343842105263162</v>
      </c>
      <c r="H109" s="2886">
        <f>(-0.161*(H108^2)-7.509*H108+6533)*(10^(-4))/H101</f>
        <v>0.34343842105263162</v>
      </c>
      <c r="I109" s="2886">
        <f>(-0.161*(I108^2)-7.509*I108+6533)*(10^(-4))/I101</f>
        <v>0.34343842105263162</v>
      </c>
      <c r="J109" s="2886">
        <f>(-0.214*(J108^2)-21.991*J108+4665)*(10^(-4))/J101</f>
        <v>0.24435763157894738</v>
      </c>
      <c r="K109" s="2886">
        <f>(-0.214*(K108^2)-21.991*K108+4665)*(10^(-4))/K101</f>
        <v>0.24435763157894738</v>
      </c>
      <c r="L109" s="2886">
        <f>(-0.214*(L108^2)-21.991*L108+4665)*(10^(-4))/L101</f>
        <v>0.24435763157894738</v>
      </c>
      <c r="M109" s="2886">
        <f>(-0.214*(M108^2)-21.991*M108+4665)*(10^(-4))/M101</f>
        <v>0.24435763157894738</v>
      </c>
      <c r="N109" s="2886">
        <f>(-0.214*(N108^2)-21.991*N108+4665)*(10^(-4))/N101</f>
        <v>0.24435763157894738</v>
      </c>
    </row>
    <row r="110" spans="1:14">
      <c r="A110" s="3241" t="s">
        <v>2968</v>
      </c>
      <c r="B110" s="3241"/>
      <c r="C110" s="3241"/>
      <c r="D110" s="3241"/>
      <c r="E110" s="3241"/>
      <c r="F110" s="3241"/>
      <c r="G110" s="3241"/>
      <c r="H110" s="3241"/>
      <c r="I110" s="3241"/>
      <c r="J110" s="3241"/>
      <c r="K110" s="2961"/>
      <c r="L110" s="2961"/>
      <c r="M110" s="2961"/>
      <c r="N110" s="2961"/>
    </row>
    <row r="112" spans="1:14" ht="13.5" thickBot="1"/>
    <row r="113" spans="1:13" ht="25.5" thickBot="1">
      <c r="A113" s="899" t="s">
        <v>2969</v>
      </c>
      <c r="B113" s="1283">
        <f>G3</f>
        <v>1.9</v>
      </c>
      <c r="C113" s="900" t="s">
        <v>2970</v>
      </c>
      <c r="D113" s="901">
        <f>SUMPRODUCT((A115:A118=F113)*(B114:M114=H113)*B115:M118)</f>
        <v>0.83199999999999996</v>
      </c>
      <c r="E113" s="2720" t="s">
        <v>2803</v>
      </c>
      <c r="F113" s="2891" t="str">
        <f>E2</f>
        <v>办公</v>
      </c>
      <c r="G113" s="2720" t="s">
        <v>2804</v>
      </c>
      <c r="H113" s="2891" t="str">
        <f>G2</f>
        <v>六级</v>
      </c>
      <c r="I113" s="2720"/>
      <c r="J113" s="2892"/>
      <c r="K113" s="2892"/>
      <c r="L113" s="2892"/>
      <c r="M113" s="2892"/>
    </row>
    <row r="114" spans="1:13">
      <c r="A114" s="904"/>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5" t="s">
        <v>2868</v>
      </c>
      <c r="B115" s="906">
        <f>ROUND(0.9335-0.0094*B113,4)</f>
        <v>0.91559999999999997</v>
      </c>
      <c r="C115" s="906">
        <f>B115</f>
        <v>0.91559999999999997</v>
      </c>
      <c r="D115" s="906">
        <f>ROUND(0.8331-0.0109*B113,4)</f>
        <v>0.81240000000000001</v>
      </c>
      <c r="E115" s="906">
        <f>D115</f>
        <v>0.81240000000000001</v>
      </c>
      <c r="F115" s="906">
        <f>E115</f>
        <v>0.81240000000000001</v>
      </c>
      <c r="G115" s="906">
        <f>F115</f>
        <v>0.81240000000000001</v>
      </c>
      <c r="H115" s="906">
        <f>G115</f>
        <v>0.81240000000000001</v>
      </c>
      <c r="I115" s="906">
        <f>ROUND(0.689-0.0155*B113,4)</f>
        <v>0.65959999999999996</v>
      </c>
      <c r="J115" s="906">
        <f t="shared" ref="J115:M118" si="34">I115</f>
        <v>0.65959999999999996</v>
      </c>
      <c r="K115" s="906">
        <f t="shared" si="34"/>
        <v>0.65959999999999996</v>
      </c>
      <c r="L115" s="906">
        <f t="shared" si="34"/>
        <v>0.65959999999999996</v>
      </c>
      <c r="M115" s="907">
        <f t="shared" si="34"/>
        <v>0.65959999999999996</v>
      </c>
    </row>
    <row r="116" spans="1:13">
      <c r="A116" s="905" t="s">
        <v>2869</v>
      </c>
      <c r="B116" s="906">
        <f>ROUND(0.949-0.012*B113,4)</f>
        <v>0.92620000000000002</v>
      </c>
      <c r="C116" s="906">
        <f>B116</f>
        <v>0.92620000000000002</v>
      </c>
      <c r="D116" s="906">
        <f>ROUND(0.8567-0.013*B113,4)</f>
        <v>0.83199999999999996</v>
      </c>
      <c r="E116" s="906">
        <f t="shared" ref="E116:H117" si="35">D116</f>
        <v>0.83199999999999996</v>
      </c>
      <c r="F116" s="906">
        <f t="shared" si="35"/>
        <v>0.83199999999999996</v>
      </c>
      <c r="G116" s="906">
        <f t="shared" si="35"/>
        <v>0.83199999999999996</v>
      </c>
      <c r="H116" s="906">
        <f t="shared" si="35"/>
        <v>0.83199999999999996</v>
      </c>
      <c r="I116" s="906">
        <f>ROUND(0.7694-0.014*B113,4)</f>
        <v>0.74280000000000002</v>
      </c>
      <c r="J116" s="906">
        <f t="shared" si="34"/>
        <v>0.74280000000000002</v>
      </c>
      <c r="K116" s="906">
        <f t="shared" si="34"/>
        <v>0.74280000000000002</v>
      </c>
      <c r="L116" s="906">
        <f t="shared" si="34"/>
        <v>0.74280000000000002</v>
      </c>
      <c r="M116" s="907">
        <f t="shared" si="34"/>
        <v>0.74280000000000002</v>
      </c>
    </row>
    <row r="117" spans="1:13">
      <c r="A117" s="905" t="s">
        <v>2870</v>
      </c>
      <c r="B117" s="906">
        <f>ROUND(0.8808-0.006*B113,4)</f>
        <v>0.86939999999999995</v>
      </c>
      <c r="C117" s="906">
        <f>B117</f>
        <v>0.86939999999999995</v>
      </c>
      <c r="D117" s="906">
        <f>ROUND(0.8748-0.008*B113,4)</f>
        <v>0.85960000000000003</v>
      </c>
      <c r="E117" s="906">
        <f t="shared" si="35"/>
        <v>0.85960000000000003</v>
      </c>
      <c r="F117" s="906">
        <f t="shared" si="35"/>
        <v>0.85960000000000003</v>
      </c>
      <c r="G117" s="906">
        <f t="shared" si="35"/>
        <v>0.85960000000000003</v>
      </c>
      <c r="H117" s="906">
        <f t="shared" si="35"/>
        <v>0.85960000000000003</v>
      </c>
      <c r="I117" s="906">
        <f>ROUND(0.7412-0.0095*B113,4)</f>
        <v>0.72319999999999995</v>
      </c>
      <c r="J117" s="906">
        <f t="shared" si="34"/>
        <v>0.72319999999999995</v>
      </c>
      <c r="K117" s="906">
        <f t="shared" si="34"/>
        <v>0.72319999999999995</v>
      </c>
      <c r="L117" s="906">
        <f t="shared" si="34"/>
        <v>0.72319999999999995</v>
      </c>
      <c r="M117" s="907">
        <f t="shared" si="34"/>
        <v>0.72319999999999995</v>
      </c>
    </row>
    <row r="118" spans="1:13" ht="13.5" thickBot="1">
      <c r="A118" s="712" t="s">
        <v>2871</v>
      </c>
      <c r="B118" s="908">
        <f>ROUND(0.7275-0.01*B113,4)</f>
        <v>0.70850000000000002</v>
      </c>
      <c r="C118" s="908">
        <f>B118</f>
        <v>0.70850000000000002</v>
      </c>
      <c r="D118" s="908">
        <f>ROUND(0.7043-0.012*B113,4)</f>
        <v>0.68149999999999999</v>
      </c>
      <c r="E118" s="908">
        <f>D118</f>
        <v>0.68149999999999999</v>
      </c>
      <c r="F118" s="908">
        <f>E118</f>
        <v>0.68149999999999999</v>
      </c>
      <c r="G118" s="908">
        <f>ROUND(0.6299-0.0122*B113,4)</f>
        <v>0.60670000000000002</v>
      </c>
      <c r="H118" s="908">
        <f>G118</f>
        <v>0.60670000000000002</v>
      </c>
      <c r="I118" s="908">
        <f>ROUND(0.5667-0.0136*B113,4)</f>
        <v>0.54090000000000005</v>
      </c>
      <c r="J118" s="908">
        <f t="shared" si="34"/>
        <v>0.54090000000000005</v>
      </c>
      <c r="K118" s="908">
        <f t="shared" si="34"/>
        <v>0.54090000000000005</v>
      </c>
      <c r="L118" s="908">
        <f t="shared" si="34"/>
        <v>0.54090000000000005</v>
      </c>
      <c r="M118" s="909">
        <f t="shared" si="34"/>
        <v>0.54090000000000005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8" sqref="D2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1373</v>
      </c>
      <c r="D1" s="1816" t="s">
        <v>70</v>
      </c>
      <c r="E1" s="1817" t="s">
        <v>1383</v>
      </c>
      <c r="F1" s="1279">
        <f ca="1">J53</f>
        <v>25.67</v>
      </c>
      <c r="G1" s="1832">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19585</v>
      </c>
      <c r="C2" s="1841" t="s">
        <v>1512</v>
      </c>
      <c r="D2" s="1841"/>
      <c r="E2" s="1842"/>
      <c r="F2" s="1843"/>
      <c r="G2" s="1844"/>
      <c r="H2" s="1836"/>
      <c r="I2" s="1836"/>
      <c r="J2" s="1836"/>
      <c r="K2" s="1837"/>
      <c r="L2" s="1836"/>
      <c r="M2" s="1836"/>
    </row>
    <row r="3" spans="1:37" ht="18" customHeight="1" thickBot="1">
      <c r="A3" s="1845" t="s">
        <v>1513</v>
      </c>
      <c r="B3" s="1846">
        <f ca="1">IF(ISERROR(B2*10000/F43),0,ROUND(B2*10000/F43,0))</f>
        <v>28758</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1481</v>
      </c>
      <c r="D5" s="1818" t="s">
        <v>1398</v>
      </c>
      <c r="E5" s="1289"/>
      <c r="F5" s="1290"/>
      <c r="G5" s="1847"/>
      <c r="H5" s="342">
        <v>1</v>
      </c>
      <c r="I5" s="343" t="s">
        <v>1397</v>
      </c>
      <c r="J5" s="1288">
        <f ca="1">J6+J10+J12</f>
        <v>1709</v>
      </c>
      <c r="K5" s="1818" t="s">
        <v>1398</v>
      </c>
      <c r="L5" s="1289"/>
      <c r="M5" s="1290"/>
    </row>
    <row r="6" spans="1:37" ht="18" customHeight="1">
      <c r="A6" s="1287" t="s">
        <v>1032</v>
      </c>
      <c r="B6" s="3253" t="s">
        <v>1399</v>
      </c>
      <c r="C6" s="1292">
        <f ca="1">ROUND(F6*F8*F7*(1-F9)/10000,0)</f>
        <v>1479</v>
      </c>
      <c r="D6" s="162" t="s">
        <v>3020</v>
      </c>
      <c r="E6" s="345" t="s">
        <v>1401</v>
      </c>
      <c r="F6" s="346">
        <f ca="1">INDIRECT("'数据-取费表'!u"&amp;$G$1)</f>
        <v>5.95</v>
      </c>
      <c r="G6" s="1847"/>
      <c r="H6" s="1287" t="s">
        <v>1032</v>
      </c>
      <c r="I6" s="3253" t="s">
        <v>1399</v>
      </c>
      <c r="J6" s="344">
        <f ca="1">ROUND(M6*M8*M7*(1-M9)/10000,0)</f>
        <v>1707</v>
      </c>
      <c r="K6" s="162" t="s">
        <v>3019</v>
      </c>
      <c r="L6" s="345" t="s">
        <v>1401</v>
      </c>
      <c r="M6" s="346">
        <f ca="1">INDIRECT("'数据-取费表'!z"&amp;$G$1)</f>
        <v>7.23</v>
      </c>
    </row>
    <row r="7" spans="1:37" ht="18" customHeight="1">
      <c r="A7" s="1291"/>
      <c r="B7" s="3254"/>
      <c r="C7" s="1293"/>
      <c r="D7" s="350"/>
      <c r="E7" s="1294" t="s">
        <v>1402</v>
      </c>
      <c r="F7" s="346">
        <f ca="1">IF(INDIRECT("'数据-取费表'!ah"&amp;$G$1)="",INDIRECT("'数据-取费表'!k"&amp;$G$1),INDIRECT("'数据-取费表'!ah"&amp;$G$1))</f>
        <v>6810.2999999999993</v>
      </c>
      <c r="G7" s="1847"/>
      <c r="H7" s="347"/>
      <c r="I7" s="3254"/>
      <c r="J7" s="349"/>
      <c r="K7" s="350"/>
      <c r="L7" s="345" t="s">
        <v>1402</v>
      </c>
      <c r="M7" s="346">
        <f ca="1">F7</f>
        <v>6810.2999999999993</v>
      </c>
    </row>
    <row r="8" spans="1:37" ht="18" customHeight="1">
      <c r="A8" s="347"/>
      <c r="B8" s="3254"/>
      <c r="C8" s="349"/>
      <c r="D8" s="350"/>
      <c r="E8" s="345" t="s">
        <v>1403</v>
      </c>
      <c r="F8" s="346">
        <f ca="1">INDIRECT("'数据-取费表'!ai"&amp;$G$1)</f>
        <v>365</v>
      </c>
      <c r="G8" s="1847"/>
      <c r="H8" s="347"/>
      <c r="I8" s="3254"/>
      <c r="J8" s="349"/>
      <c r="K8" s="350"/>
      <c r="L8" s="345" t="s">
        <v>1403</v>
      </c>
      <c r="M8" s="346">
        <f ca="1">INDIRECT("'数据-取费表'!ai"&amp;$G$1)</f>
        <v>365</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0.05</v>
      </c>
    </row>
    <row r="10" spans="1:37" ht="18" customHeight="1">
      <c r="A10" s="1287" t="s">
        <v>1036</v>
      </c>
      <c r="B10" s="1819" t="s">
        <v>1405</v>
      </c>
      <c r="C10" s="359">
        <f ca="1">ROUND(IF(F10="押一",C6/12*F11,IF(F10="押二",C6/12*2*F11,IF(F10="押三",C6/12*3*F11,C11*F11))),0)</f>
        <v>2</v>
      </c>
      <c r="D10" s="1820" t="s">
        <v>3029</v>
      </c>
      <c r="E10" s="356" t="s">
        <v>1406</v>
      </c>
      <c r="F10" s="1362" t="s">
        <v>3188</v>
      </c>
      <c r="G10" s="1847"/>
      <c r="H10" s="1287" t="s">
        <v>1036</v>
      </c>
      <c r="I10" s="1819" t="s">
        <v>1405</v>
      </c>
      <c r="J10" s="344">
        <f ca="1">ROUND(IF(M10="押一",J6/12*M11,IF(M10="押二",J6/12*2*M11,IF(M10="押三",J6/12*3*M11,J11*M11))),0)</f>
        <v>2</v>
      </c>
      <c r="K10" s="1820" t="s">
        <v>3028</v>
      </c>
      <c r="L10" s="356" t="s">
        <v>1406</v>
      </c>
      <c r="M10" s="3032" t="s">
        <v>3188</v>
      </c>
    </row>
    <row r="11" spans="1:37" ht="18" customHeight="1">
      <c r="A11" s="351"/>
      <c r="B11" s="1821" t="s">
        <v>1384</v>
      </c>
      <c r="C11" s="1174"/>
      <c r="D11" s="1822"/>
      <c r="E11" s="356" t="s">
        <v>1408</v>
      </c>
      <c r="F11" s="357">
        <f ca="1">'数据-取费表'!B39</f>
        <v>1.4999999999999999E-2</v>
      </c>
      <c r="G11" s="1847"/>
      <c r="H11" s="1295"/>
      <c r="I11" s="1821" t="s">
        <v>1384</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3647</v>
      </c>
      <c r="D13" s="1327" t="s">
        <v>1411</v>
      </c>
      <c r="E13" s="1327" t="s">
        <v>1412</v>
      </c>
      <c r="F13" s="1328">
        <f ca="1">INDIRECT("'数据-取费表'!y"&amp;$G$1)</f>
        <v>0.85</v>
      </c>
      <c r="G13" s="1847"/>
      <c r="H13" s="1325">
        <v>2</v>
      </c>
      <c r="I13" s="1326" t="s">
        <v>1410</v>
      </c>
      <c r="J13" s="1286">
        <f ca="1">ROUND(J14*J15,0)</f>
        <v>3304</v>
      </c>
      <c r="K13" s="1333" t="s">
        <v>1411</v>
      </c>
      <c r="L13" s="1848"/>
      <c r="M13" s="1849"/>
    </row>
    <row r="14" spans="1:37" ht="18" customHeight="1">
      <c r="A14" s="1197" t="s">
        <v>1031</v>
      </c>
      <c r="B14" s="345" t="s">
        <v>1413</v>
      </c>
      <c r="C14" s="361">
        <f ca="1">INDIRECT("'数据-取费表'!m"&amp;$G$1)+INDIRECT("'数据-取费表'!t"&amp;$G$1)</f>
        <v>2724</v>
      </c>
      <c r="D14" s="1796" t="s">
        <v>1414</v>
      </c>
      <c r="E14" s="1790"/>
      <c r="F14" s="362"/>
      <c r="G14" s="1847"/>
      <c r="H14" s="1197" t="s">
        <v>1032</v>
      </c>
      <c r="I14" s="345" t="s">
        <v>1415</v>
      </c>
      <c r="J14" s="24">
        <f ca="1">C29</f>
        <v>4291</v>
      </c>
      <c r="K14" s="15"/>
      <c r="L14" s="975"/>
      <c r="M14" s="976"/>
    </row>
    <row r="15" spans="1:37" s="1854" customFormat="1" ht="18" customHeight="1" thickBot="1">
      <c r="A15" s="1197" t="s">
        <v>1033</v>
      </c>
      <c r="B15" s="345" t="s">
        <v>1416</v>
      </c>
      <c r="C15" s="24">
        <f ca="1">ROUND(C14*F15,0)</f>
        <v>136</v>
      </c>
      <c r="D15" s="363" t="s">
        <v>1417</v>
      </c>
      <c r="E15" s="363" t="s">
        <v>1418</v>
      </c>
      <c r="F15" s="364">
        <f>'数据-取费表'!B33</f>
        <v>0.05</v>
      </c>
      <c r="G15" s="1850"/>
      <c r="H15" s="1335" t="s">
        <v>1036</v>
      </c>
      <c r="I15" s="1336" t="s">
        <v>1412</v>
      </c>
      <c r="J15" s="1345">
        <f ca="1">INDIRECT("'数据-取费表'!ad"&amp;$G$1)</f>
        <v>0.77</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7"/>
      <c r="H16" s="1325" t="s">
        <v>1027</v>
      </c>
      <c r="I16" s="1326" t="s">
        <v>1420</v>
      </c>
      <c r="J16" s="353">
        <f ca="1">ROUND(J17+J22+J23+J24,0)</f>
        <v>388</v>
      </c>
      <c r="K16" s="1333" t="s">
        <v>1421</v>
      </c>
      <c r="L16" s="1334"/>
      <c r="M16" s="1290"/>
    </row>
    <row r="17" spans="1:37" s="1854" customFormat="1" ht="18" customHeight="1">
      <c r="A17" s="1197" t="s">
        <v>1386</v>
      </c>
      <c r="B17" s="345" t="s">
        <v>1422</v>
      </c>
      <c r="C17" s="24">
        <f ca="1">ROUND(F17*(F43+INDIRECT("'数据-取费表'!S"&amp;$G$1))/10000,0)</f>
        <v>136</v>
      </c>
      <c r="D17" s="345" t="s">
        <v>1423</v>
      </c>
      <c r="E17" s="345" t="s">
        <v>1424</v>
      </c>
      <c r="F17" s="26">
        <f>'数据-取费表'!B35</f>
        <v>200</v>
      </c>
      <c r="G17" s="1850"/>
      <c r="H17" s="1197" t="s">
        <v>1032</v>
      </c>
      <c r="I17" s="345" t="s">
        <v>1425</v>
      </c>
      <c r="J17" s="24">
        <f ca="1">ROUND(IF(项目基本情况!B11="自然人",J5*M17,J18+J19+J20),1)</f>
        <v>299.5</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41</v>
      </c>
      <c r="D18" s="345" t="s">
        <v>1417</v>
      </c>
      <c r="E18" s="345" t="s">
        <v>1418</v>
      </c>
      <c r="F18" s="365">
        <f>'数据-取费表'!B36</f>
        <v>1.4999999999999999E-2</v>
      </c>
      <c r="G18" s="1850"/>
      <c r="H18" s="1197" t="s">
        <v>1031</v>
      </c>
      <c r="I18" s="345" t="s">
        <v>1429</v>
      </c>
      <c r="J18" s="24">
        <f ca="1">ROUND(J5*M18/(1+'数据-取费表'!C42),2)</f>
        <v>91.15</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3037</v>
      </c>
      <c r="D19" s="138" t="s">
        <v>1432</v>
      </c>
      <c r="E19" s="1814"/>
      <c r="F19" s="26"/>
      <c r="G19" s="1847"/>
      <c r="H19" s="1197" t="s">
        <v>1033</v>
      </c>
      <c r="I19" s="345" t="s">
        <v>1433</v>
      </c>
      <c r="J19" s="24">
        <f ca="1">IF(K19="按租金收入计税",ROUND(J5*M19,2),ROUND(C29*M19*0.7,2))</f>
        <v>205.08</v>
      </c>
      <c r="K19" s="3033" t="s">
        <v>3189</v>
      </c>
      <c r="L19" s="345" t="s">
        <v>1418</v>
      </c>
      <c r="M19" s="365">
        <f>IF(K19="按租金收入计税",'数据-取费表'!B51,'数据-取费表'!B50)</f>
        <v>0.12</v>
      </c>
    </row>
    <row r="20" spans="1:37" s="1854" customFormat="1" ht="18" customHeight="1">
      <c r="A20" s="1197" t="s">
        <v>1036</v>
      </c>
      <c r="B20" s="345" t="s">
        <v>1435</v>
      </c>
      <c r="C20" s="24">
        <f ca="1">ROUND(C19*F20,0)</f>
        <v>91</v>
      </c>
      <c r="D20" s="367" t="s">
        <v>1436</v>
      </c>
      <c r="E20" s="345" t="s">
        <v>1418</v>
      </c>
      <c r="F20" s="365">
        <f>'数据-取费表'!B37</f>
        <v>0.03</v>
      </c>
      <c r="G20" s="1850"/>
      <c r="H20" s="1197" t="s">
        <v>1385</v>
      </c>
      <c r="I20" s="162" t="s">
        <v>1437</v>
      </c>
      <c r="J20" s="25">
        <f ca="1">ROUND(M20*M21/10000,2)</f>
        <v>3.22</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18</v>
      </c>
      <c r="D21" s="367" t="s">
        <v>1441</v>
      </c>
      <c r="E21" s="345" t="s">
        <v>1442</v>
      </c>
      <c r="F21" s="365">
        <f>'数据-取费表'!B38</f>
        <v>0.03</v>
      </c>
      <c r="G21" s="1850"/>
      <c r="H21" s="370"/>
      <c r="I21" s="354"/>
      <c r="J21" s="29"/>
      <c r="K21" s="371"/>
      <c r="L21" s="345" t="s">
        <v>1443</v>
      </c>
      <c r="M21" s="346">
        <f ca="1">INDIRECT("'数据-取费表'!r"&amp;$G$1)</f>
        <v>2680.6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1814"/>
      <c r="F22" s="26"/>
      <c r="G22" s="1847"/>
      <c r="H22" s="1197" t="s">
        <v>1036</v>
      </c>
      <c r="I22" s="345" t="s">
        <v>1445</v>
      </c>
      <c r="J22" s="24">
        <f ca="1">ROUND(J14*M22,1)</f>
        <v>64.400000000000006</v>
      </c>
      <c r="K22" s="1794" t="s">
        <v>1446</v>
      </c>
      <c r="L22" s="345" t="s">
        <v>1418</v>
      </c>
      <c r="M22" s="372">
        <f ca="1">INDIRECT("'数据-取费表'!Ak"&amp;$G$1)</f>
        <v>1.4999999999999999E-2</v>
      </c>
    </row>
    <row r="23" spans="1:37" s="1854" customFormat="1" ht="18" customHeight="1">
      <c r="A23" s="1197" t="s">
        <v>1031</v>
      </c>
      <c r="B23" s="345" t="s">
        <v>1447</v>
      </c>
      <c r="C23" s="24">
        <f ca="1">IF('数据-取费表'!B22&lt;=1,ROUND(C19*F24*F23/2,0)+ROUND(C20*F24*F23/2,0),ROUND(C19*(POWER((1+F24),F23/2)-1),0)+ROUND(C20*(POWER((1+F24),F23/2)-1),0))</f>
        <v>148</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ROUND(J13*M23,1)</f>
        <v>6.6</v>
      </c>
      <c r="K23" s="1794"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17.100000000000001</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5" t="s">
        <v>1457</v>
      </c>
      <c r="C25" s="24"/>
      <c r="D25" s="138" t="s">
        <v>1458</v>
      </c>
      <c r="E25" s="1814"/>
      <c r="F25" s="26"/>
      <c r="G25" s="1847"/>
      <c r="H25" s="1325" t="s">
        <v>1028</v>
      </c>
      <c r="I25" s="1340" t="s">
        <v>1459</v>
      </c>
      <c r="J25" s="353">
        <f ca="1">J5-J16</f>
        <v>1321</v>
      </c>
      <c r="K25" s="1341" t="s">
        <v>1460</v>
      </c>
      <c r="L25" s="1342"/>
      <c r="M25" s="1343"/>
    </row>
    <row r="26" spans="1:37">
      <c r="A26" s="1197" t="s">
        <v>1031</v>
      </c>
      <c r="B26" s="345" t="s">
        <v>1461</v>
      </c>
      <c r="C26" s="24">
        <f ca="1">ROUND((C19+C20)*F26,0)</f>
        <v>626</v>
      </c>
      <c r="D26" s="367" t="s">
        <v>1462</v>
      </c>
      <c r="E26" s="356" t="s">
        <v>1463</v>
      </c>
      <c r="F26" s="355">
        <f ca="1">INDIRECT("'数据-取费表'!q"&amp;$G$1)</f>
        <v>0.2</v>
      </c>
      <c r="G26" s="1847"/>
      <c r="H26" s="342" t="s">
        <v>1029</v>
      </c>
      <c r="I26" s="343" t="s">
        <v>1464</v>
      </c>
      <c r="J26" s="344">
        <f ca="1">IF(J5&lt;&gt;0,ROUND(J25*(1-((1+M28)/(1+M26))^M27)/(M26-M28),0),0)</f>
        <v>19554</v>
      </c>
      <c r="K26" s="368" t="s">
        <v>1465</v>
      </c>
      <c r="L26" s="345" t="s">
        <v>1466</v>
      </c>
      <c r="M26" s="355">
        <f ca="1">INDIRECT("'数据-取费表'!I"&amp;$G$1)</f>
        <v>0.06</v>
      </c>
    </row>
    <row r="27" spans="1:37" ht="18" customHeight="1">
      <c r="A27" s="1197" t="s">
        <v>1033</v>
      </c>
      <c r="B27" s="345" t="s">
        <v>1467</v>
      </c>
      <c r="C27" s="24">
        <f ca="1">ROUND(F21*F26,4)</f>
        <v>6.0000000000000001E-3</v>
      </c>
      <c r="D27" s="367" t="s">
        <v>1468</v>
      </c>
      <c r="E27" s="363"/>
      <c r="F27" s="364"/>
      <c r="G27" s="1847"/>
      <c r="H27" s="347"/>
      <c r="I27" s="348"/>
      <c r="J27" s="349"/>
      <c r="K27" s="376" t="s">
        <v>1469</v>
      </c>
      <c r="L27" s="345" t="s">
        <v>1470</v>
      </c>
      <c r="M27" s="377">
        <f ca="1">INDIRECT("'数据-取费表'!ag"&amp;$G$1)</f>
        <v>20.450000000000003</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4291</v>
      </c>
      <c r="D29" s="1338"/>
      <c r="E29" s="1336"/>
      <c r="F29" s="1339"/>
      <c r="G29" s="1850"/>
      <c r="H29" s="378" t="s">
        <v>1030</v>
      </c>
      <c r="I29" s="379" t="s">
        <v>1475</v>
      </c>
      <c r="J29" s="380">
        <f ca="1">ROUND(J26/(1+F40)^F41,0)</f>
        <v>14426</v>
      </c>
      <c r="K29" s="381" t="s">
        <v>1476</v>
      </c>
      <c r="L29" s="382"/>
      <c r="M29" s="383">
        <f ca="1">INDIRECT("'数据-取费表'!k"&amp;$G$1)</f>
        <v>6810.2999999999993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346</v>
      </c>
      <c r="D30" s="1333" t="s">
        <v>1421</v>
      </c>
      <c r="E30" s="1334"/>
      <c r="F30" s="1290"/>
      <c r="G30" s="1847"/>
      <c r="H30" s="743"/>
      <c r="I30" s="744"/>
      <c r="J30" s="745"/>
      <c r="K30" s="746"/>
      <c r="L30" s="747"/>
      <c r="M30" s="748"/>
    </row>
    <row r="31" spans="1:37" ht="18" customHeight="1">
      <c r="A31" s="1197" t="s">
        <v>1032</v>
      </c>
      <c r="B31" s="345" t="s">
        <v>1425</v>
      </c>
      <c r="C31" s="24">
        <f ca="1">ROUND(IF(项目基本情况!B11="自然人",C5*F31,C32+C33+C34),1)</f>
        <v>259.89999999999998</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IF(项目基本情况!B11="自然人","——",ROUND(C5*F32/(1+'数据-取费表'!C42),2))</f>
        <v>78.989999999999995</v>
      </c>
      <c r="D32" s="1794"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177.72</v>
      </c>
      <c r="D33" s="1824" t="s">
        <v>3189</v>
      </c>
      <c r="E33" s="345" t="s">
        <v>1418</v>
      </c>
      <c r="F33" s="365">
        <f>IF(D33="按票据","——",IF(D33="按租金收入计税",'数据-取费表'!B51,'数据-取费表'!B50))</f>
        <v>0.12</v>
      </c>
      <c r="G33" s="1847"/>
      <c r="H33" s="1855"/>
      <c r="I33" s="1856"/>
      <c r="J33" s="1857"/>
      <c r="K33" s="1858"/>
      <c r="L33" s="1855"/>
      <c r="M33" s="1855"/>
    </row>
    <row r="34" spans="1:18" ht="18" customHeight="1">
      <c r="A34" s="1287" t="s">
        <v>1385</v>
      </c>
      <c r="B34" s="162" t="s">
        <v>1437</v>
      </c>
      <c r="C34" s="25">
        <f ca="1">IF(项目基本情况!B11="自然人","——",ROUND(F34*F35/10000,2))</f>
        <v>3.22</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2680.6</v>
      </c>
      <c r="G35" s="1847"/>
      <c r="H35" s="743"/>
      <c r="I35" s="1856"/>
      <c r="J35" s="1857"/>
      <c r="K35" s="1858"/>
      <c r="L35" s="1855"/>
      <c r="M35" s="1855"/>
    </row>
    <row r="36" spans="1:18" ht="18" customHeight="1">
      <c r="A36" s="1348" t="s">
        <v>1036</v>
      </c>
      <c r="B36" s="345" t="s">
        <v>1445</v>
      </c>
      <c r="C36" s="24">
        <f ca="1">ROUND(C29*F36,1)</f>
        <v>64.400000000000006</v>
      </c>
      <c r="D36" s="1794" t="s">
        <v>1478</v>
      </c>
      <c r="E36" s="345" t="s">
        <v>1418</v>
      </c>
      <c r="F36" s="372">
        <f ca="1">INDIRECT("'数据-取费表'!Ak"&amp;$G$1)</f>
        <v>1.4999999999999999E-2</v>
      </c>
      <c r="G36" s="1847"/>
      <c r="H36" s="1855"/>
      <c r="I36" s="1856"/>
      <c r="J36" s="1857"/>
      <c r="K36" s="749"/>
      <c r="L36" s="1855"/>
      <c r="M36" s="1855"/>
    </row>
    <row r="37" spans="1:18" ht="18" customHeight="1">
      <c r="A37" s="1197" t="s">
        <v>1072</v>
      </c>
      <c r="B37" s="345" t="s">
        <v>1449</v>
      </c>
      <c r="C37" s="24">
        <f ca="1">ROUND(C13*F37,1)</f>
        <v>7.3</v>
      </c>
      <c r="D37" s="1794"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14.8</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3">
        <f ca="1">C5-C30</f>
        <v>1135</v>
      </c>
      <c r="D39" s="1341" t="s">
        <v>1480</v>
      </c>
      <c r="E39" s="1342"/>
      <c r="F39" s="1343"/>
      <c r="G39" s="1847"/>
      <c r="H39" s="1855"/>
      <c r="I39" s="1856"/>
      <c r="J39" s="1857"/>
      <c r="K39" s="1861"/>
      <c r="L39" s="1855"/>
      <c r="M39" s="1855"/>
    </row>
    <row r="40" spans="1:18" ht="18" customHeight="1">
      <c r="A40" s="342" t="s">
        <v>1029</v>
      </c>
      <c r="B40" s="343" t="s">
        <v>1481</v>
      </c>
      <c r="C40" s="344">
        <f ca="1">ROUND(C39*(1-((1+F42)/(1+F40))^F41)/(F40-F42),0)</f>
        <v>4961</v>
      </c>
      <c r="D40" s="368" t="s">
        <v>1465</v>
      </c>
      <c r="E40" s="345" t="s">
        <v>1466</v>
      </c>
      <c r="F40" s="355">
        <f ca="1">INDIRECT("'数据-取费表'!I"&amp;$G$1)</f>
        <v>0.06</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5.22</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f ca="1">ROUND(C40*10000/F43,0)</f>
        <v>7285</v>
      </c>
      <c r="D43" s="381" t="s">
        <v>1484</v>
      </c>
      <c r="E43" s="382" t="s">
        <v>1485</v>
      </c>
      <c r="F43" s="383">
        <f ca="1">INDIRECT("'数据-取费表'!k"&amp;$G$1)</f>
        <v>6810.2999999999993</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-6862</v>
      </c>
      <c r="D46" s="1868" t="str">
        <f>C2</f>
        <v>万元</v>
      </c>
      <c r="E46" s="1862"/>
      <c r="F46" s="1862"/>
      <c r="I46" s="1869" t="s">
        <v>1517</v>
      </c>
      <c r="J46" s="1870"/>
      <c r="K46" s="1871"/>
      <c r="L46" s="1872">
        <f ca="1">IF(M47="住宅",0,IF(L48&gt;J51,L60,J60))</f>
        <v>198</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0"/>
      <c r="I47" s="1876" t="s">
        <v>1522</v>
      </c>
      <c r="J47" s="1877" t="s">
        <v>3190</v>
      </c>
      <c r="K47" s="1878" t="s">
        <v>1523</v>
      </c>
      <c r="L47" s="1879">
        <f ca="1">INDIRECT("'数据-取费表'!d"&amp;$G$1)</f>
        <v>40</v>
      </c>
      <c r="M47" s="1834" t="str">
        <f>IF(ISNUMBER(FIND("住宅",C1)),"住宅","非住宅")</f>
        <v>非住宅</v>
      </c>
      <c r="O47" s="1880" t="s">
        <v>1037</v>
      </c>
      <c r="P47" s="1881" t="s">
        <v>1524</v>
      </c>
      <c r="Q47" s="1882">
        <f ca="1">C40+J29</f>
        <v>19387</v>
      </c>
      <c r="R47" s="1882" t="s">
        <v>1525</v>
      </c>
    </row>
    <row r="48" spans="1:18" s="1838" customFormat="1" ht="28.5" thickBot="1">
      <c r="A48" s="1356" t="s">
        <v>1132</v>
      </c>
      <c r="B48" s="343" t="s">
        <v>1397</v>
      </c>
      <c r="C48" s="1813">
        <f ca="1">C49+C53+C55</f>
        <v>0</v>
      </c>
      <c r="D48" s="1358"/>
      <c r="E48" s="1359"/>
      <c r="F48" s="1177"/>
      <c r="G48" s="790"/>
      <c r="H48" s="791"/>
      <c r="I48" s="1883" t="s">
        <v>1526</v>
      </c>
      <c r="J48" s="1884" t="s">
        <v>3191</v>
      </c>
      <c r="K48" s="1885" t="s">
        <v>1527</v>
      </c>
      <c r="L48" s="1886">
        <f ca="1">INDIRECT("'数据-取费表'!f"&amp;$G$1)</f>
        <v>25.67</v>
      </c>
      <c r="O48" s="1880" t="s">
        <v>1038</v>
      </c>
      <c r="P48" s="1881" t="s">
        <v>1528</v>
      </c>
      <c r="Q48" s="1882">
        <f ca="1">J60</f>
        <v>198</v>
      </c>
      <c r="R48" s="1882" t="s">
        <v>1529</v>
      </c>
    </row>
    <row r="49" spans="1:18" s="1838" customFormat="1" ht="13.5" thickBot="1">
      <c r="A49" s="1190" t="s">
        <v>1133</v>
      </c>
      <c r="B49" s="1825" t="s">
        <v>1486</v>
      </c>
      <c r="C49" s="1360">
        <f ca="1">ROUND(F49*F51*F50*(1-F52)/10000,0)</f>
        <v>0</v>
      </c>
      <c r="D49" s="1272" t="s">
        <v>3021</v>
      </c>
      <c r="E49" s="1826" t="s">
        <v>1487</v>
      </c>
      <c r="F49" s="1277"/>
      <c r="G49" s="1887"/>
      <c r="H49" s="791"/>
      <c r="I49" s="1883" t="s">
        <v>1530</v>
      </c>
      <c r="J49" s="1888">
        <v>2010</v>
      </c>
      <c r="K49" s="1885" t="s">
        <v>1531</v>
      </c>
      <c r="L49" s="1889"/>
      <c r="O49" s="1890" t="s">
        <v>1039</v>
      </c>
      <c r="P49" s="1881" t="s">
        <v>1532</v>
      </c>
      <c r="Q49" s="1882">
        <f ca="1">C29</f>
        <v>4291</v>
      </c>
      <c r="R49" s="1882" t="s">
        <v>1525</v>
      </c>
    </row>
    <row r="50" spans="1:18" s="1838" customFormat="1" ht="13.5" thickBot="1">
      <c r="A50" s="1191"/>
      <c r="B50" s="1194"/>
      <c r="C50" s="1364"/>
      <c r="D50" s="1168"/>
      <c r="E50" s="1273" t="s">
        <v>1402</v>
      </c>
      <c r="F50" s="1274">
        <f ca="1">F7</f>
        <v>6810.2999999999993</v>
      </c>
      <c r="H50" s="791"/>
      <c r="I50" s="1883" t="s">
        <v>1533</v>
      </c>
      <c r="J50" s="1891">
        <f>SUMPRODUCT((I63:I65=J47)*(J62:L62=J48)*(J63:L65))</f>
        <v>60</v>
      </c>
      <c r="K50" s="1885" t="s">
        <v>1534</v>
      </c>
      <c r="L50" s="1889"/>
      <c r="M50" s="1892"/>
      <c r="O50" s="1890" t="s">
        <v>1040</v>
      </c>
      <c r="P50" s="1881" t="s">
        <v>1535</v>
      </c>
      <c r="Q50" s="1893">
        <f ca="1">J58</f>
        <v>0.42199999999999999</v>
      </c>
      <c r="R50" s="1882"/>
    </row>
    <row r="51" spans="1:18" s="1838" customFormat="1" ht="13.5" thickBot="1">
      <c r="A51" s="1192"/>
      <c r="B51" s="1194"/>
      <c r="C51" s="1195"/>
      <c r="D51" s="1168"/>
      <c r="E51" s="1196" t="s">
        <v>1403</v>
      </c>
      <c r="F51" s="346">
        <f ca="1">F8</f>
        <v>365</v>
      </c>
      <c r="I51" s="1894" t="s">
        <v>1536</v>
      </c>
      <c r="J51" s="1895">
        <f>IF(J49="",J50,J49+J50-YEAR('数据-取费表'!B2))</f>
        <v>51</v>
      </c>
      <c r="K51" s="1896" t="s">
        <v>1537</v>
      </c>
      <c r="L51" s="1897">
        <f ca="1">ROUND(-PV(INDIRECT("'数据-取费表'!h"&amp;$G$1),L48,(C39-C13*C76),0),0)</f>
        <v>11784</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v>0.05</v>
      </c>
      <c r="O52" s="1890" t="s">
        <v>1042</v>
      </c>
      <c r="P52" s="1881" t="s">
        <v>1541</v>
      </c>
      <c r="Q52" s="1882">
        <f ca="1">J53</f>
        <v>25.67</v>
      </c>
      <c r="R52" s="1882" t="s">
        <v>1542</v>
      </c>
    </row>
    <row r="53" spans="1:18" s="1838" customFormat="1" ht="24.75" thickBot="1">
      <c r="A53" s="1401" t="s">
        <v>1134</v>
      </c>
      <c r="B53" s="1827" t="s">
        <v>1405</v>
      </c>
      <c r="C53" s="359">
        <f ca="1">ROUND(IF(F53="押一",C49/12*F11,IF(F53="押二",C49/12*2*F11,IF(F53="押三",C49/12*3*F11,C54*F11))),0)</f>
        <v>0</v>
      </c>
      <c r="D53" s="1820" t="s">
        <v>3028</v>
      </c>
      <c r="E53" s="356"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25.67</v>
      </c>
      <c r="K53" s="3251" t="s">
        <v>1544</v>
      </c>
      <c r="L53" s="3252"/>
      <c r="O53" s="1880" t="s">
        <v>1043</v>
      </c>
      <c r="P53" s="1881" t="s">
        <v>1545</v>
      </c>
      <c r="Q53" s="1882">
        <f ca="1">Q47+Q48</f>
        <v>19585</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0.42199999999999999</v>
      </c>
      <c r="K55" s="1908" t="s">
        <v>1548</v>
      </c>
      <c r="L55" s="1909" t="s">
        <v>1549</v>
      </c>
      <c r="O55" s="1873" t="s">
        <v>1518</v>
      </c>
      <c r="P55" s="1874" t="s">
        <v>1519</v>
      </c>
      <c r="Q55" s="1875" t="s">
        <v>1520</v>
      </c>
      <c r="R55" s="1875" t="s">
        <v>1521</v>
      </c>
    </row>
    <row r="56" spans="1:18" s="1838" customFormat="1" ht="25.5" thickTop="1" thickBot="1">
      <c r="A56" s="1172">
        <v>2</v>
      </c>
      <c r="B56" s="1173" t="s">
        <v>1410</v>
      </c>
      <c r="C56" s="274">
        <f ca="1">C13</f>
        <v>3647</v>
      </c>
      <c r="D56" s="1910"/>
      <c r="E56" s="1911"/>
      <c r="F56" s="1903"/>
      <c r="I56" s="1912" t="s">
        <v>1550</v>
      </c>
      <c r="J56" s="1913"/>
      <c r="K56" s="1883" t="s">
        <v>1551</v>
      </c>
      <c r="L56" s="1886" t="str">
        <f ca="1">IF(L48&lt;J51,"——",L48-J53)</f>
        <v>——</v>
      </c>
      <c r="O56" s="1880" t="s">
        <v>1037</v>
      </c>
      <c r="P56" s="1881" t="s">
        <v>1524</v>
      </c>
      <c r="Q56" s="1882">
        <f ca="1">C40+J29</f>
        <v>19387</v>
      </c>
      <c r="R56" s="1882" t="s">
        <v>1525</v>
      </c>
    </row>
    <row r="57" spans="1:18" s="1838" customFormat="1" ht="24.75" thickBot="1">
      <c r="A57" s="1914"/>
      <c r="B57" s="1165" t="s">
        <v>1474</v>
      </c>
      <c r="C57" s="280">
        <f ca="1">C29</f>
        <v>4291</v>
      </c>
      <c r="D57" s="1915"/>
      <c r="E57" s="1916"/>
      <c r="F57" s="1917"/>
      <c r="I57" s="1918" t="s">
        <v>1552</v>
      </c>
      <c r="J57" s="1919">
        <f ca="1">IF(OR(M47="住宅",J51&lt;L48,J56="是"),"——",J51-L48)</f>
        <v>25.33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8" t="s">
        <v>1027</v>
      </c>
      <c r="B58" s="1173" t="s">
        <v>1420</v>
      </c>
      <c r="C58" s="359">
        <f ca="1">ROUND(C59+C64+C65+C66,0)</f>
        <v>435</v>
      </c>
      <c r="D58" s="1175" t="s">
        <v>1421</v>
      </c>
      <c r="E58" s="1176"/>
      <c r="F58" s="1177"/>
      <c r="I58" s="1918" t="s">
        <v>1556</v>
      </c>
      <c r="J58" s="1920">
        <f ca="1">IF(J55&lt;0.4,0.4,J55)</f>
        <v>0.42199999999999999</v>
      </c>
      <c r="K58" s="1896" t="s">
        <v>1557</v>
      </c>
      <c r="L58" s="1886">
        <f ca="1">ROUND(POWER(1+L52,L47-L48)*(POWER(1+L52,L48)-1)/(POWER(1+L52,L47)-1),4)</f>
        <v>0.83240000000000003</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363.7</v>
      </c>
      <c r="D59" s="1178" t="s">
        <v>1426</v>
      </c>
      <c r="E59" s="1179" t="s">
        <v>1427</v>
      </c>
      <c r="F59" s="366" t="str">
        <f ca="1">IF(项目基本情况!B11="企业","",IF(INDIRECT("'数据-取费表'!c"&amp;$G$1)="住宅",5%,IF(F49*F50*F51/12/(1+'数据-取费表'!C42)&gt;20000,12%,7%)))</f>
        <v/>
      </c>
      <c r="I59" s="1918" t="s">
        <v>1559</v>
      </c>
      <c r="J59" s="1919">
        <f ca="1">IF(OR(M47="住宅",J51&lt;L48,J56="是"),"——",ROUND(C29*J58,0))</f>
        <v>1811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1.0688</v>
      </c>
      <c r="M59" s="1834">
        <f ca="1">ROUND(POWER(1+L52,L47-(J51+'数据-取费表'!B24))*(POWER(1+L52,(J51+'数据-取费表'!B24))-1)/(POWER(1+L52,L47)-1),4)</f>
        <v>1.0688</v>
      </c>
      <c r="N59" s="1834">
        <f ca="1">ROUND(POWER(1+L52,L47-(J51+'数据-取费表'!B20))*(POWER(1+L52,(J51+'数据-取费表'!B20))-1)/(POWER(1+L52,L47)-1),4)</f>
        <v>1.0778000000000001</v>
      </c>
      <c r="O59" s="1890" t="s">
        <v>1040</v>
      </c>
      <c r="P59" s="1881" t="s">
        <v>1560</v>
      </c>
      <c r="Q59" s="1893">
        <f>L52</f>
        <v>0.05</v>
      </c>
      <c r="R59" s="1882"/>
    </row>
    <row r="60" spans="1:18" s="1838" customFormat="1" ht="16.5" thickBot="1">
      <c r="A60" s="1197" t="s">
        <v>1031</v>
      </c>
      <c r="B60" s="1165" t="s">
        <v>1429</v>
      </c>
      <c r="C60" s="24">
        <f ca="1">IF(项目基本情况!B11="自然人","——",ROUND(C48*F60/(1+'数据-取费表'!C42),2))</f>
        <v>0</v>
      </c>
      <c r="D60" s="1179" t="s">
        <v>1430</v>
      </c>
      <c r="E60" s="1165" t="s">
        <v>1418</v>
      </c>
      <c r="F60" s="375">
        <f t="shared" ref="F60:F66" si="0">F32</f>
        <v>5.6000000000000001E-2</v>
      </c>
      <c r="I60" s="1921" t="s">
        <v>1561</v>
      </c>
      <c r="J60" s="1922">
        <f ca="1">IF(OR(M47="住宅",J51&lt;L48,J56="是"),"0",ROUND(J59/(1+J52)^J53,0))</f>
        <v>198</v>
      </c>
      <c r="K60" s="1923" t="s">
        <v>1562</v>
      </c>
      <c r="L60" s="1922">
        <f ca="1">IF(OR(M47="住宅",L48&lt;J51),0,ROUND(L57*(L58/L59-1),0))</f>
        <v>0</v>
      </c>
      <c r="O60" s="1890" t="s">
        <v>1041</v>
      </c>
      <c r="P60" s="1881" t="s">
        <v>1563</v>
      </c>
      <c r="Q60" s="1882">
        <f ca="1">L58</f>
        <v>0.83240000000000003</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360.44</v>
      </c>
      <c r="D61" s="1824" t="s">
        <v>1434</v>
      </c>
      <c r="E61" s="1165" t="s">
        <v>1490</v>
      </c>
      <c r="F61" s="365">
        <f t="shared" si="0"/>
        <v>0.12</v>
      </c>
      <c r="I61" s="1924"/>
      <c r="J61" s="1924"/>
      <c r="K61" s="1924"/>
      <c r="L61" s="1924"/>
      <c r="O61" s="1890" t="s">
        <v>1042</v>
      </c>
      <c r="P61" s="1881" t="str">
        <f>K59</f>
        <v>建筑物剩余耐用年限下的土地年期修正系数Kn</v>
      </c>
      <c r="Q61" s="1882">
        <f ca="1">L59</f>
        <v>1.0688</v>
      </c>
      <c r="R61" s="1882" t="s">
        <v>1565</v>
      </c>
    </row>
    <row r="62" spans="1:18" s="1838" customFormat="1" ht="13.5" thickBot="1">
      <c r="A62" s="1197" t="s">
        <v>1491</v>
      </c>
      <c r="B62" s="1164" t="s">
        <v>1492</v>
      </c>
      <c r="C62" s="25">
        <f ca="1">IF(项目基本情况!B11="自然人","——",ROUND(F62*F63/10000,2))</f>
        <v>3.22</v>
      </c>
      <c r="D62" s="1180" t="s">
        <v>1493</v>
      </c>
      <c r="E62" s="1165" t="s">
        <v>1494</v>
      </c>
      <c r="F62" s="369">
        <f t="shared" si="0"/>
        <v>12</v>
      </c>
      <c r="I62" s="1925" t="s">
        <v>1566</v>
      </c>
      <c r="J62" s="1926" t="s">
        <v>1567</v>
      </c>
      <c r="K62" s="1926" t="s">
        <v>1568</v>
      </c>
      <c r="L62" s="1926" t="s">
        <v>1569</v>
      </c>
      <c r="M62" s="1927" t="s">
        <v>1570</v>
      </c>
      <c r="O62" s="1880" t="s">
        <v>1043</v>
      </c>
      <c r="P62" s="1881" t="s">
        <v>1571</v>
      </c>
      <c r="Q62" s="1882">
        <f ca="1">Q56+Q57</f>
        <v>19387</v>
      </c>
      <c r="R62" s="1882" t="s">
        <v>1044</v>
      </c>
    </row>
    <row r="63" spans="1:18" s="1838" customFormat="1" ht="13.5" thickBot="1">
      <c r="A63" s="370"/>
      <c r="B63" s="1171"/>
      <c r="C63" s="29"/>
      <c r="D63" s="1181"/>
      <c r="E63" s="1165" t="s">
        <v>1495</v>
      </c>
      <c r="F63" s="346">
        <f t="shared" ca="1" si="0"/>
        <v>2680.6</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64.400000000000006</v>
      </c>
      <c r="D64" s="1179" t="s">
        <v>1498</v>
      </c>
      <c r="E64" s="1165"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7.3</v>
      </c>
      <c r="D65" s="1179" t="s">
        <v>1450</v>
      </c>
      <c r="E65" s="1165" t="s">
        <v>1451</v>
      </c>
      <c r="F65" s="374">
        <f t="shared" ca="1" si="0"/>
        <v>2E-3</v>
      </c>
      <c r="I65" s="1925" t="s">
        <v>1575</v>
      </c>
      <c r="J65" s="1926">
        <v>40</v>
      </c>
      <c r="K65" s="1926">
        <v>30</v>
      </c>
      <c r="L65" s="1926">
        <v>50</v>
      </c>
      <c r="M65" s="1928">
        <v>0.02</v>
      </c>
      <c r="O65" s="1880" t="s">
        <v>1037</v>
      </c>
      <c r="P65" s="1881" t="s">
        <v>1576</v>
      </c>
      <c r="Q65" s="1882">
        <f ca="1">C40+J29</f>
        <v>19387</v>
      </c>
      <c r="R65" s="1882" t="s">
        <v>1525</v>
      </c>
    </row>
    <row r="66" spans="1:18" s="1838" customFormat="1" ht="16.5" thickBot="1">
      <c r="A66" s="1197" t="s">
        <v>1500</v>
      </c>
      <c r="B66" s="1165" t="s">
        <v>1435</v>
      </c>
      <c r="C66" s="24">
        <f ca="1">ROUND(C48*F66,1)</f>
        <v>0</v>
      </c>
      <c r="D66" s="1179" t="s">
        <v>1501</v>
      </c>
      <c r="E66" s="1165" t="s">
        <v>1418</v>
      </c>
      <c r="F66" s="355">
        <f t="shared" ca="1" si="0"/>
        <v>0.01</v>
      </c>
      <c r="O66" s="1880" t="s">
        <v>1038</v>
      </c>
      <c r="P66" s="1881" t="s">
        <v>1554</v>
      </c>
      <c r="Q66" s="1882">
        <f ca="1">L60</f>
        <v>0</v>
      </c>
      <c r="R66" s="1882" t="s">
        <v>1577</v>
      </c>
    </row>
    <row r="67" spans="1:18" s="1838" customFormat="1" ht="16.5" thickBot="1">
      <c r="A67" s="1172" t="s">
        <v>1028</v>
      </c>
      <c r="B67" s="1182" t="s">
        <v>1459</v>
      </c>
      <c r="C67" s="359">
        <f ca="1">C48-C58</f>
        <v>-435</v>
      </c>
      <c r="D67" s="1178" t="s">
        <v>1460</v>
      </c>
      <c r="E67" s="1183"/>
      <c r="F67" s="1184"/>
      <c r="O67" s="1890" t="s">
        <v>1039</v>
      </c>
      <c r="P67" s="1881" t="s">
        <v>1558</v>
      </c>
      <c r="Q67" s="1929">
        <f ca="1">L51</f>
        <v>11784</v>
      </c>
      <c r="R67" s="1882" t="s">
        <v>1578</v>
      </c>
    </row>
    <row r="68" spans="1:18" s="1838" customFormat="1" ht="16.5" thickBot="1">
      <c r="A68" s="1162" t="s">
        <v>1029</v>
      </c>
      <c r="B68" s="1163" t="s">
        <v>1481</v>
      </c>
      <c r="C68" s="344">
        <f ca="1">ROUND(C67*(1-((1+F70)/(1+F68))^F69)/(F68-F70),0)</f>
        <v>-1901</v>
      </c>
      <c r="D68" s="1180" t="s">
        <v>1465</v>
      </c>
      <c r="E68" s="1165" t="s">
        <v>1466</v>
      </c>
      <c r="F68" s="355">
        <f ca="1">F40</f>
        <v>0.06</v>
      </c>
      <c r="O68" s="1890" t="s">
        <v>1040</v>
      </c>
      <c r="P68" s="1930" t="s">
        <v>1579</v>
      </c>
      <c r="Q68" s="1882">
        <f ca="1">ROUND(Q69-Q70*Q71,0)</f>
        <v>825</v>
      </c>
      <c r="R68" s="1882" t="s">
        <v>1048</v>
      </c>
    </row>
    <row r="69" spans="1:18" s="1838" customFormat="1" ht="13.5" thickBot="1">
      <c r="A69" s="1166"/>
      <c r="B69" s="1167"/>
      <c r="C69" s="349"/>
      <c r="D69" s="1185" t="s">
        <v>1469</v>
      </c>
      <c r="E69" s="1165" t="s">
        <v>1470</v>
      </c>
      <c r="F69" s="377">
        <f ca="1">F41</f>
        <v>5.22</v>
      </c>
      <c r="O69" s="1890" t="s">
        <v>1045</v>
      </c>
      <c r="P69" s="1930" t="s">
        <v>1580</v>
      </c>
      <c r="Q69" s="1882">
        <f ca="1">C39</f>
        <v>1135</v>
      </c>
      <c r="R69" s="1882" t="s">
        <v>1525</v>
      </c>
    </row>
    <row r="70" spans="1:18" s="1838" customFormat="1" ht="13.5" thickBot="1">
      <c r="A70" s="1169"/>
      <c r="B70" s="1170"/>
      <c r="C70" s="353"/>
      <c r="D70" s="1181"/>
      <c r="E70" s="1165" t="s">
        <v>1473</v>
      </c>
      <c r="F70" s="1271"/>
      <c r="O70" s="1890" t="s">
        <v>1046</v>
      </c>
      <c r="P70" s="1930" t="s">
        <v>1581</v>
      </c>
      <c r="Q70" s="1882">
        <f ca="1">C13</f>
        <v>3647</v>
      </c>
      <c r="R70" s="1882" t="s">
        <v>1525</v>
      </c>
    </row>
    <row r="71" spans="1:18" s="1838" customFormat="1" ht="13.5" thickBot="1">
      <c r="A71" s="1186" t="s">
        <v>1030</v>
      </c>
      <c r="B71" s="1187" t="s">
        <v>1483</v>
      </c>
      <c r="C71" s="380">
        <f ca="1">ROUND(C68*10000/F71,0)</f>
        <v>-2791</v>
      </c>
      <c r="D71" s="1188" t="s">
        <v>1484</v>
      </c>
      <c r="E71" s="1189" t="s">
        <v>1485</v>
      </c>
      <c r="F71" s="383">
        <f ca="1">F43</f>
        <v>6810.2999999999993</v>
      </c>
      <c r="O71" s="1890" t="s">
        <v>1047</v>
      </c>
      <c r="P71" s="1930" t="s">
        <v>1582</v>
      </c>
      <c r="Q71" s="1893">
        <f ca="1">C76</f>
        <v>8.5000000000000006E-2</v>
      </c>
      <c r="R71" s="1882"/>
    </row>
    <row r="72" spans="1:18" s="1838" customFormat="1" ht="13.5" thickBot="1">
      <c r="B72" s="794"/>
      <c r="C72" s="794"/>
      <c r="O72" s="1890" t="s">
        <v>1041</v>
      </c>
      <c r="P72" s="1881" t="s">
        <v>1560</v>
      </c>
      <c r="Q72" s="1893">
        <f>L52</f>
        <v>0.05</v>
      </c>
      <c r="R72" s="1882"/>
    </row>
    <row r="73" spans="1:18" ht="16.5" thickBot="1">
      <c r="A73" s="1838"/>
      <c r="B73" s="794"/>
      <c r="C73" s="794"/>
      <c r="D73" s="1838"/>
      <c r="E73" s="1838"/>
      <c r="F73" s="1838"/>
      <c r="O73" s="1890" t="s">
        <v>1042</v>
      </c>
      <c r="P73" s="1881" t="s">
        <v>1563</v>
      </c>
      <c r="Q73" s="1882">
        <f ca="1">L58</f>
        <v>0.83240000000000003</v>
      </c>
      <c r="R73" s="1882" t="s">
        <v>1564</v>
      </c>
    </row>
    <row r="74" spans="1:18" ht="13.5" thickBot="1">
      <c r="A74" s="1838"/>
      <c r="B74" s="315" t="s">
        <v>1583</v>
      </c>
      <c r="C74" s="1932"/>
      <c r="D74" s="1838"/>
      <c r="E74" s="1838"/>
      <c r="F74" s="1838"/>
      <c r="O74" s="1890" t="s">
        <v>1049</v>
      </c>
      <c r="P74" s="1881" t="str">
        <f>K59</f>
        <v>建筑物剩余耐用年限下的土地年期修正系数Kn</v>
      </c>
      <c r="Q74" s="1882">
        <f ca="1">L59</f>
        <v>1.0688</v>
      </c>
      <c r="R74" s="1882" t="s">
        <v>1565</v>
      </c>
    </row>
    <row r="75" spans="1:18" ht="13.5" thickBot="1">
      <c r="A75" s="1838"/>
      <c r="B75" s="384" t="s">
        <v>1502</v>
      </c>
      <c r="C75" s="385">
        <f ca="1">ROUND(C13*C76,0)</f>
        <v>310</v>
      </c>
      <c r="D75" s="1838"/>
      <c r="E75" s="1838"/>
      <c r="F75" s="1838"/>
      <c r="K75" s="1864"/>
      <c r="L75" s="1838"/>
      <c r="O75" s="1880" t="s">
        <v>1043</v>
      </c>
      <c r="P75" s="1881" t="s">
        <v>1545</v>
      </c>
      <c r="Q75" s="1882">
        <f ca="1">Q65+Q66</f>
        <v>19387</v>
      </c>
      <c r="R75" s="1882" t="s">
        <v>1044</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0.72699999999999998</v>
      </c>
    </row>
    <row r="80" spans="1:18">
      <c r="B80" s="384" t="s">
        <v>1507</v>
      </c>
      <c r="C80" s="316">
        <f ca="1">ROUND(C75/C39,3)</f>
        <v>0.27300000000000002</v>
      </c>
    </row>
    <row r="81" spans="2:3">
      <c r="B81" s="312" t="s">
        <v>1508</v>
      </c>
      <c r="C81" s="280"/>
    </row>
    <row r="82" spans="2:3">
      <c r="B82" s="315" t="s">
        <v>1509</v>
      </c>
      <c r="C82" s="317">
        <f ca="1">1-C83</f>
        <v>0.26500000000000001</v>
      </c>
    </row>
    <row r="83" spans="2:3">
      <c r="B83" s="315" t="s">
        <v>1510</v>
      </c>
      <c r="C83" s="316">
        <f ca="1">ROUND(C13/C40,3)</f>
        <v>0.73499999999999999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1" sqref="K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c r="D1" s="1816"/>
      <c r="E1" s="1817" t="s">
        <v>1383</v>
      </c>
      <c r="F1" s="1279" t="b">
        <f>J53</f>
        <v>0</v>
      </c>
      <c r="G1" s="1832">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2" t="s">
        <v>1584</v>
      </c>
      <c r="I3" s="1836"/>
      <c r="J3" s="1836"/>
      <c r="K3" s="1837"/>
      <c r="L3" s="1836"/>
      <c r="M3" s="1836"/>
    </row>
    <row r="4" spans="1:37" ht="18" customHeight="1">
      <c r="A4" s="338" t="s">
        <v>1591</v>
      </c>
      <c r="B4" s="339" t="s">
        <v>1592</v>
      </c>
      <c r="C4" s="339" t="s">
        <v>1593</v>
      </c>
      <c r="D4" s="339" t="s">
        <v>1594</v>
      </c>
      <c r="E4" s="340" t="s">
        <v>1595</v>
      </c>
      <c r="F4" s="341"/>
      <c r="G4" s="1847"/>
      <c r="H4" s="338" t="s">
        <v>1591</v>
      </c>
      <c r="I4" s="339" t="s">
        <v>1592</v>
      </c>
      <c r="J4" s="339" t="s">
        <v>1593</v>
      </c>
      <c r="K4" s="339" t="s">
        <v>1594</v>
      </c>
      <c r="L4" s="340" t="s">
        <v>1595</v>
      </c>
      <c r="M4" s="341"/>
    </row>
    <row r="5" spans="1:37" ht="18" customHeight="1">
      <c r="A5" s="342">
        <v>1</v>
      </c>
      <c r="B5" s="343" t="s">
        <v>1596</v>
      </c>
      <c r="C5" s="1288">
        <f ca="1">C6+C10+C12</f>
        <v>0</v>
      </c>
      <c r="D5" s="1818" t="s">
        <v>1597</v>
      </c>
      <c r="E5" s="1289"/>
      <c r="F5" s="1290"/>
      <c r="G5" s="1847"/>
      <c r="H5" s="342">
        <v>1</v>
      </c>
      <c r="I5" s="343" t="s">
        <v>1596</v>
      </c>
      <c r="J5" s="1288">
        <f ca="1">J6+J10+J12</f>
        <v>0</v>
      </c>
      <c r="K5" s="1818" t="s">
        <v>1597</v>
      </c>
      <c r="L5" s="1289"/>
      <c r="M5" s="1290"/>
    </row>
    <row r="6" spans="1:37" ht="18" customHeight="1">
      <c r="A6" s="1287" t="s">
        <v>1032</v>
      </c>
      <c r="B6" s="3253" t="s">
        <v>1399</v>
      </c>
      <c r="C6" s="1292">
        <f ca="1">ROUND(F6*F8*F7*(1-F9),0)</f>
        <v>0</v>
      </c>
      <c r="D6" s="162" t="s">
        <v>3017</v>
      </c>
      <c r="E6" s="345" t="s">
        <v>1401</v>
      </c>
      <c r="F6" s="346">
        <f ca="1">INDIRECT("'数据-取费表'!u"&amp;$G$1)</f>
        <v>0</v>
      </c>
      <c r="G6" s="1847"/>
      <c r="H6" s="1287" t="s">
        <v>1032</v>
      </c>
      <c r="I6" s="3253" t="s">
        <v>1399</v>
      </c>
      <c r="J6" s="344">
        <f ca="1">ROUND(M6*M8*M7*(1-M9),0)</f>
        <v>0</v>
      </c>
      <c r="K6" s="1830" t="s">
        <v>3018</v>
      </c>
      <c r="L6" s="345" t="s">
        <v>1401</v>
      </c>
      <c r="M6" s="346">
        <f ca="1">INDIRECT("'数据-取费表'!z"&amp;$G$1)</f>
        <v>0</v>
      </c>
    </row>
    <row r="7" spans="1:37" ht="18" customHeight="1">
      <c r="A7" s="1291"/>
      <c r="B7" s="3254"/>
      <c r="C7" s="1293"/>
      <c r="D7" s="350"/>
      <c r="E7" s="1294" t="s">
        <v>1402</v>
      </c>
      <c r="F7" s="346">
        <f ca="1">IF(INDIRECT("'数据-取费表'!ah"&amp;$G$1)="",INDIRECT("'数据-取费表'!k"&amp;$G$1),INDIRECT("'数据-取费表'!ah"&amp;$G$1))</f>
        <v>0</v>
      </c>
      <c r="G7" s="1847"/>
      <c r="H7" s="347"/>
      <c r="I7" s="3254"/>
      <c r="J7" s="349"/>
      <c r="K7" s="350"/>
      <c r="L7" s="345" t="s">
        <v>1402</v>
      </c>
      <c r="M7" s="346">
        <f ca="1">F7</f>
        <v>0</v>
      </c>
    </row>
    <row r="8" spans="1:37" ht="18" customHeight="1">
      <c r="A8" s="347"/>
      <c r="B8" s="3254"/>
      <c r="C8" s="349"/>
      <c r="D8" s="350"/>
      <c r="E8" s="345" t="s">
        <v>1403</v>
      </c>
      <c r="F8" s="346">
        <f ca="1">INDIRECT("'数据-取费表'!ai"&amp;$G$1)</f>
        <v>0</v>
      </c>
      <c r="G8" s="1847"/>
      <c r="H8" s="347"/>
      <c r="I8" s="3254"/>
      <c r="J8" s="349"/>
      <c r="K8" s="350"/>
      <c r="L8" s="345" t="s">
        <v>1403</v>
      </c>
      <c r="M8" s="346">
        <f ca="1">INDIRECT("'数据-取费表'!ai"&amp;$G$1)</f>
        <v>0</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v>
      </c>
    </row>
    <row r="10" spans="1:37" ht="18" customHeight="1">
      <c r="A10" s="1287" t="s">
        <v>1036</v>
      </c>
      <c r="B10" s="1819" t="s">
        <v>1405</v>
      </c>
      <c r="C10" s="359">
        <f ca="1">ROUND(IF(F10="押一",C6/12*F11,IF(F10="押二",C6/12*2*F11,IF(F10="押三",C6/12*3*F11,C11*F11))),0)</f>
        <v>0</v>
      </c>
      <c r="D10" s="1820" t="s">
        <v>3028</v>
      </c>
      <c r="E10" s="356" t="s">
        <v>1406</v>
      </c>
      <c r="F10" s="1362"/>
      <c r="G10" s="1847"/>
      <c r="H10" s="1287" t="s">
        <v>1036</v>
      </c>
      <c r="I10" s="1819" t="s">
        <v>1405</v>
      </c>
      <c r="J10" s="344">
        <f ca="1">ROUND(IF(M10="押一",J6/12*M11,IF(M10="押二",J6/12*2*M11,IF(M10="押三",J6/12*3*M11,J11*M11))),0)</f>
        <v>0</v>
      </c>
      <c r="K10" s="1831" t="s">
        <v>3030</v>
      </c>
      <c r="L10" s="356" t="s">
        <v>1406</v>
      </c>
      <c r="M10" s="1362"/>
    </row>
    <row r="11" spans="1:37" ht="18" customHeight="1">
      <c r="A11" s="351"/>
      <c r="B11" s="1821" t="s">
        <v>1598</v>
      </c>
      <c r="C11" s="1174"/>
      <c r="D11" s="350"/>
      <c r="E11" s="356" t="s">
        <v>1408</v>
      </c>
      <c r="F11" s="357">
        <f ca="1">'数据-取费表'!B39</f>
        <v>1.4999999999999999E-2</v>
      </c>
      <c r="G11" s="1847"/>
      <c r="H11" s="1295"/>
      <c r="I11" s="1821" t="s">
        <v>1599</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5" t="s">
        <v>1413</v>
      </c>
      <c r="C14" s="361">
        <f ca="1">ROUND(INDIRECT("'数据-取费表'!l"&amp;$G$1)*F43+'数据-取费表'!L14*INDIRECT("'数据-取费表'!S"&amp;$G$1),0)</f>
        <v>0</v>
      </c>
      <c r="D14" s="1796" t="s">
        <v>1414</v>
      </c>
      <c r="E14" s="1790"/>
      <c r="F14" s="362"/>
      <c r="G14" s="1847"/>
      <c r="H14" s="1197" t="s">
        <v>1032</v>
      </c>
      <c r="I14" s="345" t="s">
        <v>1415</v>
      </c>
      <c r="J14" s="24">
        <f ca="1">C29</f>
        <v>0</v>
      </c>
      <c r="K14" s="15"/>
      <c r="L14" s="975"/>
      <c r="M14" s="976"/>
    </row>
    <row r="15" spans="1:37" s="1854" customFormat="1" ht="18" customHeight="1" thickBot="1">
      <c r="A15" s="1197" t="s">
        <v>1033</v>
      </c>
      <c r="B15" s="345" t="s">
        <v>1416</v>
      </c>
      <c r="C15" s="24">
        <f ca="1">ROUND(C14*F15,0)</f>
        <v>0</v>
      </c>
      <c r="D15" s="363" t="s">
        <v>1417</v>
      </c>
      <c r="E15" s="363" t="s">
        <v>1418</v>
      </c>
      <c r="F15" s="364">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ROUND(INDIRECT("'数据-取费表'!l"&amp;$G$1)*F43*F16,0)</f>
        <v>0</v>
      </c>
      <c r="D16" s="345" t="s">
        <v>1417</v>
      </c>
      <c r="E16" s="345" t="s">
        <v>1418</v>
      </c>
      <c r="F16" s="365">
        <f ca="1">IF(INDIRECT("'数据-取费表'!c"&amp;$G$1)="住宅",'数据-取费表'!B34,0)</f>
        <v>0</v>
      </c>
      <c r="G16" s="1847"/>
      <c r="H16" s="1325" t="s">
        <v>1027</v>
      </c>
      <c r="I16" s="1326" t="s">
        <v>1420</v>
      </c>
      <c r="J16" s="353">
        <f ca="1">ROUND(J17+J22+J23+J24,0)</f>
        <v>0</v>
      </c>
      <c r="K16" s="1333" t="s">
        <v>1421</v>
      </c>
      <c r="L16" s="1334"/>
      <c r="M16" s="1290"/>
    </row>
    <row r="17" spans="1:37" s="1854" customFormat="1" ht="18" customHeight="1">
      <c r="A17" s="1197" t="s">
        <v>1386</v>
      </c>
      <c r="B17" s="345" t="s">
        <v>1422</v>
      </c>
      <c r="C17" s="24">
        <f ca="1">ROUND(F17*(F43+INDIRECT("'数据-取费表'!S"&amp;$G$1)),0)</f>
        <v>0</v>
      </c>
      <c r="D17" s="345" t="s">
        <v>1423</v>
      </c>
      <c r="E17" s="345" t="s">
        <v>1424</v>
      </c>
      <c r="F17" s="26">
        <f>'数据-取费表'!B35</f>
        <v>200</v>
      </c>
      <c r="G17" s="1850"/>
      <c r="H17" s="1197" t="s">
        <v>1032</v>
      </c>
      <c r="I17" s="345" t="s">
        <v>1425</v>
      </c>
      <c r="J17" s="24">
        <f ca="1">ROUND(IF(项目基本情况!B11="自然人",J5*M17,J18+J19+J20),0)</f>
        <v>0</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0</v>
      </c>
      <c r="D18" s="345" t="s">
        <v>1417</v>
      </c>
      <c r="E18" s="345" t="s">
        <v>1418</v>
      </c>
      <c r="F18" s="365">
        <f>'数据-取费表'!B36</f>
        <v>1.4999999999999999E-2</v>
      </c>
      <c r="G18" s="1850"/>
      <c r="H18" s="1197" t="s">
        <v>1031</v>
      </c>
      <c r="I18" s="345" t="s">
        <v>1429</v>
      </c>
      <c r="J18" s="24">
        <f ca="1">ROUND(J5*M18/(1+'数据-取费表'!C42),0)</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0</v>
      </c>
      <c r="D19" s="138" t="s">
        <v>1432</v>
      </c>
      <c r="E19" s="1814"/>
      <c r="F19" s="26"/>
      <c r="G19" s="1847"/>
      <c r="H19" s="1197" t="s">
        <v>1033</v>
      </c>
      <c r="I19" s="345" t="s">
        <v>1433</v>
      </c>
      <c r="J19" s="24">
        <f ca="1">IF(K19="按租金收入计税",ROUND(J5*M19,0),ROUND(C29*M19*0.7,0))</f>
        <v>0</v>
      </c>
      <c r="K19" s="1824" t="s">
        <v>1434</v>
      </c>
      <c r="L19" s="345" t="s">
        <v>1418</v>
      </c>
      <c r="M19" s="365">
        <f>IF(K19="按租金收入计税",'数据-取费表'!B51,'数据-取费表'!B50)</f>
        <v>1.2E-2</v>
      </c>
    </row>
    <row r="20" spans="1:37" s="1854" customFormat="1" ht="18" customHeight="1">
      <c r="A20" s="1197" t="s">
        <v>1036</v>
      </c>
      <c r="B20" s="345" t="s">
        <v>1435</v>
      </c>
      <c r="C20" s="24">
        <f ca="1">ROUND(C19*F20,0)</f>
        <v>0</v>
      </c>
      <c r="D20" s="367" t="s">
        <v>1436</v>
      </c>
      <c r="E20" s="345" t="s">
        <v>1418</v>
      </c>
      <c r="F20" s="365">
        <f>'数据-取费表'!B37</f>
        <v>0.03</v>
      </c>
      <c r="G20" s="1850"/>
      <c r="H20" s="1197" t="s">
        <v>1385</v>
      </c>
      <c r="I20" s="162" t="s">
        <v>1437</v>
      </c>
      <c r="J20" s="25">
        <f ca="1">ROUND(M20*M21,0)</f>
        <v>0</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v>
      </c>
      <c r="D21" s="367" t="s">
        <v>1441</v>
      </c>
      <c r="E21" s="345" t="s">
        <v>1442</v>
      </c>
      <c r="F21" s="365">
        <f>'数据-取费表'!B38</f>
        <v>0.03</v>
      </c>
      <c r="G21" s="1850"/>
      <c r="H21" s="370"/>
      <c r="I21" s="354"/>
      <c r="J21" s="29"/>
      <c r="K21" s="371"/>
      <c r="L21" s="345" t="s">
        <v>1443</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1814"/>
      <c r="F22" s="26"/>
      <c r="G22" s="1847"/>
      <c r="H22" s="1197" t="s">
        <v>1036</v>
      </c>
      <c r="I22" s="345" t="s">
        <v>1445</v>
      </c>
      <c r="J22" s="24">
        <f ca="1">ROUND(J14*M22,0)</f>
        <v>0</v>
      </c>
      <c r="K22" s="1794" t="s">
        <v>1446</v>
      </c>
      <c r="L22" s="345" t="s">
        <v>1418</v>
      </c>
      <c r="M22" s="372">
        <f ca="1">INDIRECT("'数据-取费表'!Ak"&amp;$G$1)</f>
        <v>0</v>
      </c>
    </row>
    <row r="23" spans="1:37" s="1854" customFormat="1" ht="18" customHeight="1">
      <c r="A23" s="1197"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ROUND(J13*M23,0)</f>
        <v>0</v>
      </c>
      <c r="K23" s="1794"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ROUND(J5*M24,0)</f>
        <v>0</v>
      </c>
      <c r="K24" s="1338" t="s">
        <v>1455</v>
      </c>
      <c r="L24" s="1336" t="s">
        <v>1451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5" t="s">
        <v>1457</v>
      </c>
      <c r="C25" s="24"/>
      <c r="D25" s="138" t="s">
        <v>1458</v>
      </c>
      <c r="E25" s="1814"/>
      <c r="F25" s="26"/>
      <c r="G25" s="1847"/>
      <c r="H25" s="1325" t="s">
        <v>1028</v>
      </c>
      <c r="I25" s="1340" t="s">
        <v>1459</v>
      </c>
      <c r="J25" s="353">
        <f ca="1">J5-J16</f>
        <v>0</v>
      </c>
      <c r="K25" s="1341" t="s">
        <v>1460</v>
      </c>
      <c r="L25" s="1342"/>
      <c r="M25" s="1343"/>
    </row>
    <row r="26" spans="1:37" ht="18" customHeight="1">
      <c r="A26" s="1197" t="s">
        <v>1031</v>
      </c>
      <c r="B26" s="345" t="s">
        <v>1461</v>
      </c>
      <c r="C26" s="24">
        <f ca="1">ROUND((C19+C20)*F26,0)</f>
        <v>0</v>
      </c>
      <c r="D26" s="367" t="s">
        <v>1462</v>
      </c>
      <c r="E26" s="356" t="s">
        <v>1463</v>
      </c>
      <c r="F26" s="355">
        <f ca="1">INDIRECT("'数据-取费表'!q"&amp;$G$1)</f>
        <v>0</v>
      </c>
      <c r="G26" s="1847"/>
      <c r="H26" s="342" t="s">
        <v>1029</v>
      </c>
      <c r="I26" s="343" t="s">
        <v>1464</v>
      </c>
      <c r="J26" s="344">
        <f ca="1">IF(J5&lt;&gt;0,ROUND(J25*(1-((1+M28)/(1+M26))^M27)/(M26-M28),0),0)</f>
        <v>0</v>
      </c>
      <c r="K26" s="368" t="s">
        <v>1465</v>
      </c>
      <c r="L26" s="345" t="s">
        <v>1466</v>
      </c>
      <c r="M26" s="355">
        <f ca="1">INDIRECT("'数据-取费表'!I"&amp;$G$1)</f>
        <v>0</v>
      </c>
    </row>
    <row r="27" spans="1:37" ht="18" customHeight="1">
      <c r="A27" s="1197" t="s">
        <v>1033</v>
      </c>
      <c r="B27" s="345" t="s">
        <v>1467</v>
      </c>
      <c r="C27" s="24">
        <f ca="1">ROUND(F21*F26,4)</f>
        <v>0</v>
      </c>
      <c r="D27" s="367" t="s">
        <v>1468</v>
      </c>
      <c r="E27" s="363"/>
      <c r="F27" s="364"/>
      <c r="G27" s="1847"/>
      <c r="H27" s="347"/>
      <c r="I27" s="348"/>
      <c r="J27" s="349"/>
      <c r="K27" s="376" t="s">
        <v>1469</v>
      </c>
      <c r="L27" s="345" t="s">
        <v>1470</v>
      </c>
      <c r="M27" s="377">
        <f ca="1">INDIRECT("'数据-取费表'!ag"&amp;$G$1)</f>
        <v>0</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8" t="s">
        <v>1030</v>
      </c>
      <c r="I29" s="379" t="s">
        <v>1475</v>
      </c>
      <c r="J29" s="380">
        <f ca="1">ROUND(J26/(1+F40)^F41,0)</f>
        <v>0</v>
      </c>
      <c r="K29" s="381" t="s">
        <v>1476</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0</v>
      </c>
      <c r="D30" s="1333" t="s">
        <v>1421</v>
      </c>
      <c r="E30" s="1334"/>
      <c r="F30" s="1290"/>
      <c r="G30" s="1847"/>
      <c r="H30" s="743"/>
      <c r="I30" s="744"/>
      <c r="J30" s="745"/>
      <c r="K30" s="746"/>
      <c r="L30" s="747"/>
      <c r="M30" s="748"/>
    </row>
    <row r="31" spans="1:37" ht="18" customHeight="1">
      <c r="A31" s="1197" t="s">
        <v>1032</v>
      </c>
      <c r="B31" s="345" t="s">
        <v>1425</v>
      </c>
      <c r="C31" s="24">
        <f ca="1">ROUND(IF(项目基本情况!B11="自然人",C5*F31,C32+C33+C34),0)</f>
        <v>0</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IF(项目基本情况!B11="自然人","——",ROUND(C5*F32/(1+'数据-取费表'!C42),0))</f>
        <v>0</v>
      </c>
      <c r="D32" s="1794"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IF(项目基本情况!B11="自然人","——",IF(D33="按租金收入计税",ROUND(C5*F33,0),IF(D33="按房产原值计税",ROUND(C29*F33*0.7,0),INDIRECT("'数据-取费表'!Aj"&amp;$G$1))))</f>
        <v>0</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5">
        <f ca="1">IF(项目基本情况!B11="自然人","——",ROUND(F34*F35,))</f>
        <v>0</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0</v>
      </c>
      <c r="G35" s="1847"/>
      <c r="H35" s="743"/>
      <c r="I35" s="1856"/>
      <c r="J35" s="1857"/>
      <c r="K35" s="1858"/>
      <c r="L35" s="1855"/>
      <c r="M35" s="1855"/>
    </row>
    <row r="36" spans="1:18" ht="18" customHeight="1">
      <c r="A36" s="1348" t="s">
        <v>1036</v>
      </c>
      <c r="B36" s="345" t="s">
        <v>1445</v>
      </c>
      <c r="C36" s="24">
        <f ca="1">ROUND(C29*F36,0)</f>
        <v>0</v>
      </c>
      <c r="D36" s="1794" t="s">
        <v>1478</v>
      </c>
      <c r="E36" s="345" t="s">
        <v>1418</v>
      </c>
      <c r="F36" s="372">
        <f ca="1">INDIRECT("'数据-取费表'!Ak"&amp;$G$1)</f>
        <v>0</v>
      </c>
      <c r="G36" s="1847"/>
      <c r="H36" s="1855"/>
      <c r="I36" s="1856"/>
      <c r="J36" s="1857"/>
      <c r="K36" s="749"/>
      <c r="L36" s="1855"/>
      <c r="M36" s="1855"/>
    </row>
    <row r="37" spans="1:18" ht="18" customHeight="1">
      <c r="A37" s="1197" t="s">
        <v>1072</v>
      </c>
      <c r="B37" s="345" t="s">
        <v>1449</v>
      </c>
      <c r="C37" s="24">
        <f ca="1">ROUND(C13*F37,0)</f>
        <v>0</v>
      </c>
      <c r="D37" s="1794"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0</v>
      </c>
      <c r="D38" s="1338" t="s">
        <v>1455</v>
      </c>
      <c r="E38" s="1336" t="s">
        <v>1451</v>
      </c>
      <c r="F38" s="1332">
        <f ca="1">INDIRECT("'数据-取费表'!Am"&amp;$G$1)</f>
        <v>1.4999999999999999E-2</v>
      </c>
      <c r="G38" s="1847"/>
      <c r="H38" s="1855"/>
      <c r="I38" s="1856"/>
      <c r="J38" s="1857"/>
      <c r="K38" s="1861"/>
      <c r="L38" s="1855"/>
      <c r="M38" s="1855"/>
    </row>
    <row r="39" spans="1:18" ht="24.6" customHeight="1" thickTop="1">
      <c r="A39" s="1325" t="s">
        <v>1028</v>
      </c>
      <c r="B39" s="1340" t="s">
        <v>1479</v>
      </c>
      <c r="C39" s="353">
        <f ca="1">C5-C30</f>
        <v>0</v>
      </c>
      <c r="D39" s="1341" t="s">
        <v>1480</v>
      </c>
      <c r="E39" s="1342"/>
      <c r="F39" s="1343"/>
      <c r="G39" s="1847"/>
      <c r="H39" s="1855"/>
      <c r="I39" s="1856"/>
      <c r="J39" s="1857"/>
      <c r="K39" s="1861"/>
      <c r="L39" s="1855"/>
      <c r="M39" s="1855"/>
    </row>
    <row r="40" spans="1:18" ht="18" customHeight="1">
      <c r="A40" s="342" t="s">
        <v>1029</v>
      </c>
      <c r="B40" s="343" t="s">
        <v>1481</v>
      </c>
      <c r="C40" s="344" t="e">
        <f ca="1">ROUND(C39*(1-((1+F42)/(1+F40))^F41)/(F40-F42),0)</f>
        <v>#DIV/0!</v>
      </c>
      <c r="D40" s="368" t="s">
        <v>1465</v>
      </c>
      <c r="E40" s="345" t="s">
        <v>1466</v>
      </c>
      <c r="F40" s="355">
        <f ca="1">INDIRECT("'数据-取费表'!I"&amp;$G$1)</f>
        <v>0</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0</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90"/>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3" t="s">
        <v>1397</v>
      </c>
      <c r="C48" s="1813">
        <f ca="1">C49+C53+C55</f>
        <v>0</v>
      </c>
      <c r="D48" s="1358"/>
      <c r="E48" s="1359"/>
      <c r="F48" s="1177"/>
      <c r="G48" s="790"/>
      <c r="H48" s="791"/>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0" t="s">
        <v>1133</v>
      </c>
      <c r="B49" s="1825" t="s">
        <v>1486</v>
      </c>
      <c r="C49" s="1360">
        <f ca="1">ROUND(F49*F51*F50*(1-F52),0)</f>
        <v>0</v>
      </c>
      <c r="D49" s="1272" t="s">
        <v>1400</v>
      </c>
      <c r="E49" s="1826" t="s">
        <v>1487</v>
      </c>
      <c r="F49" s="1277"/>
      <c r="G49" s="1887"/>
      <c r="H49" s="791"/>
      <c r="I49" s="1883" t="s">
        <v>1530</v>
      </c>
      <c r="J49" s="1888"/>
      <c r="K49" s="1885" t="s">
        <v>1531</v>
      </c>
      <c r="L49" s="1889"/>
      <c r="O49" s="1890" t="s">
        <v>1039</v>
      </c>
      <c r="P49" s="1881" t="s">
        <v>1532</v>
      </c>
      <c r="Q49" s="1882">
        <f ca="1">C29</f>
        <v>0</v>
      </c>
      <c r="R49" s="1882" t="s">
        <v>1525</v>
      </c>
    </row>
    <row r="50" spans="1:18" s="1838" customFormat="1" ht="13.5" thickBot="1">
      <c r="A50" s="1191"/>
      <c r="B50" s="1194"/>
      <c r="C50" s="1195"/>
      <c r="D50" s="1168"/>
      <c r="E50" s="1273" t="s">
        <v>1402</v>
      </c>
      <c r="F50" s="1274">
        <f ca="1">F7</f>
        <v>0</v>
      </c>
      <c r="H50" s="791"/>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2"/>
      <c r="B51" s="1194"/>
      <c r="C51" s="1195"/>
      <c r="D51" s="1168"/>
      <c r="E51" s="1196" t="s">
        <v>1403</v>
      </c>
      <c r="F51" s="346">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7" t="s">
        <v>1405</v>
      </c>
      <c r="C53" s="359">
        <f ca="1">ROUND(IF(F53="押一",C49/12*F11,IF(F53="押二",C49/12*2*F11,IF(F53="押三",C49/12*3*F11,C54*F11))),0)</f>
        <v>0</v>
      </c>
      <c r="D53" s="1820" t="s">
        <v>3031</v>
      </c>
      <c r="E53" s="356"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51" t="s">
        <v>1544</v>
      </c>
      <c r="L53" s="3252"/>
      <c r="O53" s="1880" t="s">
        <v>1043</v>
      </c>
      <c r="P53" s="1881" t="s">
        <v>1545</v>
      </c>
      <c r="Q53" s="1882" t="e">
        <f ca="1">Q47+Q48</f>
        <v>#DIV/0!</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4">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5" t="s">
        <v>1474</v>
      </c>
      <c r="C57" s="280">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8" t="s">
        <v>1027</v>
      </c>
      <c r="B58" s="1173" t="s">
        <v>1420</v>
      </c>
      <c r="C58" s="359">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0</v>
      </c>
      <c r="D59" s="1178" t="s">
        <v>1426</v>
      </c>
      <c r="E59" s="1179" t="s">
        <v>1427</v>
      </c>
      <c r="F59" s="366"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5">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5">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69">
        <f t="shared" si="0"/>
        <v>12</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0"/>
      <c r="B63" s="1171"/>
      <c r="C63" s="29"/>
      <c r="D63" s="1181"/>
      <c r="E63" s="1165" t="s">
        <v>1495</v>
      </c>
      <c r="F63" s="346">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0</v>
      </c>
      <c r="D64" s="1179" t="s">
        <v>1498</v>
      </c>
      <c r="E64" s="1165" t="s">
        <v>1490</v>
      </c>
      <c r="F64" s="372">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0</v>
      </c>
      <c r="D65" s="1179" t="s">
        <v>1450</v>
      </c>
      <c r="E65" s="1165" t="s">
        <v>1451</v>
      </c>
      <c r="F65" s="374">
        <f t="shared" ca="1" si="0"/>
        <v>2E-3</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7" t="s">
        <v>1500</v>
      </c>
      <c r="B66" s="1165" t="s">
        <v>1435</v>
      </c>
      <c r="C66" s="24">
        <f ca="1">ROUND(C48*F66,0)</f>
        <v>0</v>
      </c>
      <c r="D66" s="1179" t="s">
        <v>1501</v>
      </c>
      <c r="E66" s="1165" t="s">
        <v>1418</v>
      </c>
      <c r="F66" s="355">
        <f t="shared" ca="1" si="0"/>
        <v>1.4999999999999999E-2</v>
      </c>
      <c r="O66" s="1880" t="s">
        <v>1038</v>
      </c>
      <c r="P66" s="1881" t="s">
        <v>1554</v>
      </c>
      <c r="Q66" s="1882" t="e">
        <f ca="1">L60</f>
        <v>#DIV/0!</v>
      </c>
      <c r="R66" s="1882" t="s">
        <v>1577</v>
      </c>
    </row>
    <row r="67" spans="1:18" s="1838" customFormat="1" ht="16.5" thickBot="1">
      <c r="A67" s="1172" t="s">
        <v>1028</v>
      </c>
      <c r="B67" s="1182" t="s">
        <v>1459</v>
      </c>
      <c r="C67" s="359">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4" t="e">
        <f ca="1">ROUND(C67*(1-((1+F70)/(1+F68))^F69)/(F68-F70),0)</f>
        <v>#DIV/0!</v>
      </c>
      <c r="D68" s="1180" t="s">
        <v>1465</v>
      </c>
      <c r="E68" s="1165" t="s">
        <v>1466</v>
      </c>
      <c r="F68" s="355">
        <f ca="1">F40</f>
        <v>0</v>
      </c>
      <c r="O68" s="1890" t="s">
        <v>1040</v>
      </c>
      <c r="P68" s="1930" t="s">
        <v>1579</v>
      </c>
      <c r="Q68" s="1882">
        <f ca="1">ROUND(Q69-Q70*Q71,0)</f>
        <v>0</v>
      </c>
      <c r="R68" s="1882" t="s">
        <v>1048</v>
      </c>
    </row>
    <row r="69" spans="1:18" s="1838" customFormat="1" ht="13.5" thickBot="1">
      <c r="A69" s="1166"/>
      <c r="B69" s="1167"/>
      <c r="C69" s="349"/>
      <c r="D69" s="1185" t="s">
        <v>1469</v>
      </c>
      <c r="E69" s="1165" t="s">
        <v>1470</v>
      </c>
      <c r="F69" s="377">
        <f ca="1">F41</f>
        <v>0</v>
      </c>
      <c r="O69" s="1890" t="s">
        <v>1045</v>
      </c>
      <c r="P69" s="1930" t="s">
        <v>1580</v>
      </c>
      <c r="Q69" s="1882">
        <f ca="1">C39</f>
        <v>0</v>
      </c>
      <c r="R69" s="1882" t="s">
        <v>1525</v>
      </c>
    </row>
    <row r="70" spans="1:18" s="1838" customFormat="1" ht="13.5" thickBot="1">
      <c r="A70" s="1169"/>
      <c r="B70" s="1170"/>
      <c r="C70" s="353"/>
      <c r="D70" s="1181"/>
      <c r="E70" s="1165" t="s">
        <v>1473</v>
      </c>
      <c r="F70" s="1271">
        <f ca="1">F42</f>
        <v>0</v>
      </c>
      <c r="O70" s="1890" t="s">
        <v>1046</v>
      </c>
      <c r="P70" s="1930" t="s">
        <v>1581</v>
      </c>
      <c r="Q70" s="1882">
        <f ca="1">C13</f>
        <v>0</v>
      </c>
      <c r="R70" s="1882" t="s">
        <v>1525</v>
      </c>
    </row>
    <row r="71" spans="1:18" s="1838" customFormat="1" ht="13.5" thickBot="1">
      <c r="A71" s="1186" t="s">
        <v>1030</v>
      </c>
      <c r="B71" s="1187" t="s">
        <v>1483</v>
      </c>
      <c r="C71" s="380" t="e">
        <f ca="1">ROUND(C68/F71,0)</f>
        <v>#DIV/0!</v>
      </c>
      <c r="D71" s="1188" t="s">
        <v>1484</v>
      </c>
      <c r="E71" s="1189" t="s">
        <v>1485</v>
      </c>
      <c r="F71" s="383">
        <f ca="1">F43</f>
        <v>0</v>
      </c>
      <c r="O71" s="1890" t="s">
        <v>1047</v>
      </c>
      <c r="P71" s="1930" t="s">
        <v>1582</v>
      </c>
      <c r="Q71" s="1893">
        <f ca="1">C76</f>
        <v>0</v>
      </c>
      <c r="R71" s="1882"/>
    </row>
    <row r="72" spans="1:18" s="1838" customFormat="1" ht="13.5" thickBot="1">
      <c r="B72" s="794"/>
      <c r="C72" s="794"/>
      <c r="O72" s="1890" t="s">
        <v>1041</v>
      </c>
      <c r="P72" s="1881" t="s">
        <v>1560</v>
      </c>
      <c r="Q72" s="1893">
        <f>L52</f>
        <v>0</v>
      </c>
      <c r="R72" s="1882"/>
    </row>
    <row r="73" spans="1:18" ht="16.5" thickBot="1">
      <c r="A73" s="1838"/>
      <c r="B73" s="794"/>
      <c r="C73" s="794"/>
      <c r="D73" s="1838"/>
      <c r="E73" s="1838"/>
      <c r="F73" s="1838"/>
      <c r="O73" s="1890" t="s">
        <v>1042</v>
      </c>
      <c r="P73" s="1881" t="s">
        <v>1563</v>
      </c>
      <c r="Q73" s="1882" t="e">
        <f ca="1">L58</f>
        <v>#DIV/0!</v>
      </c>
      <c r="R73" s="1882" t="s">
        <v>1564</v>
      </c>
    </row>
    <row r="74" spans="1:18" ht="13.5" thickBot="1">
      <c r="A74" s="1838"/>
      <c r="B74" s="315"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4" t="s">
        <v>1502</v>
      </c>
      <c r="C75" s="385">
        <f ca="1">ROUND(C13*C76,0)</f>
        <v>0</v>
      </c>
      <c r="D75" s="1838"/>
      <c r="E75" s="1838"/>
      <c r="F75" s="1838"/>
      <c r="K75" s="1864"/>
      <c r="L75" s="1838"/>
      <c r="O75" s="1880" t="s">
        <v>1043</v>
      </c>
      <c r="P75" s="1881" t="s">
        <v>1545</v>
      </c>
      <c r="Q75" s="1882" t="e">
        <f ca="1">Q65+Q66</f>
        <v>#DIV/0!</v>
      </c>
      <c r="R75" s="1882" t="s">
        <v>1044</v>
      </c>
    </row>
    <row r="76" spans="1:18">
      <c r="B76" s="386" t="s">
        <v>1503</v>
      </c>
      <c r="C76" s="387">
        <f ca="1">INDIRECT("'数据-取费表'!j"&amp;$G$1)</f>
        <v>0</v>
      </c>
      <c r="I76" s="1838"/>
      <c r="J76" s="1838"/>
      <c r="K76" s="1864"/>
      <c r="L76" s="1838"/>
    </row>
    <row r="77" spans="1:18">
      <c r="B77" s="388" t="s">
        <v>1504</v>
      </c>
      <c r="C77" s="389"/>
      <c r="I77" s="1838"/>
      <c r="J77" s="1838"/>
      <c r="K77" s="1864"/>
      <c r="L77" s="1838"/>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27" sqref="H2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3159</v>
      </c>
      <c r="D1" s="1816" t="s">
        <v>70</v>
      </c>
      <c r="E1" s="1817" t="s">
        <v>1383</v>
      </c>
      <c r="F1" s="1279">
        <f ca="1">J53</f>
        <v>35.68</v>
      </c>
      <c r="G1" s="1832">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66794</v>
      </c>
      <c r="C2" s="1841" t="s">
        <v>1512</v>
      </c>
      <c r="D2" s="1841"/>
      <c r="E2" s="1842"/>
      <c r="F2" s="1843"/>
      <c r="G2" s="1844"/>
      <c r="H2" s="1836"/>
      <c r="I2" s="1836"/>
      <c r="J2" s="1836"/>
      <c r="K2" s="1837"/>
      <c r="L2" s="1836"/>
      <c r="M2" s="1836"/>
    </row>
    <row r="3" spans="1:37" ht="18" customHeight="1" thickBot="1">
      <c r="A3" s="1845" t="s">
        <v>1513</v>
      </c>
      <c r="B3" s="1846">
        <f ca="1">IF(ISERROR(B2*10000/F43),0,ROUND(B2*10000/F43,0))</f>
        <v>38667</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3630</v>
      </c>
      <c r="D5" s="1818" t="s">
        <v>1398</v>
      </c>
      <c r="E5" s="1289"/>
      <c r="F5" s="1290"/>
      <c r="G5" s="1847"/>
      <c r="H5" s="342">
        <v>1</v>
      </c>
      <c r="I5" s="343" t="s">
        <v>1397</v>
      </c>
      <c r="J5" s="1288">
        <f ca="1">J6+J10+J12</f>
        <v>3814</v>
      </c>
      <c r="K5" s="1818" t="s">
        <v>1398</v>
      </c>
      <c r="L5" s="1289"/>
      <c r="M5" s="1290"/>
    </row>
    <row r="6" spans="1:37" ht="18" customHeight="1">
      <c r="A6" s="1287" t="s">
        <v>1032</v>
      </c>
      <c r="B6" s="3253" t="s">
        <v>1399</v>
      </c>
      <c r="C6" s="1292">
        <f ca="1">ROUND(F6*F8*F7*(1-F9)/10000,0)</f>
        <v>3625</v>
      </c>
      <c r="D6" s="162" t="s">
        <v>3020</v>
      </c>
      <c r="E6" s="345" t="s">
        <v>1401</v>
      </c>
      <c r="F6" s="346">
        <f ca="1">INDIRECT("'数据-取费表'!u"&amp;$G$1)</f>
        <v>5.75</v>
      </c>
      <c r="G6" s="1847"/>
      <c r="H6" s="1287" t="s">
        <v>1032</v>
      </c>
      <c r="I6" s="3253" t="s">
        <v>1399</v>
      </c>
      <c r="J6" s="344">
        <f ca="1">ROUND(M6*M8*M7*(1-M9)/10000,0)</f>
        <v>3809</v>
      </c>
      <c r="K6" s="162" t="s">
        <v>3019</v>
      </c>
      <c r="L6" s="345" t="s">
        <v>1401</v>
      </c>
      <c r="M6" s="346">
        <f ca="1">INDIRECT("'数据-取费表'!z"&amp;$G$1)</f>
        <v>6.36</v>
      </c>
    </row>
    <row r="7" spans="1:37" ht="18" customHeight="1">
      <c r="A7" s="1291"/>
      <c r="B7" s="3254"/>
      <c r="C7" s="1293"/>
      <c r="D7" s="350"/>
      <c r="E7" s="2949" t="s">
        <v>1402</v>
      </c>
      <c r="F7" s="346">
        <f ca="1">IF(INDIRECT("'数据-取费表'!ah"&amp;$G$1)="",INDIRECT("'数据-取费表'!k"&amp;$G$1),INDIRECT("'数据-取费表'!ah"&amp;$G$1))</f>
        <v>17274</v>
      </c>
      <c r="G7" s="1847"/>
      <c r="H7" s="347"/>
      <c r="I7" s="3254"/>
      <c r="J7" s="349"/>
      <c r="K7" s="350"/>
      <c r="L7" s="345" t="s">
        <v>1402</v>
      </c>
      <c r="M7" s="346">
        <f ca="1">F7</f>
        <v>17274</v>
      </c>
    </row>
    <row r="8" spans="1:37" ht="18" customHeight="1">
      <c r="A8" s="347"/>
      <c r="B8" s="3254"/>
      <c r="C8" s="349"/>
      <c r="D8" s="350"/>
      <c r="E8" s="345" t="s">
        <v>1403</v>
      </c>
      <c r="F8" s="346">
        <f ca="1">INDIRECT("'数据-取费表'!ai"&amp;$G$1)</f>
        <v>365</v>
      </c>
      <c r="G8" s="1847"/>
      <c r="H8" s="347"/>
      <c r="I8" s="3254"/>
      <c r="J8" s="349"/>
      <c r="K8" s="350"/>
      <c r="L8" s="345" t="s">
        <v>1403</v>
      </c>
      <c r="M8" s="346">
        <f ca="1">INDIRECT("'数据-取费表'!ai"&amp;$G$1)</f>
        <v>365</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0.05</v>
      </c>
    </row>
    <row r="10" spans="1:37" ht="18" customHeight="1">
      <c r="A10" s="1287" t="s">
        <v>1036</v>
      </c>
      <c r="B10" s="1819" t="s">
        <v>1405</v>
      </c>
      <c r="C10" s="359">
        <f ca="1">ROUND(IF(F10="押一",C6/12*F11,IF(F10="押二",C6/12*2*F11,IF(F10="押三",C6/12*3*F11,C11*F11))),0)</f>
        <v>5</v>
      </c>
      <c r="D10" s="1820" t="s">
        <v>3029</v>
      </c>
      <c r="E10" s="356" t="s">
        <v>1406</v>
      </c>
      <c r="F10" s="1362" t="s">
        <v>3188</v>
      </c>
      <c r="G10" s="1847"/>
      <c r="H10" s="1287" t="s">
        <v>1036</v>
      </c>
      <c r="I10" s="1819" t="s">
        <v>1405</v>
      </c>
      <c r="J10" s="344">
        <f ca="1">ROUND(IF(M10="押一",J6/12*M11,IF(M10="押二",J6/12*2*M11,IF(M10="押三",J6/12*3*M11,J11*M11))),0)</f>
        <v>5</v>
      </c>
      <c r="K10" s="1820" t="s">
        <v>3028</v>
      </c>
      <c r="L10" s="356" t="s">
        <v>1406</v>
      </c>
      <c r="M10" s="3032" t="s">
        <v>3188</v>
      </c>
    </row>
    <row r="11" spans="1:37" ht="18" customHeight="1">
      <c r="A11" s="351"/>
      <c r="B11" s="1821" t="s">
        <v>1384</v>
      </c>
      <c r="C11" s="1174"/>
      <c r="D11" s="1822"/>
      <c r="E11" s="356" t="s">
        <v>1408</v>
      </c>
      <c r="F11" s="357">
        <f ca="1">'数据-取费表'!B39</f>
        <v>1.4999999999999999E-2</v>
      </c>
      <c r="G11" s="1847"/>
      <c r="H11" s="1295"/>
      <c r="I11" s="1821" t="s">
        <v>1384</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8490</v>
      </c>
      <c r="D13" s="1327" t="s">
        <v>1411</v>
      </c>
      <c r="E13" s="1327" t="s">
        <v>1412</v>
      </c>
      <c r="F13" s="1328">
        <f ca="1">INDIRECT("'数据-取费表'!y"&amp;$G$1)</f>
        <v>0.85</v>
      </c>
      <c r="G13" s="1847"/>
      <c r="H13" s="1325">
        <v>2</v>
      </c>
      <c r="I13" s="1326" t="s">
        <v>1410</v>
      </c>
      <c r="J13" s="1286">
        <f ca="1">ROUND(J14*J15,0)</f>
        <v>7990</v>
      </c>
      <c r="K13" s="1333" t="s">
        <v>1411</v>
      </c>
      <c r="L13" s="1848"/>
      <c r="M13" s="1849"/>
    </row>
    <row r="14" spans="1:37" ht="18" customHeight="1">
      <c r="A14" s="1197" t="s">
        <v>1031</v>
      </c>
      <c r="B14" s="345" t="s">
        <v>1413</v>
      </c>
      <c r="C14" s="361">
        <f ca="1">INDIRECT("'数据-取费表'!m"&amp;$G$1)+INDIRECT("'数据-取费表'!t"&amp;$G$1)</f>
        <v>6046</v>
      </c>
      <c r="D14" s="2955" t="s">
        <v>1414</v>
      </c>
      <c r="E14" s="2954"/>
      <c r="F14" s="362"/>
      <c r="G14" s="1847"/>
      <c r="H14" s="1197" t="s">
        <v>1032</v>
      </c>
      <c r="I14" s="345" t="s">
        <v>1415</v>
      </c>
      <c r="J14" s="24">
        <f ca="1">C29</f>
        <v>9988</v>
      </c>
      <c r="K14" s="2948"/>
      <c r="L14" s="975"/>
      <c r="M14" s="976"/>
    </row>
    <row r="15" spans="1:37" s="1854" customFormat="1" ht="18" customHeight="1" thickBot="1">
      <c r="A15" s="1197" t="s">
        <v>1033</v>
      </c>
      <c r="B15" s="345" t="s">
        <v>1416</v>
      </c>
      <c r="C15" s="24">
        <f ca="1">ROUND(C14*F15,0)</f>
        <v>302</v>
      </c>
      <c r="D15" s="363" t="s">
        <v>1417</v>
      </c>
      <c r="E15" s="363" t="s">
        <v>1418</v>
      </c>
      <c r="F15" s="364">
        <f>'数据-取费表'!B33</f>
        <v>0.05</v>
      </c>
      <c r="G15" s="1850"/>
      <c r="H15" s="1335" t="s">
        <v>1036</v>
      </c>
      <c r="I15" s="1336" t="s">
        <v>1412</v>
      </c>
      <c r="J15" s="1345">
        <f ca="1">INDIRECT("'数据-取费表'!ad"&amp;$G$1)</f>
        <v>0.8</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7"/>
      <c r="H16" s="1325" t="s">
        <v>1027</v>
      </c>
      <c r="I16" s="1326" t="s">
        <v>1420</v>
      </c>
      <c r="J16" s="353">
        <f ca="1">ROUND(J17+J22+J23+J24,0)</f>
        <v>873</v>
      </c>
      <c r="K16" s="1333" t="s">
        <v>1421</v>
      </c>
      <c r="L16" s="2957"/>
      <c r="M16" s="1290"/>
    </row>
    <row r="17" spans="1:37" s="1854" customFormat="1" ht="18" customHeight="1">
      <c r="A17" s="1197" t="s">
        <v>1386</v>
      </c>
      <c r="B17" s="345" t="s">
        <v>1422</v>
      </c>
      <c r="C17" s="24">
        <f ca="1">ROUND(F17*(F43+INDIRECT("'数据-取费表'!S"&amp;$G$1))/10000,0)</f>
        <v>345</v>
      </c>
      <c r="D17" s="345" t="s">
        <v>1423</v>
      </c>
      <c r="E17" s="345" t="s">
        <v>1424</v>
      </c>
      <c r="F17" s="26">
        <f>'数据-取费表'!B35</f>
        <v>200</v>
      </c>
      <c r="G17" s="1850"/>
      <c r="H17" s="1197" t="s">
        <v>1032</v>
      </c>
      <c r="I17" s="345" t="s">
        <v>1425</v>
      </c>
      <c r="J17" s="24">
        <f ca="1">ROUND(IF(项目基本情况!B11="自然人",J5*M17,J18+J19+J20),1)</f>
        <v>669.3</v>
      </c>
      <c r="K17" s="2955" t="s">
        <v>1426</v>
      </c>
      <c r="L17" s="2956"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91</v>
      </c>
      <c r="D18" s="345" t="s">
        <v>1417</v>
      </c>
      <c r="E18" s="345" t="s">
        <v>1418</v>
      </c>
      <c r="F18" s="365">
        <f>'数据-取费表'!B36</f>
        <v>1.4999999999999999E-2</v>
      </c>
      <c r="G18" s="1850"/>
      <c r="H18" s="1197" t="s">
        <v>1031</v>
      </c>
      <c r="I18" s="345" t="s">
        <v>1429</v>
      </c>
      <c r="J18" s="24">
        <f ca="1">ROUND(J5*M18/(1+'数据-取费表'!C42),2)</f>
        <v>203.41</v>
      </c>
      <c r="K18" s="2956"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6784</v>
      </c>
      <c r="D19" s="138" t="s">
        <v>1432</v>
      </c>
      <c r="E19" s="2947"/>
      <c r="F19" s="26"/>
      <c r="G19" s="1847"/>
      <c r="H19" s="1197" t="s">
        <v>1033</v>
      </c>
      <c r="I19" s="345" t="s">
        <v>1433</v>
      </c>
      <c r="J19" s="24">
        <f ca="1">IF(K19="按租金收入计税",ROUND(J5*M19,2),ROUND(C29*M19*0.7,2))</f>
        <v>457.68</v>
      </c>
      <c r="K19" s="3033" t="s">
        <v>3189</v>
      </c>
      <c r="L19" s="345" t="s">
        <v>1418</v>
      </c>
      <c r="M19" s="365">
        <f>IF(K19="按租金收入计税",'数据-取费表'!B51,'数据-取费表'!B50)</f>
        <v>0.12</v>
      </c>
    </row>
    <row r="20" spans="1:37" s="1854" customFormat="1" ht="18" customHeight="1">
      <c r="A20" s="1197" t="s">
        <v>1036</v>
      </c>
      <c r="B20" s="345" t="s">
        <v>1435</v>
      </c>
      <c r="C20" s="24">
        <f ca="1">ROUND(C19*F20,0)</f>
        <v>204</v>
      </c>
      <c r="D20" s="367" t="s">
        <v>1436</v>
      </c>
      <c r="E20" s="345" t="s">
        <v>1418</v>
      </c>
      <c r="F20" s="365">
        <f>'数据-取费表'!B37</f>
        <v>0.03</v>
      </c>
      <c r="G20" s="1850"/>
      <c r="H20" s="1197" t="s">
        <v>1385</v>
      </c>
      <c r="I20" s="162" t="s">
        <v>1437</v>
      </c>
      <c r="J20" s="25">
        <f ca="1">ROUND(M20*M21/10000,2)</f>
        <v>8.16</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18</v>
      </c>
      <c r="D21" s="367" t="s">
        <v>1441</v>
      </c>
      <c r="E21" s="345" t="s">
        <v>1442</v>
      </c>
      <c r="F21" s="365">
        <f>'数据-取费表'!B38</f>
        <v>0.03</v>
      </c>
      <c r="G21" s="1850"/>
      <c r="H21" s="370"/>
      <c r="I21" s="354"/>
      <c r="J21" s="29"/>
      <c r="K21" s="371"/>
      <c r="L21" s="345" t="s">
        <v>1443</v>
      </c>
      <c r="M21" s="346">
        <f ca="1">INDIRECT("'数据-取费表'!r"&amp;$G$1)</f>
        <v>6799.23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7"/>
      <c r="F22" s="26"/>
      <c r="G22" s="1847"/>
      <c r="H22" s="1197" t="s">
        <v>1036</v>
      </c>
      <c r="I22" s="345" t="s">
        <v>1445</v>
      </c>
      <c r="J22" s="24">
        <f ca="1">ROUND(J14*M22,1)</f>
        <v>149.80000000000001</v>
      </c>
      <c r="K22" s="2956" t="s">
        <v>1446</v>
      </c>
      <c r="L22" s="345" t="s">
        <v>1418</v>
      </c>
      <c r="M22" s="372">
        <f ca="1">INDIRECT("'数据-取费表'!Ak"&amp;$G$1)</f>
        <v>1.4999999999999999E-2</v>
      </c>
    </row>
    <row r="23" spans="1:37" s="1854" customFormat="1" ht="18" customHeight="1">
      <c r="A23" s="1197" t="s">
        <v>1031</v>
      </c>
      <c r="B23" s="345" t="s">
        <v>1447</v>
      </c>
      <c r="C23" s="24">
        <f ca="1">IF('数据-取费表'!B22&lt;=1,ROUND(C19*F24*F23/2,0)+ROUND(C20*F24*F23/2,0),ROUND(C19*(POWER((1+F24),F23/2)-1),0)+ROUND(C20*(POWER((1+F24),F23/2)-1),0))</f>
        <v>332</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ROUND(J13*M23,1)</f>
        <v>16</v>
      </c>
      <c r="K23" s="2956"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38.1</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5" t="s">
        <v>1457</v>
      </c>
      <c r="C25" s="24"/>
      <c r="D25" s="138" t="s">
        <v>1458</v>
      </c>
      <c r="E25" s="2947"/>
      <c r="F25" s="26"/>
      <c r="G25" s="1847"/>
      <c r="H25" s="1325" t="s">
        <v>1028</v>
      </c>
      <c r="I25" s="1340" t="s">
        <v>1459</v>
      </c>
      <c r="J25" s="353">
        <f ca="1">J5-J16</f>
        <v>2941</v>
      </c>
      <c r="K25" s="1341" t="s">
        <v>1460</v>
      </c>
      <c r="L25" s="1342"/>
      <c r="M25" s="1343"/>
    </row>
    <row r="26" spans="1:37">
      <c r="A26" s="1197" t="s">
        <v>1031</v>
      </c>
      <c r="B26" s="345" t="s">
        <v>1461</v>
      </c>
      <c r="C26" s="24">
        <f ca="1">ROUND((C19+C20)*F26,0)</f>
        <v>1747</v>
      </c>
      <c r="D26" s="367" t="s">
        <v>1462</v>
      </c>
      <c r="E26" s="356" t="s">
        <v>1463</v>
      </c>
      <c r="F26" s="355">
        <f ca="1">INDIRECT("'数据-取费表'!q"&amp;$G$1)</f>
        <v>0.25</v>
      </c>
      <c r="G26" s="1847"/>
      <c r="H26" s="342" t="s">
        <v>1029</v>
      </c>
      <c r="I26" s="343" t="s">
        <v>1464</v>
      </c>
      <c r="J26" s="344">
        <f ca="1">IF(J5&lt;&gt;0,ROUND(J25*(1-((1+M28)/(1+M26))^M27)/(M26-M28),0),0)</f>
        <v>68402</v>
      </c>
      <c r="K26" s="368" t="s">
        <v>1465</v>
      </c>
      <c r="L26" s="345" t="s">
        <v>1466</v>
      </c>
      <c r="M26" s="355">
        <f ca="1">INDIRECT("'数据-取费表'!I"&amp;$G$1)</f>
        <v>0.05</v>
      </c>
    </row>
    <row r="27" spans="1:37" ht="18" customHeight="1">
      <c r="A27" s="1197" t="s">
        <v>1033</v>
      </c>
      <c r="B27" s="345" t="s">
        <v>1467</v>
      </c>
      <c r="C27" s="24">
        <f ca="1">ROUND(F21*F26,4)</f>
        <v>7.4999999999999997E-3</v>
      </c>
      <c r="D27" s="367" t="s">
        <v>1468</v>
      </c>
      <c r="E27" s="363"/>
      <c r="F27" s="364"/>
      <c r="G27" s="1847"/>
      <c r="H27" s="347"/>
      <c r="I27" s="348"/>
      <c r="J27" s="349"/>
      <c r="K27" s="376" t="s">
        <v>1469</v>
      </c>
      <c r="L27" s="345" t="s">
        <v>1470</v>
      </c>
      <c r="M27" s="377">
        <f ca="1">INDIRECT("'数据-取费表'!ag"&amp;$G$1)</f>
        <v>32.54</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9988</v>
      </c>
      <c r="D29" s="1338"/>
      <c r="E29" s="1336"/>
      <c r="F29" s="1339"/>
      <c r="G29" s="1850"/>
      <c r="H29" s="378" t="s">
        <v>1030</v>
      </c>
      <c r="I29" s="379" t="s">
        <v>1475</v>
      </c>
      <c r="J29" s="380">
        <f ca="1">ROUND(J26/(1+F40)^F41,0)</f>
        <v>58686</v>
      </c>
      <c r="K29" s="381" t="s">
        <v>1476</v>
      </c>
      <c r="L29" s="382"/>
      <c r="M29" s="383">
        <f ca="1">INDIRECT("'数据-取费表'!k"&amp;$G$1)</f>
        <v>17274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841</v>
      </c>
      <c r="D30" s="1333" t="s">
        <v>1421</v>
      </c>
      <c r="E30" s="2957"/>
      <c r="F30" s="1290"/>
      <c r="G30" s="1847"/>
      <c r="H30" s="743"/>
      <c r="I30" s="744"/>
      <c r="J30" s="745"/>
      <c r="K30" s="746"/>
      <c r="L30" s="747"/>
      <c r="M30" s="748"/>
    </row>
    <row r="31" spans="1:37" ht="18" customHeight="1">
      <c r="A31" s="1197" t="s">
        <v>1032</v>
      </c>
      <c r="B31" s="345" t="s">
        <v>1425</v>
      </c>
      <c r="C31" s="24">
        <f ca="1">ROUND(IF(项目基本情况!B11="自然人",C5*F31,C32+C33+C34),1)</f>
        <v>637.4</v>
      </c>
      <c r="D31" s="2955" t="s">
        <v>1426</v>
      </c>
      <c r="E31" s="2956"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IF(项目基本情况!B11="自然人","——",ROUND(C5*F32/(1+'数据-取费表'!C42),2))</f>
        <v>193.6</v>
      </c>
      <c r="D32" s="2956"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435.6</v>
      </c>
      <c r="D33" s="1824" t="s">
        <v>3189</v>
      </c>
      <c r="E33" s="345" t="s">
        <v>1418</v>
      </c>
      <c r="F33" s="365">
        <f>IF(D33="按票据","——",IF(D33="按租金收入计税",'数据-取费表'!B51,'数据-取费表'!B50))</f>
        <v>0.12</v>
      </c>
      <c r="G33" s="1847"/>
      <c r="H33" s="1855"/>
      <c r="I33" s="1856"/>
      <c r="J33" s="1857"/>
      <c r="K33" s="1858"/>
      <c r="L33" s="1855"/>
      <c r="M33" s="1855"/>
    </row>
    <row r="34" spans="1:18" ht="18" customHeight="1">
      <c r="A34" s="1287" t="s">
        <v>1385</v>
      </c>
      <c r="B34" s="162" t="s">
        <v>1437</v>
      </c>
      <c r="C34" s="25">
        <f ca="1">IF(项目基本情况!B11="自然人","——",ROUND(F34*F35/10000,2))</f>
        <v>8.16</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6799.23</v>
      </c>
      <c r="G35" s="1847"/>
      <c r="H35" s="743"/>
      <c r="I35" s="1856"/>
      <c r="J35" s="1857"/>
      <c r="K35" s="1858"/>
      <c r="L35" s="1855"/>
      <c r="M35" s="1855"/>
    </row>
    <row r="36" spans="1:18" ht="18" customHeight="1">
      <c r="A36" s="1348" t="s">
        <v>1036</v>
      </c>
      <c r="B36" s="345" t="s">
        <v>1445</v>
      </c>
      <c r="C36" s="24">
        <f ca="1">ROUND(C29*F36,1)</f>
        <v>149.80000000000001</v>
      </c>
      <c r="D36" s="2956" t="s">
        <v>1478</v>
      </c>
      <c r="E36" s="345" t="s">
        <v>1418</v>
      </c>
      <c r="F36" s="372">
        <f ca="1">INDIRECT("'数据-取费表'!Ak"&amp;$G$1)</f>
        <v>1.4999999999999999E-2</v>
      </c>
      <c r="G36" s="1847"/>
      <c r="H36" s="1855"/>
      <c r="I36" s="1856"/>
      <c r="J36" s="1857"/>
      <c r="K36" s="749"/>
      <c r="L36" s="1855"/>
      <c r="M36" s="1855"/>
    </row>
    <row r="37" spans="1:18" ht="18" customHeight="1">
      <c r="A37" s="1197" t="s">
        <v>1072</v>
      </c>
      <c r="B37" s="345" t="s">
        <v>1449</v>
      </c>
      <c r="C37" s="24">
        <f ca="1">ROUND(C13*F37,1)</f>
        <v>17</v>
      </c>
      <c r="D37" s="2956"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36.299999999999997</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3">
        <f ca="1">C5-C30</f>
        <v>2789</v>
      </c>
      <c r="D39" s="1341" t="s">
        <v>1480</v>
      </c>
      <c r="E39" s="1342"/>
      <c r="F39" s="1343"/>
      <c r="G39" s="1847"/>
      <c r="H39" s="1855"/>
      <c r="I39" s="1856"/>
      <c r="J39" s="1857"/>
      <c r="K39" s="1861"/>
      <c r="L39" s="1855"/>
      <c r="M39" s="1855"/>
    </row>
    <row r="40" spans="1:18" ht="18" customHeight="1">
      <c r="A40" s="342" t="s">
        <v>1029</v>
      </c>
      <c r="B40" s="343" t="s">
        <v>1481</v>
      </c>
      <c r="C40" s="344">
        <f ca="1">ROUND(C39*(1-((1+F42)/(1+F40))^F41)/(F40-F42),0)</f>
        <v>7923</v>
      </c>
      <c r="D40" s="368" t="s">
        <v>1465</v>
      </c>
      <c r="E40" s="345" t="s">
        <v>1466</v>
      </c>
      <c r="F40" s="355">
        <f ca="1">INDIRECT("'数据-取费表'!I"&amp;$G$1)</f>
        <v>0.05</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3.14</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f ca="1">ROUND(C40*10000/F43,0)</f>
        <v>4587</v>
      </c>
      <c r="D43" s="381" t="s">
        <v>1484</v>
      </c>
      <c r="E43" s="382" t="s">
        <v>1485</v>
      </c>
      <c r="F43" s="383">
        <f ca="1">INDIRECT("'数据-取费表'!k"&amp;$G$1)</f>
        <v>17274</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-10804</v>
      </c>
      <c r="D46" s="1868" t="str">
        <f>C2</f>
        <v>万元</v>
      </c>
      <c r="E46" s="1862"/>
      <c r="F46" s="1862"/>
      <c r="I46" s="1869" t="s">
        <v>1517</v>
      </c>
      <c r="J46" s="1870"/>
      <c r="K46" s="1871"/>
      <c r="L46" s="1872">
        <f ca="1">IF(M47="住宅",0,IF(L48&gt;J51,L60,J60))</f>
        <v>185</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0"/>
      <c r="I47" s="1876" t="s">
        <v>1522</v>
      </c>
      <c r="J47" s="1877" t="s">
        <v>3190</v>
      </c>
      <c r="K47" s="1878" t="s">
        <v>1523</v>
      </c>
      <c r="L47" s="1879">
        <f ca="1">INDIRECT("'数据-取费表'!d"&amp;$G$1)</f>
        <v>50</v>
      </c>
      <c r="M47" s="1834" t="str">
        <f>IF(ISNUMBER(FIND("住宅",C1)),"住宅","非住宅")</f>
        <v>非住宅</v>
      </c>
      <c r="O47" s="1880" t="s">
        <v>1037</v>
      </c>
      <c r="P47" s="1881" t="s">
        <v>1524</v>
      </c>
      <c r="Q47" s="1882">
        <f ca="1">C40+J29</f>
        <v>66609</v>
      </c>
      <c r="R47" s="1882" t="s">
        <v>1525</v>
      </c>
    </row>
    <row r="48" spans="1:18" s="1838" customFormat="1" ht="28.5" thickBot="1">
      <c r="A48" s="1356" t="s">
        <v>1132</v>
      </c>
      <c r="B48" s="343" t="s">
        <v>1397</v>
      </c>
      <c r="C48" s="2946">
        <f ca="1">C49+C53+C55</f>
        <v>0</v>
      </c>
      <c r="D48" s="1358"/>
      <c r="E48" s="1359"/>
      <c r="F48" s="1177"/>
      <c r="G48" s="790"/>
      <c r="H48" s="791"/>
      <c r="I48" s="1883" t="s">
        <v>1526</v>
      </c>
      <c r="J48" s="1884" t="s">
        <v>3191</v>
      </c>
      <c r="K48" s="1885" t="s">
        <v>1527</v>
      </c>
      <c r="L48" s="1886">
        <f ca="1">INDIRECT("'数据-取费表'!f"&amp;$G$1)</f>
        <v>35.68</v>
      </c>
      <c r="O48" s="1880" t="s">
        <v>1038</v>
      </c>
      <c r="P48" s="1881" t="s">
        <v>1528</v>
      </c>
      <c r="Q48" s="1882">
        <f ca="1">J60</f>
        <v>185</v>
      </c>
      <c r="R48" s="1882" t="s">
        <v>1529</v>
      </c>
    </row>
    <row r="49" spans="1:18" s="1838" customFormat="1" ht="13.5" thickBot="1">
      <c r="A49" s="1190" t="s">
        <v>1133</v>
      </c>
      <c r="B49" s="1825" t="s">
        <v>1486</v>
      </c>
      <c r="C49" s="1360">
        <f ca="1">ROUND(F49*F51*F50*(1-F52)/10000,0)</f>
        <v>0</v>
      </c>
      <c r="D49" s="1272" t="s">
        <v>3021</v>
      </c>
      <c r="E49" s="1826" t="s">
        <v>1487</v>
      </c>
      <c r="F49" s="1277"/>
      <c r="G49" s="1887"/>
      <c r="H49" s="791"/>
      <c r="I49" s="1883" t="s">
        <v>1530</v>
      </c>
      <c r="J49" s="1888">
        <v>2010</v>
      </c>
      <c r="K49" s="1885" t="s">
        <v>1531</v>
      </c>
      <c r="L49" s="1889"/>
      <c r="O49" s="1890" t="s">
        <v>1039</v>
      </c>
      <c r="P49" s="1881" t="s">
        <v>1532</v>
      </c>
      <c r="Q49" s="1882">
        <f ca="1">C29</f>
        <v>9988</v>
      </c>
      <c r="R49" s="1882" t="s">
        <v>1525</v>
      </c>
    </row>
    <row r="50" spans="1:18" s="1838" customFormat="1" ht="13.5" thickBot="1">
      <c r="A50" s="1191"/>
      <c r="B50" s="1194"/>
      <c r="C50" s="1364"/>
      <c r="D50" s="1168"/>
      <c r="E50" s="1273" t="s">
        <v>1402</v>
      </c>
      <c r="F50" s="1274">
        <f ca="1">F7</f>
        <v>17274</v>
      </c>
      <c r="H50" s="791"/>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6">
        <f ca="1">F8</f>
        <v>365</v>
      </c>
      <c r="I51" s="1894" t="s">
        <v>1536</v>
      </c>
      <c r="J51" s="1895">
        <f>IF(J49="",J50,J49+J50-YEAR('数据-取费表'!B2))</f>
        <v>51</v>
      </c>
      <c r="K51" s="1896" t="s">
        <v>1537</v>
      </c>
      <c r="L51" s="1897">
        <f ca="1">ROUND(-PV(INDIRECT("'数据-取费表'!h"&amp;$G$1),L48,(C39-C13*C76),0),0)</f>
        <v>36388</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v>0.05</v>
      </c>
      <c r="O52" s="1890" t="s">
        <v>1042</v>
      </c>
      <c r="P52" s="1881" t="s">
        <v>1541</v>
      </c>
      <c r="Q52" s="1882">
        <f ca="1">J53</f>
        <v>35.68</v>
      </c>
      <c r="R52" s="1882" t="s">
        <v>1542</v>
      </c>
    </row>
    <row r="53" spans="1:18" s="1838" customFormat="1" ht="24.75" thickBot="1">
      <c r="A53" s="1401" t="s">
        <v>1134</v>
      </c>
      <c r="B53" s="1827" t="s">
        <v>1405</v>
      </c>
      <c r="C53" s="359">
        <f ca="1">ROUND(IF(F53="押一",C49/12*F11,IF(F53="押二",C49/12*2*F11,IF(F53="押三",C49/12*3*F11,C54*F11))),0)</f>
        <v>0</v>
      </c>
      <c r="D53" s="1820" t="s">
        <v>3028</v>
      </c>
      <c r="E53" s="356"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35.68</v>
      </c>
      <c r="K53" s="3251" t="s">
        <v>1544</v>
      </c>
      <c r="L53" s="3252"/>
      <c r="O53" s="1880" t="s">
        <v>1043</v>
      </c>
      <c r="P53" s="1881" t="s">
        <v>1545</v>
      </c>
      <c r="Q53" s="1882">
        <f ca="1">Q47+Q48</f>
        <v>66794</v>
      </c>
      <c r="R53" s="1882" t="s">
        <v>1044</v>
      </c>
    </row>
    <row r="54" spans="1:18" s="1838" customFormat="1" ht="13.5" thickBot="1">
      <c r="A54" s="1402"/>
      <c r="B54" s="1821" t="s">
        <v>1384</v>
      </c>
      <c r="C54" s="1174"/>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0"/>
      <c r="F55" s="1903"/>
      <c r="I55" s="1906" t="s">
        <v>1547</v>
      </c>
      <c r="J55" s="1907">
        <f ca="1">ROUND(IF(J47="钢混",J57/J50,1-(1-2%)*(J50-J57)/J50),3)</f>
        <v>0.255</v>
      </c>
      <c r="K55" s="1908" t="s">
        <v>1548</v>
      </c>
      <c r="L55" s="1909" t="s">
        <v>1549</v>
      </c>
      <c r="O55" s="1873" t="s">
        <v>1518</v>
      </c>
      <c r="P55" s="1874" t="s">
        <v>1519</v>
      </c>
      <c r="Q55" s="1875" t="s">
        <v>1520</v>
      </c>
      <c r="R55" s="1875" t="s">
        <v>1521</v>
      </c>
    </row>
    <row r="56" spans="1:18" s="1838" customFormat="1" ht="25.5" thickTop="1" thickBot="1">
      <c r="A56" s="1172">
        <v>2</v>
      </c>
      <c r="B56" s="1173" t="s">
        <v>1410</v>
      </c>
      <c r="C56" s="274">
        <f ca="1">C13</f>
        <v>8490</v>
      </c>
      <c r="D56" s="1910"/>
      <c r="E56" s="1911"/>
      <c r="F56" s="1903"/>
      <c r="I56" s="1912" t="s">
        <v>1550</v>
      </c>
      <c r="J56" s="1913"/>
      <c r="K56" s="1883" t="s">
        <v>1551</v>
      </c>
      <c r="L56" s="1886" t="str">
        <f ca="1">IF(L48&lt;J51,"——",L48-J53)</f>
        <v>——</v>
      </c>
      <c r="O56" s="1880" t="s">
        <v>1037</v>
      </c>
      <c r="P56" s="1881" t="s">
        <v>1524</v>
      </c>
      <c r="Q56" s="1882">
        <f ca="1">C40+J29</f>
        <v>66609</v>
      </c>
      <c r="R56" s="1882" t="s">
        <v>1525</v>
      </c>
    </row>
    <row r="57" spans="1:18" s="1838" customFormat="1" ht="24.75" thickBot="1">
      <c r="A57" s="1914"/>
      <c r="B57" s="1165" t="s">
        <v>1474</v>
      </c>
      <c r="C57" s="280">
        <f ca="1">C29</f>
        <v>9988</v>
      </c>
      <c r="D57" s="1915"/>
      <c r="E57" s="1916"/>
      <c r="F57" s="1917"/>
      <c r="I57" s="1918" t="s">
        <v>1552</v>
      </c>
      <c r="J57" s="1919">
        <f ca="1">IF(OR(M47="住宅",J51&lt;L48,J56="是"),"——",J51-L48)</f>
        <v>15.32</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8" t="s">
        <v>1027</v>
      </c>
      <c r="B58" s="1173" t="s">
        <v>1420</v>
      </c>
      <c r="C58" s="359">
        <f ca="1">ROUND(C59+C64+C65+C66,0)</f>
        <v>1014</v>
      </c>
      <c r="D58" s="1175" t="s">
        <v>1421</v>
      </c>
      <c r="E58" s="1176"/>
      <c r="F58" s="1177"/>
      <c r="I58" s="1918" t="s">
        <v>1556</v>
      </c>
      <c r="J58" s="1920">
        <f ca="1">IF(J55&lt;0.4,0.4,J55)</f>
        <v>0.4</v>
      </c>
      <c r="K58" s="1896" t="s">
        <v>1557</v>
      </c>
      <c r="L58" s="1886">
        <f ca="1">ROUND(POWER(1+L52,L47-L48)*(POWER(1+L52,L48)-1)/(POWER(1+L52,L47)-1),4)</f>
        <v>0.90339999999999998</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847.2</v>
      </c>
      <c r="D59" s="1178" t="s">
        <v>1426</v>
      </c>
      <c r="E59" s="1179" t="s">
        <v>1427</v>
      </c>
      <c r="F59" s="366" t="str">
        <f ca="1">IF(项目基本情况!B11="企业","",IF(INDIRECT("'数据-取费表'!c"&amp;$G$1)="住宅",5%,IF(F49*F50*F51/12/(1+'数据-取费表'!C42)&gt;20000,12%,7%)))</f>
        <v/>
      </c>
      <c r="I59" s="1918" t="s">
        <v>1559</v>
      </c>
      <c r="J59" s="1919">
        <f ca="1">IF(OR(M47="住宅",J51&lt;L48,J56="是"),"——",ROUND(C29*J58,0))</f>
        <v>3995</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1.0044999999999999</v>
      </c>
      <c r="M59" s="1834">
        <f ca="1">ROUND(POWER(1+L52,L47-(J51+'数据-取费表'!B24))*(POWER(1+L52,(J51+'数据-取费表'!B24))-1)/(POWER(1+L52,L47)-1),4)</f>
        <v>1.0044999999999999</v>
      </c>
      <c r="N59" s="1834">
        <f ca="1">ROUND(POWER(1+L52,L47-(J51+'数据-取费表'!B20))*(POWER(1+L52,(J51+'数据-取费表'!B20))-1)/(POWER(1+L52,L47)-1),4)</f>
        <v>1.0129999999999999</v>
      </c>
      <c r="O59" s="1890" t="s">
        <v>1040</v>
      </c>
      <c r="P59" s="1881" t="s">
        <v>1560</v>
      </c>
      <c r="Q59" s="1893">
        <f>L52</f>
        <v>0.05</v>
      </c>
      <c r="R59" s="1882"/>
    </row>
    <row r="60" spans="1:18" s="1838" customFormat="1" ht="16.5" thickBot="1">
      <c r="A60" s="1197" t="s">
        <v>1031</v>
      </c>
      <c r="B60" s="1165" t="s">
        <v>1429</v>
      </c>
      <c r="C60" s="24">
        <f ca="1">IF(项目基本情况!B11="自然人","——",ROUND(C48*F60/(1+'数据-取费表'!C42),2))</f>
        <v>0</v>
      </c>
      <c r="D60" s="1179" t="s">
        <v>1430</v>
      </c>
      <c r="E60" s="1165" t="s">
        <v>1418</v>
      </c>
      <c r="F60" s="375">
        <f t="shared" ref="F60:F66" si="0">F32</f>
        <v>5.6000000000000001E-2</v>
      </c>
      <c r="I60" s="1921" t="s">
        <v>1561</v>
      </c>
      <c r="J60" s="1922">
        <f ca="1">IF(OR(M47="住宅",J51&lt;L48,J56="是"),"0",ROUND(J59/(1+J52)^J53,0))</f>
        <v>185</v>
      </c>
      <c r="K60" s="1923" t="s">
        <v>1562</v>
      </c>
      <c r="L60" s="1922">
        <f ca="1">IF(OR(M47="住宅",L48&lt;J51),0,ROUND(L57*(L58/L59-1),0))</f>
        <v>0</v>
      </c>
      <c r="O60" s="1890" t="s">
        <v>1041</v>
      </c>
      <c r="P60" s="1881" t="s">
        <v>1563</v>
      </c>
      <c r="Q60" s="1882">
        <f ca="1">L58</f>
        <v>0.90339999999999998</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838.99</v>
      </c>
      <c r="D61" s="1824" t="s">
        <v>1434</v>
      </c>
      <c r="E61" s="1165" t="s">
        <v>1490</v>
      </c>
      <c r="F61" s="365">
        <f t="shared" si="0"/>
        <v>0.12</v>
      </c>
      <c r="I61" s="1924"/>
      <c r="J61" s="1924"/>
      <c r="K61" s="1924"/>
      <c r="L61" s="1924"/>
      <c r="O61" s="1890" t="s">
        <v>1042</v>
      </c>
      <c r="P61" s="1881" t="str">
        <f>K59</f>
        <v>建筑物剩余耐用年限下的土地年期修正系数Kn</v>
      </c>
      <c r="Q61" s="1882">
        <f ca="1">L59</f>
        <v>1.0044999999999999</v>
      </c>
      <c r="R61" s="1882" t="s">
        <v>1565</v>
      </c>
    </row>
    <row r="62" spans="1:18" s="1838" customFormat="1" ht="13.5" thickBot="1">
      <c r="A62" s="1197" t="s">
        <v>1491</v>
      </c>
      <c r="B62" s="1164" t="s">
        <v>1492</v>
      </c>
      <c r="C62" s="25">
        <f ca="1">IF(项目基本情况!B11="自然人","——",ROUND(F62*F63/10000,2))</f>
        <v>8.16</v>
      </c>
      <c r="D62" s="1180" t="s">
        <v>1493</v>
      </c>
      <c r="E62" s="1165" t="s">
        <v>1494</v>
      </c>
      <c r="F62" s="369">
        <f t="shared" si="0"/>
        <v>12</v>
      </c>
      <c r="I62" s="1925" t="s">
        <v>1566</v>
      </c>
      <c r="J62" s="1926" t="s">
        <v>1567</v>
      </c>
      <c r="K62" s="1926" t="s">
        <v>1568</v>
      </c>
      <c r="L62" s="1926" t="s">
        <v>1569</v>
      </c>
      <c r="M62" s="1927" t="s">
        <v>1570</v>
      </c>
      <c r="O62" s="1880" t="s">
        <v>1043</v>
      </c>
      <c r="P62" s="1881" t="s">
        <v>1571</v>
      </c>
      <c r="Q62" s="1882">
        <f ca="1">Q56+Q57</f>
        <v>66609</v>
      </c>
      <c r="R62" s="1882" t="s">
        <v>1044</v>
      </c>
    </row>
    <row r="63" spans="1:18" s="1838" customFormat="1" ht="13.5" thickBot="1">
      <c r="A63" s="370"/>
      <c r="B63" s="1171"/>
      <c r="C63" s="29"/>
      <c r="D63" s="1181"/>
      <c r="E63" s="1165" t="s">
        <v>1495</v>
      </c>
      <c r="F63" s="346">
        <f t="shared" ca="1" si="0"/>
        <v>6799.23</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149.80000000000001</v>
      </c>
      <c r="D64" s="1179" t="s">
        <v>1498</v>
      </c>
      <c r="E64" s="1165"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17</v>
      </c>
      <c r="D65" s="1179" t="s">
        <v>1450</v>
      </c>
      <c r="E65" s="1165" t="s">
        <v>1451</v>
      </c>
      <c r="F65" s="374">
        <f t="shared" ca="1" si="0"/>
        <v>2E-3</v>
      </c>
      <c r="I65" s="1925" t="s">
        <v>1575</v>
      </c>
      <c r="J65" s="1926">
        <v>40</v>
      </c>
      <c r="K65" s="1926">
        <v>30</v>
      </c>
      <c r="L65" s="1926">
        <v>50</v>
      </c>
      <c r="M65" s="1928">
        <v>0.02</v>
      </c>
      <c r="O65" s="1880" t="s">
        <v>1037</v>
      </c>
      <c r="P65" s="1881" t="s">
        <v>1576</v>
      </c>
      <c r="Q65" s="1882">
        <f ca="1">C40+J29</f>
        <v>66609</v>
      </c>
      <c r="R65" s="1882" t="s">
        <v>1525</v>
      </c>
    </row>
    <row r="66" spans="1:18" s="1838" customFormat="1" ht="16.5" thickBot="1">
      <c r="A66" s="1197" t="s">
        <v>1500</v>
      </c>
      <c r="B66" s="1165" t="s">
        <v>1435</v>
      </c>
      <c r="C66" s="24">
        <f ca="1">ROUND(C48*F66,1)</f>
        <v>0</v>
      </c>
      <c r="D66" s="1179" t="s">
        <v>1501</v>
      </c>
      <c r="E66" s="1165" t="s">
        <v>1418</v>
      </c>
      <c r="F66" s="355">
        <f t="shared" ca="1" si="0"/>
        <v>0.01</v>
      </c>
      <c r="O66" s="1880" t="s">
        <v>1038</v>
      </c>
      <c r="P66" s="1881" t="s">
        <v>1554</v>
      </c>
      <c r="Q66" s="1882">
        <f ca="1">L60</f>
        <v>0</v>
      </c>
      <c r="R66" s="1882" t="s">
        <v>1577</v>
      </c>
    </row>
    <row r="67" spans="1:18" s="1838" customFormat="1" ht="16.5" thickBot="1">
      <c r="A67" s="1172" t="s">
        <v>1028</v>
      </c>
      <c r="B67" s="1182" t="s">
        <v>1459</v>
      </c>
      <c r="C67" s="359">
        <f ca="1">C48-C58</f>
        <v>-1014</v>
      </c>
      <c r="D67" s="1178" t="s">
        <v>1460</v>
      </c>
      <c r="E67" s="1183"/>
      <c r="F67" s="1184"/>
      <c r="O67" s="1890" t="s">
        <v>1039</v>
      </c>
      <c r="P67" s="1881" t="s">
        <v>1558</v>
      </c>
      <c r="Q67" s="1929">
        <f ca="1">L51</f>
        <v>36388</v>
      </c>
      <c r="R67" s="1882" t="s">
        <v>1578</v>
      </c>
    </row>
    <row r="68" spans="1:18" s="1838" customFormat="1" ht="16.5" thickBot="1">
      <c r="A68" s="1162" t="s">
        <v>1029</v>
      </c>
      <c r="B68" s="1163" t="s">
        <v>1481</v>
      </c>
      <c r="C68" s="344">
        <f ca="1">ROUND(C67*(1-((1+F70)/(1+F68))^F69)/(F68-F70),0)</f>
        <v>-2881</v>
      </c>
      <c r="D68" s="1180" t="s">
        <v>1465</v>
      </c>
      <c r="E68" s="1165" t="s">
        <v>1466</v>
      </c>
      <c r="F68" s="355">
        <f ca="1">F40</f>
        <v>0.05</v>
      </c>
      <c r="O68" s="1890" t="s">
        <v>1040</v>
      </c>
      <c r="P68" s="1930" t="s">
        <v>1579</v>
      </c>
      <c r="Q68" s="1882">
        <f ca="1">ROUND(Q69-Q70*Q71,0)</f>
        <v>2067</v>
      </c>
      <c r="R68" s="1882" t="s">
        <v>1048</v>
      </c>
    </row>
    <row r="69" spans="1:18" s="1838" customFormat="1" ht="13.5" thickBot="1">
      <c r="A69" s="1166"/>
      <c r="B69" s="1167"/>
      <c r="C69" s="349"/>
      <c r="D69" s="1185" t="s">
        <v>1469</v>
      </c>
      <c r="E69" s="1165" t="s">
        <v>1470</v>
      </c>
      <c r="F69" s="377">
        <f ca="1">F41</f>
        <v>3.14</v>
      </c>
      <c r="O69" s="1890" t="s">
        <v>1045</v>
      </c>
      <c r="P69" s="1930" t="s">
        <v>1580</v>
      </c>
      <c r="Q69" s="1882">
        <f ca="1">C39</f>
        <v>2789</v>
      </c>
      <c r="R69" s="1882" t="s">
        <v>1525</v>
      </c>
    </row>
    <row r="70" spans="1:18" s="1838" customFormat="1" ht="13.5" thickBot="1">
      <c r="A70" s="1169"/>
      <c r="B70" s="1170"/>
      <c r="C70" s="353"/>
      <c r="D70" s="1181"/>
      <c r="E70" s="1165" t="s">
        <v>1473</v>
      </c>
      <c r="F70" s="1271"/>
      <c r="O70" s="1890" t="s">
        <v>1046</v>
      </c>
      <c r="P70" s="1930" t="s">
        <v>1581</v>
      </c>
      <c r="Q70" s="1882">
        <f ca="1">C13</f>
        <v>8490</v>
      </c>
      <c r="R70" s="1882" t="s">
        <v>1525</v>
      </c>
    </row>
    <row r="71" spans="1:18" s="1838" customFormat="1" ht="13.5" thickBot="1">
      <c r="A71" s="1186" t="s">
        <v>1030</v>
      </c>
      <c r="B71" s="1187" t="s">
        <v>1483</v>
      </c>
      <c r="C71" s="380">
        <f ca="1">ROUND(C68*10000/F71,0)</f>
        <v>-1668</v>
      </c>
      <c r="D71" s="1188" t="s">
        <v>1484</v>
      </c>
      <c r="E71" s="1189" t="s">
        <v>1485</v>
      </c>
      <c r="F71" s="383">
        <f ca="1">F43</f>
        <v>17274</v>
      </c>
      <c r="O71" s="1890" t="s">
        <v>1047</v>
      </c>
      <c r="P71" s="1930" t="s">
        <v>1582</v>
      </c>
      <c r="Q71" s="1893">
        <f ca="1">C76</f>
        <v>8.5000000000000006E-2</v>
      </c>
      <c r="R71" s="1882"/>
    </row>
    <row r="72" spans="1:18" s="1838" customFormat="1" ht="13.5" thickBot="1">
      <c r="B72" s="794"/>
      <c r="C72" s="794"/>
      <c r="O72" s="1890" t="s">
        <v>1041</v>
      </c>
      <c r="P72" s="1881" t="s">
        <v>1560</v>
      </c>
      <c r="Q72" s="1893">
        <f>L52</f>
        <v>0.05</v>
      </c>
      <c r="R72" s="1882"/>
    </row>
    <row r="73" spans="1:18" ht="16.5" thickBot="1">
      <c r="A73" s="1838"/>
      <c r="B73" s="794"/>
      <c r="C73" s="794"/>
      <c r="D73" s="1838"/>
      <c r="E73" s="1838"/>
      <c r="F73" s="1838"/>
      <c r="O73" s="1890" t="s">
        <v>1042</v>
      </c>
      <c r="P73" s="1881" t="s">
        <v>1563</v>
      </c>
      <c r="Q73" s="1882">
        <f ca="1">L58</f>
        <v>0.90339999999999998</v>
      </c>
      <c r="R73" s="1882" t="s">
        <v>1564</v>
      </c>
    </row>
    <row r="74" spans="1:18" ht="13.5" thickBot="1">
      <c r="A74" s="1838"/>
      <c r="B74" s="315" t="s">
        <v>1583</v>
      </c>
      <c r="C74" s="1932"/>
      <c r="D74" s="1838"/>
      <c r="E74" s="1838"/>
      <c r="F74" s="1838"/>
      <c r="O74" s="1890" t="s">
        <v>1049</v>
      </c>
      <c r="P74" s="1881" t="str">
        <f>K59</f>
        <v>建筑物剩余耐用年限下的土地年期修正系数Kn</v>
      </c>
      <c r="Q74" s="1882">
        <f ca="1">L59</f>
        <v>1.0044999999999999</v>
      </c>
      <c r="R74" s="1882" t="s">
        <v>1565</v>
      </c>
    </row>
    <row r="75" spans="1:18" ht="13.5" thickBot="1">
      <c r="A75" s="1838"/>
      <c r="B75" s="384" t="s">
        <v>1502</v>
      </c>
      <c r="C75" s="385">
        <f ca="1">ROUND(C13*C76,0)</f>
        <v>722</v>
      </c>
      <c r="D75" s="1838"/>
      <c r="E75" s="1838"/>
      <c r="F75" s="1838"/>
      <c r="K75" s="1864"/>
      <c r="L75" s="1838"/>
      <c r="O75" s="1880" t="s">
        <v>1043</v>
      </c>
      <c r="P75" s="1881" t="s">
        <v>1545</v>
      </c>
      <c r="Q75" s="1882">
        <f ca="1">Q65+Q66</f>
        <v>66609</v>
      </c>
      <c r="R75" s="1882" t="s">
        <v>1044</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0.74099999999999999</v>
      </c>
    </row>
    <row r="80" spans="1:18">
      <c r="B80" s="384" t="s">
        <v>1507</v>
      </c>
      <c r="C80" s="316">
        <f ca="1">ROUND(C75/C39,3)</f>
        <v>0.25900000000000001</v>
      </c>
    </row>
    <row r="81" spans="2:3">
      <c r="B81" s="312" t="s">
        <v>1508</v>
      </c>
      <c r="C81" s="280"/>
    </row>
    <row r="82" spans="2:3">
      <c r="B82" s="315" t="s">
        <v>1509</v>
      </c>
      <c r="C82" s="317">
        <f ca="1">1-C83</f>
        <v>-7.2000000000000064E-2</v>
      </c>
    </row>
    <row r="83" spans="2:3">
      <c r="B83" s="315" t="s">
        <v>1510</v>
      </c>
      <c r="C83" s="316">
        <f ca="1">ROUND(C13/C40,3)</f>
        <v>1.0720000000000001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I34" sqref="I3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48</v>
      </c>
      <c r="D1" s="1816" t="s">
        <v>70</v>
      </c>
      <c r="E1" s="1817" t="s">
        <v>1383</v>
      </c>
      <c r="F1" s="1279">
        <f ca="1">J53</f>
        <v>35.68</v>
      </c>
      <c r="G1" s="1832">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425</v>
      </c>
      <c r="C2" s="1841" t="s">
        <v>1512</v>
      </c>
      <c r="D2" s="1841"/>
      <c r="E2" s="1842"/>
      <c r="F2" s="1843"/>
      <c r="G2" s="1844"/>
      <c r="H2" s="1836"/>
      <c r="I2" s="1836"/>
      <c r="J2" s="1836"/>
      <c r="K2" s="1837"/>
      <c r="L2" s="1836"/>
      <c r="M2" s="1836"/>
    </row>
    <row r="3" spans="1:37" ht="18" customHeight="1" thickBot="1">
      <c r="A3" s="1845" t="s">
        <v>1513</v>
      </c>
      <c r="B3" s="1846">
        <f ca="1">IF(ISERROR(B2*10000/F43),0,ROUND(B2*10000/F43,0))</f>
        <v>888</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64</v>
      </c>
      <c r="D5" s="1818" t="s">
        <v>1398</v>
      </c>
      <c r="E5" s="1289"/>
      <c r="F5" s="1290"/>
      <c r="G5" s="1847"/>
      <c r="H5" s="342">
        <v>1</v>
      </c>
      <c r="I5" s="343" t="s">
        <v>1397</v>
      </c>
      <c r="J5" s="1288">
        <f ca="1">J6+J10+J12</f>
        <v>0</v>
      </c>
      <c r="K5" s="1818" t="s">
        <v>1398</v>
      </c>
      <c r="L5" s="1289"/>
      <c r="M5" s="1290"/>
    </row>
    <row r="6" spans="1:37" ht="18" customHeight="1">
      <c r="A6" s="1287" t="s">
        <v>1032</v>
      </c>
      <c r="B6" s="3253" t="s">
        <v>1399</v>
      </c>
      <c r="C6" s="1292">
        <f ca="1">ROUND(F6*F8*F7*(1-F9)/10000,0)</f>
        <v>64</v>
      </c>
      <c r="D6" s="162" t="s">
        <v>3020</v>
      </c>
      <c r="E6" s="345" t="s">
        <v>1401</v>
      </c>
      <c r="F6" s="346">
        <f ca="1">INDIRECT("'数据-取费表'!u"&amp;$G$1)</f>
        <v>500</v>
      </c>
      <c r="G6" s="1847"/>
      <c r="H6" s="1287" t="s">
        <v>1032</v>
      </c>
      <c r="I6" s="3253" t="s">
        <v>1399</v>
      </c>
      <c r="J6" s="344">
        <f ca="1">ROUND(M6*M8*M7*(1-M9)/10000,0)</f>
        <v>0</v>
      </c>
      <c r="K6" s="162" t="s">
        <v>3019</v>
      </c>
      <c r="L6" s="345" t="s">
        <v>1401</v>
      </c>
      <c r="M6" s="346">
        <f ca="1">INDIRECT("'数据-取费表'!z"&amp;$G$1)</f>
        <v>0</v>
      </c>
    </row>
    <row r="7" spans="1:37" ht="18" customHeight="1">
      <c r="A7" s="1291"/>
      <c r="B7" s="3254"/>
      <c r="C7" s="1293"/>
      <c r="D7" s="350"/>
      <c r="E7" s="2949" t="s">
        <v>1402</v>
      </c>
      <c r="F7" s="346">
        <f ca="1">IF(INDIRECT("'数据-取费表'!ah"&amp;$G$1)="",INDIRECT("'数据-取费表'!k"&amp;$G$1),INDIRECT("'数据-取费表'!ah"&amp;$G$1))</f>
        <v>107</v>
      </c>
      <c r="G7" s="1847"/>
      <c r="H7" s="347"/>
      <c r="I7" s="3254"/>
      <c r="J7" s="349"/>
      <c r="K7" s="350"/>
      <c r="L7" s="345" t="s">
        <v>1402</v>
      </c>
      <c r="M7" s="346">
        <f ca="1">F7</f>
        <v>107</v>
      </c>
    </row>
    <row r="8" spans="1:37" ht="18" customHeight="1">
      <c r="A8" s="347"/>
      <c r="B8" s="3254"/>
      <c r="C8" s="349"/>
      <c r="D8" s="350"/>
      <c r="E8" s="345" t="s">
        <v>1403</v>
      </c>
      <c r="F8" s="346">
        <f ca="1">INDIRECT("'数据-取费表'!ai"&amp;$G$1)</f>
        <v>12</v>
      </c>
      <c r="G8" s="1847"/>
      <c r="H8" s="347"/>
      <c r="I8" s="3254"/>
      <c r="J8" s="349"/>
      <c r="K8" s="350"/>
      <c r="L8" s="345" t="s">
        <v>1403</v>
      </c>
      <c r="M8" s="346">
        <f ca="1">INDIRECT("'数据-取费表'!ai"&amp;$G$1)</f>
        <v>12</v>
      </c>
    </row>
    <row r="9" spans="1:37" ht="18" customHeight="1">
      <c r="A9" s="347"/>
      <c r="B9" s="3255"/>
      <c r="C9" s="349"/>
      <c r="D9" s="350"/>
      <c r="E9" s="345" t="s">
        <v>1404</v>
      </c>
      <c r="F9" s="355">
        <f ca="1">INDIRECT("'数据-取费表'!w"&amp;$G$1)</f>
        <v>0</v>
      </c>
      <c r="G9" s="1847"/>
      <c r="H9" s="347"/>
      <c r="I9" s="3255"/>
      <c r="J9" s="349"/>
      <c r="K9" s="350"/>
      <c r="L9" s="356" t="s">
        <v>1404</v>
      </c>
      <c r="M9" s="357">
        <f ca="1">INDIRECT("'数据-取费表'!ab"&amp;$G$1)</f>
        <v>0</v>
      </c>
    </row>
    <row r="10" spans="1:37" ht="18" customHeight="1">
      <c r="A10" s="1287" t="s">
        <v>1036</v>
      </c>
      <c r="B10" s="1819" t="s">
        <v>1405</v>
      </c>
      <c r="C10" s="359">
        <f ca="1">ROUND(IF(F10="押一",C6/12*F11,IF(F10="押二",C6/12*2*F11,IF(F10="押三",C6/12*3*F11,C11*F11))),0)</f>
        <v>0</v>
      </c>
      <c r="D10" s="1820" t="s">
        <v>3029</v>
      </c>
      <c r="E10" s="356" t="s">
        <v>1406</v>
      </c>
      <c r="F10" s="1362" t="s">
        <v>3208</v>
      </c>
      <c r="G10" s="1847"/>
      <c r="H10" s="1287" t="s">
        <v>1036</v>
      </c>
      <c r="I10" s="1819" t="s">
        <v>1405</v>
      </c>
      <c r="J10" s="344">
        <f ca="1">ROUND(IF(M10="押一",J6/12*M11,IF(M10="押二",J6/12*2*M11,IF(M10="押三",J6/12*3*M11,J11*M11))),0)</f>
        <v>0</v>
      </c>
      <c r="K10" s="1820" t="s">
        <v>3028</v>
      </c>
      <c r="L10" s="356" t="s">
        <v>1406</v>
      </c>
      <c r="M10" s="1362" t="s">
        <v>1407</v>
      </c>
    </row>
    <row r="11" spans="1:37" ht="18" customHeight="1">
      <c r="A11" s="351"/>
      <c r="B11" s="1821" t="s">
        <v>1384</v>
      </c>
      <c r="C11" s="1174"/>
      <c r="D11" s="1822"/>
      <c r="E11" s="356" t="s">
        <v>1408</v>
      </c>
      <c r="F11" s="357">
        <f ca="1">'数据-取费表'!B39</f>
        <v>1.4999999999999999E-2</v>
      </c>
      <c r="G11" s="1847"/>
      <c r="H11" s="1295"/>
      <c r="I11" s="1821" t="s">
        <v>1384</v>
      </c>
      <c r="J11" s="1174"/>
      <c r="K11" s="746"/>
      <c r="L11" s="356"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3">
        <f ca="1">ROUND(C29*F13,0)</f>
        <v>1344</v>
      </c>
      <c r="D13" s="1327" t="s">
        <v>1411</v>
      </c>
      <c r="E13" s="1327" t="s">
        <v>1412</v>
      </c>
      <c r="F13" s="1328">
        <f ca="1">INDIRECT("'数据-取费表'!y"&amp;$G$1)</f>
        <v>0.85</v>
      </c>
      <c r="G13" s="1847"/>
      <c r="H13" s="1325">
        <v>2</v>
      </c>
      <c r="I13" s="1326" t="s">
        <v>1410</v>
      </c>
      <c r="J13" s="1286">
        <f ca="1">ROUND(J14*J15,0)</f>
        <v>0</v>
      </c>
      <c r="K13" s="1333" t="s">
        <v>1411</v>
      </c>
      <c r="L13" s="1848"/>
      <c r="M13" s="1849"/>
    </row>
    <row r="14" spans="1:37" ht="18" customHeight="1">
      <c r="A14" s="1197" t="s">
        <v>1031</v>
      </c>
      <c r="B14" s="345" t="s">
        <v>1413</v>
      </c>
      <c r="C14" s="361">
        <f ca="1">INDIRECT("'数据-取费表'!m"&amp;$G$1)+INDIRECT("'数据-取费表'!t"&amp;$G$1)</f>
        <v>1054</v>
      </c>
      <c r="D14" s="2955" t="s">
        <v>1414</v>
      </c>
      <c r="E14" s="2954"/>
      <c r="F14" s="362"/>
      <c r="G14" s="1847"/>
      <c r="H14" s="1197" t="s">
        <v>1032</v>
      </c>
      <c r="I14" s="345" t="s">
        <v>1415</v>
      </c>
      <c r="J14" s="24">
        <f ca="1">C29</f>
        <v>1581</v>
      </c>
      <c r="K14" s="2948"/>
      <c r="L14" s="975"/>
      <c r="M14" s="976"/>
    </row>
    <row r="15" spans="1:37" s="1854" customFormat="1" ht="18" customHeight="1" thickBot="1">
      <c r="A15" s="1197" t="s">
        <v>1033</v>
      </c>
      <c r="B15" s="345" t="s">
        <v>1416</v>
      </c>
      <c r="C15" s="24">
        <f ca="1">ROUND(C14*F15,0)</f>
        <v>53</v>
      </c>
      <c r="D15" s="363" t="s">
        <v>1417</v>
      </c>
      <c r="E15" s="363" t="s">
        <v>1418</v>
      </c>
      <c r="F15" s="364">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7"/>
      <c r="H16" s="1325" t="s">
        <v>1027</v>
      </c>
      <c r="I16" s="1326" t="s">
        <v>1420</v>
      </c>
      <c r="J16" s="353">
        <f ca="1">ROUND(J17+J22+J23+J24,0)</f>
        <v>39</v>
      </c>
      <c r="K16" s="1333" t="s">
        <v>1421</v>
      </c>
      <c r="L16" s="2957"/>
      <c r="M16" s="1290"/>
    </row>
    <row r="17" spans="1:37" s="1854" customFormat="1" ht="18" customHeight="1">
      <c r="A17" s="1197" t="s">
        <v>1386</v>
      </c>
      <c r="B17" s="345" t="s">
        <v>1422</v>
      </c>
      <c r="C17" s="24">
        <f ca="1">ROUND(F17*(F43+INDIRECT("'数据-取费表'!S"&amp;$G$1))/10000,0)</f>
        <v>96</v>
      </c>
      <c r="D17" s="345" t="s">
        <v>1423</v>
      </c>
      <c r="E17" s="345" t="s">
        <v>1424</v>
      </c>
      <c r="F17" s="26">
        <f>'数据-取费表'!B35</f>
        <v>200</v>
      </c>
      <c r="G17" s="1850"/>
      <c r="H17" s="1197" t="s">
        <v>1032</v>
      </c>
      <c r="I17" s="345" t="s">
        <v>1425</v>
      </c>
      <c r="J17" s="24">
        <f ca="1">ROUND(IF(项目基本情况!B11="自然人",J5*M17,J18+J19+J20),1)</f>
        <v>15.5</v>
      </c>
      <c r="K17" s="2955" t="s">
        <v>1426</v>
      </c>
      <c r="L17" s="2956"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5" t="s">
        <v>1428</v>
      </c>
      <c r="C18" s="24">
        <f ca="1">ROUND(C14*F18,0)</f>
        <v>16</v>
      </c>
      <c r="D18" s="345" t="s">
        <v>1417</v>
      </c>
      <c r="E18" s="345" t="s">
        <v>1418</v>
      </c>
      <c r="F18" s="365">
        <f>'数据-取费表'!B36</f>
        <v>1.4999999999999999E-2</v>
      </c>
      <c r="G18" s="1850"/>
      <c r="H18" s="1197" t="s">
        <v>1031</v>
      </c>
      <c r="I18" s="345" t="s">
        <v>1429</v>
      </c>
      <c r="J18" s="24">
        <f ca="1">ROUND(J5*M18/(1+'数据-取费表'!C42),2)</f>
        <v>0</v>
      </c>
      <c r="K18" s="2956"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1431</v>
      </c>
      <c r="C19" s="24">
        <f ca="1">SUM(C14:C18)</f>
        <v>1219</v>
      </c>
      <c r="D19" s="138" t="s">
        <v>1432</v>
      </c>
      <c r="E19" s="2947"/>
      <c r="F19" s="26"/>
      <c r="G19" s="1847"/>
      <c r="H19" s="1197" t="s">
        <v>1033</v>
      </c>
      <c r="I19" s="345" t="s">
        <v>1433</v>
      </c>
      <c r="J19" s="24">
        <f ca="1">IF(K19="按租金收入计税",ROUND(J5*M19,2),ROUND(C29*M19*0.7,2))</f>
        <v>13.28</v>
      </c>
      <c r="K19" s="1824" t="s">
        <v>1434</v>
      </c>
      <c r="L19" s="345" t="s">
        <v>1418</v>
      </c>
      <c r="M19" s="365">
        <f>IF(K19="按租金收入计税",'数据-取费表'!B51,'数据-取费表'!B50)</f>
        <v>1.2E-2</v>
      </c>
    </row>
    <row r="20" spans="1:37" s="1854" customFormat="1" ht="18" customHeight="1">
      <c r="A20" s="1197" t="s">
        <v>1036</v>
      </c>
      <c r="B20" s="345" t="s">
        <v>1435</v>
      </c>
      <c r="C20" s="24">
        <f ca="1">ROUND(C19*F20,0)</f>
        <v>37</v>
      </c>
      <c r="D20" s="367" t="s">
        <v>1436</v>
      </c>
      <c r="E20" s="345" t="s">
        <v>1418</v>
      </c>
      <c r="F20" s="365">
        <f>'数据-取费表'!B37</f>
        <v>0.03</v>
      </c>
      <c r="G20" s="1850"/>
      <c r="H20" s="1197" t="s">
        <v>1385</v>
      </c>
      <c r="I20" s="162" t="s">
        <v>1437</v>
      </c>
      <c r="J20" s="25">
        <f ca="1">ROUND(M20*M21/10000,2)</f>
        <v>2.2599999999999998</v>
      </c>
      <c r="K20" s="368" t="s">
        <v>1438</v>
      </c>
      <c r="L20" s="345" t="s">
        <v>1439</v>
      </c>
      <c r="M20" s="369">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1440</v>
      </c>
      <c r="C21" s="24" t="s">
        <v>18</v>
      </c>
      <c r="D21" s="367" t="s">
        <v>1441</v>
      </c>
      <c r="E21" s="345" t="s">
        <v>1442</v>
      </c>
      <c r="F21" s="365">
        <f>'数据-取费表'!B38</f>
        <v>0.03</v>
      </c>
      <c r="G21" s="1850"/>
      <c r="H21" s="370"/>
      <c r="I21" s="354"/>
      <c r="J21" s="29"/>
      <c r="K21" s="371"/>
      <c r="L21" s="345" t="s">
        <v>1443</v>
      </c>
      <c r="M21" s="346">
        <f ca="1">INDIRECT("'数据-取费表'!r"&amp;$G$1)</f>
        <v>1884.87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7"/>
      <c r="F22" s="26"/>
      <c r="G22" s="1847"/>
      <c r="H22" s="1197" t="s">
        <v>1036</v>
      </c>
      <c r="I22" s="345" t="s">
        <v>1445</v>
      </c>
      <c r="J22" s="24">
        <f ca="1">ROUND(J14*M22,1)</f>
        <v>23.7</v>
      </c>
      <c r="K22" s="2956" t="s">
        <v>1446</v>
      </c>
      <c r="L22" s="345" t="s">
        <v>1418</v>
      </c>
      <c r="M22" s="372">
        <f ca="1">INDIRECT("'数据-取费表'!Ak"&amp;$G$1)</f>
        <v>1.4999999999999999E-2</v>
      </c>
    </row>
    <row r="23" spans="1:37" s="1854" customFormat="1" ht="18" customHeight="1">
      <c r="A23" s="1197" t="s">
        <v>1031</v>
      </c>
      <c r="B23" s="345" t="s">
        <v>1447</v>
      </c>
      <c r="C23" s="24">
        <f ca="1">IF('数据-取费表'!B22&lt;=1,ROUND(C19*F24*F23/2,0)+ROUND(C20*F24*F23/2,0),ROUND(C19*(POWER((1+F24),F23/2)-1),0)+ROUND(C20*(POWER((1+F24),F23/2)-1),0))</f>
        <v>60</v>
      </c>
      <c r="D23" s="373" t="str">
        <f>IF(F23&lt;=1,"(建造成本+管理费用)×利率×(建设周期÷2)","(建造成本+管理费用)×((1+利率)^(建设周期÷2)-1)")</f>
        <v>(建造成本+管理费用)×((1+利率)^(建设周期÷2)-1)</v>
      </c>
      <c r="E23" s="345" t="s">
        <v>1448</v>
      </c>
      <c r="F23" s="369">
        <f>'数据-取费表'!B20</f>
        <v>2</v>
      </c>
      <c r="G23" s="1850"/>
      <c r="H23" s="1197" t="s">
        <v>1072</v>
      </c>
      <c r="I23" s="345" t="s">
        <v>1449</v>
      </c>
      <c r="J23" s="24">
        <f ca="1">ROUND(J13*M23,1)</f>
        <v>0</v>
      </c>
      <c r="K23" s="2956" t="s">
        <v>1450</v>
      </c>
      <c r="L23" s="345" t="s">
        <v>1451</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5" t="s">
        <v>1457</v>
      </c>
      <c r="C25" s="24"/>
      <c r="D25" s="138" t="s">
        <v>1458</v>
      </c>
      <c r="E25" s="2947"/>
      <c r="F25" s="26"/>
      <c r="G25" s="1847"/>
      <c r="H25" s="1325" t="s">
        <v>1028</v>
      </c>
      <c r="I25" s="1340" t="s">
        <v>1459</v>
      </c>
      <c r="J25" s="353">
        <f ca="1">J5-J16</f>
        <v>-39</v>
      </c>
      <c r="K25" s="1341" t="s">
        <v>1460</v>
      </c>
      <c r="L25" s="1342"/>
      <c r="M25" s="1343"/>
    </row>
    <row r="26" spans="1:37">
      <c r="A26" s="1197" t="s">
        <v>1031</v>
      </c>
      <c r="B26" s="345" t="s">
        <v>1461</v>
      </c>
      <c r="C26" s="24">
        <f ca="1">ROUND((C19+C20)*F26,0)</f>
        <v>126</v>
      </c>
      <c r="D26" s="367" t="s">
        <v>1462</v>
      </c>
      <c r="E26" s="356" t="s">
        <v>1463</v>
      </c>
      <c r="F26" s="355">
        <f ca="1">INDIRECT("'数据-取费表'!q"&amp;$G$1)</f>
        <v>0.1</v>
      </c>
      <c r="G26" s="1847"/>
      <c r="H26" s="342" t="s">
        <v>1029</v>
      </c>
      <c r="I26" s="343" t="s">
        <v>1464</v>
      </c>
      <c r="J26" s="344">
        <f ca="1">IF(J5&lt;&gt;0,ROUND(J25*(1-((1+M28)/(1+M26))^M27)/(M26-M28),0),0)</f>
        <v>0</v>
      </c>
      <c r="K26" s="368" t="s">
        <v>1465</v>
      </c>
      <c r="L26" s="345" t="s">
        <v>1466</v>
      </c>
      <c r="M26" s="355">
        <f ca="1">INDIRECT("'数据-取费表'!I"&amp;$G$1)</f>
        <v>0.05</v>
      </c>
    </row>
    <row r="27" spans="1:37" ht="18" customHeight="1">
      <c r="A27" s="1197" t="s">
        <v>1033</v>
      </c>
      <c r="B27" s="345" t="s">
        <v>1467</v>
      </c>
      <c r="C27" s="24">
        <f ca="1">ROUND(F21*F26,4)</f>
        <v>3.0000000000000001E-3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7" t="s">
        <v>1034</v>
      </c>
      <c r="B28" s="345" t="s">
        <v>1471</v>
      </c>
      <c r="C28" s="24">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1581</v>
      </c>
      <c r="D29" s="1338"/>
      <c r="E29" s="1336"/>
      <c r="F29" s="1339"/>
      <c r="G29" s="1850"/>
      <c r="H29" s="378" t="s">
        <v>1030</v>
      </c>
      <c r="I29" s="379" t="s">
        <v>1475</v>
      </c>
      <c r="J29" s="380">
        <f ca="1">ROUND(J26/(1+F40)^F41,0)</f>
        <v>0</v>
      </c>
      <c r="K29" s="381" t="s">
        <v>1476</v>
      </c>
      <c r="L29" s="382"/>
      <c r="M29" s="383">
        <f ca="1">INDIRECT("'数据-取费表'!k"&amp;$G$1)</f>
        <v>4788.67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3">
        <f ca="1">ROUND(C31+C36+C37+C38,0)</f>
        <v>40</v>
      </c>
      <c r="D30" s="1333" t="s">
        <v>1421</v>
      </c>
      <c r="E30" s="2957"/>
      <c r="F30" s="1290"/>
      <c r="G30" s="1847"/>
      <c r="H30" s="743"/>
      <c r="I30" s="744"/>
      <c r="J30" s="745"/>
      <c r="K30" s="746"/>
      <c r="L30" s="747"/>
      <c r="M30" s="748"/>
    </row>
    <row r="31" spans="1:37" ht="18" customHeight="1">
      <c r="A31" s="1197" t="s">
        <v>1032</v>
      </c>
      <c r="B31" s="345" t="s">
        <v>1425</v>
      </c>
      <c r="C31" s="24">
        <f ca="1">ROUND(IF(项目基本情况!B11="自然人",C5*F31,C32+C33+C34),1)</f>
        <v>13.4</v>
      </c>
      <c r="D31" s="2955" t="s">
        <v>1426</v>
      </c>
      <c r="E31" s="2956"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1429</v>
      </c>
      <c r="C32" s="24">
        <f ca="1">IF(项目基本情况!B11="自然人","——",ROUND(C5*F32/(1+'数据-取费表'!C42),2))</f>
        <v>3.41</v>
      </c>
      <c r="D32" s="2956" t="s">
        <v>1430</v>
      </c>
      <c r="E32" s="345" t="s">
        <v>1418</v>
      </c>
      <c r="F32" s="375">
        <f>'数据-取费表'!B41</f>
        <v>5.6000000000000001E-2</v>
      </c>
      <c r="G32" s="1847"/>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7.68</v>
      </c>
      <c r="D33" s="1824" t="s">
        <v>3189</v>
      </c>
      <c r="E33" s="345" t="s">
        <v>1418</v>
      </c>
      <c r="F33" s="365">
        <f>IF(D33="按票据","——",IF(D33="按租金收入计税",'数据-取费表'!B51,'数据-取费表'!B50))</f>
        <v>0.12</v>
      </c>
      <c r="G33" s="1847"/>
      <c r="H33" s="1855"/>
      <c r="I33" s="1856"/>
      <c r="J33" s="1857"/>
      <c r="K33" s="1858"/>
      <c r="L33" s="1855"/>
      <c r="M33" s="1855"/>
    </row>
    <row r="34" spans="1:18" ht="18" customHeight="1">
      <c r="A34" s="1287" t="s">
        <v>1385</v>
      </c>
      <c r="B34" s="162" t="s">
        <v>1437</v>
      </c>
      <c r="C34" s="25">
        <f ca="1">IF(项目基本情况!B11="自然人","——",ROUND(F34*F35/10000,2))</f>
        <v>2.2599999999999998</v>
      </c>
      <c r="D34" s="368" t="s">
        <v>1438</v>
      </c>
      <c r="E34" s="345" t="s">
        <v>1439</v>
      </c>
      <c r="F34" s="369">
        <f>'数据-取费表'!B52</f>
        <v>12</v>
      </c>
      <c r="G34" s="1847"/>
      <c r="H34" s="743"/>
      <c r="I34" s="1856"/>
      <c r="J34" s="1857"/>
      <c r="K34" s="1859"/>
      <c r="L34" s="1860"/>
      <c r="M34" s="1860"/>
    </row>
    <row r="35" spans="1:18" ht="18" customHeight="1">
      <c r="A35" s="1349"/>
      <c r="B35" s="1347"/>
      <c r="C35" s="29"/>
      <c r="D35" s="371"/>
      <c r="E35" s="345" t="s">
        <v>1443</v>
      </c>
      <c r="F35" s="346">
        <f ca="1">INDIRECT("'数据-取费表'!r"&amp;$G$1)</f>
        <v>1884.87</v>
      </c>
      <c r="G35" s="1847"/>
      <c r="H35" s="743"/>
      <c r="I35" s="1856"/>
      <c r="J35" s="1857"/>
      <c r="K35" s="1858"/>
      <c r="L35" s="1855"/>
      <c r="M35" s="1855"/>
    </row>
    <row r="36" spans="1:18" ht="18" customHeight="1">
      <c r="A36" s="1348" t="s">
        <v>1036</v>
      </c>
      <c r="B36" s="345" t="s">
        <v>1445</v>
      </c>
      <c r="C36" s="24">
        <f ca="1">ROUND(C29*F36,1)</f>
        <v>23.7</v>
      </c>
      <c r="D36" s="2956" t="s">
        <v>1478</v>
      </c>
      <c r="E36" s="345" t="s">
        <v>1418</v>
      </c>
      <c r="F36" s="372">
        <f ca="1">INDIRECT("'数据-取费表'!Ak"&amp;$G$1)</f>
        <v>1.4999999999999999E-2</v>
      </c>
      <c r="G36" s="1847"/>
      <c r="H36" s="1855"/>
      <c r="I36" s="1856"/>
      <c r="J36" s="1857"/>
      <c r="K36" s="749"/>
      <c r="L36" s="1855"/>
      <c r="M36" s="1855"/>
    </row>
    <row r="37" spans="1:18" ht="18" customHeight="1">
      <c r="A37" s="1197" t="s">
        <v>1072</v>
      </c>
      <c r="B37" s="345" t="s">
        <v>1449</v>
      </c>
      <c r="C37" s="24">
        <f ca="1">ROUND(C13*F37,1)</f>
        <v>2.7</v>
      </c>
      <c r="D37" s="2956" t="s">
        <v>1450</v>
      </c>
      <c r="E37" s="345" t="s">
        <v>1451</v>
      </c>
      <c r="F37" s="374">
        <f ca="1">INDIRECT("'数据-取费表'!Al"&amp;$G$1)</f>
        <v>2E-3</v>
      </c>
      <c r="G37" s="1847"/>
      <c r="H37" s="1855"/>
      <c r="I37" s="1856"/>
      <c r="J37" s="1857"/>
      <c r="K37" s="749"/>
      <c r="L37" s="1855"/>
      <c r="M37" s="1855"/>
    </row>
    <row r="38" spans="1:18" ht="18" customHeight="1" thickBot="1">
      <c r="A38" s="1335" t="s">
        <v>1389</v>
      </c>
      <c r="B38" s="1336" t="s">
        <v>1435</v>
      </c>
      <c r="C38" s="1337">
        <f ca="1">ROUND(C5*F38,1)</f>
        <v>0.6</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3">
        <f ca="1">C5-C30</f>
        <v>24</v>
      </c>
      <c r="D39" s="1341" t="s">
        <v>1480</v>
      </c>
      <c r="E39" s="1342"/>
      <c r="F39" s="1343"/>
      <c r="G39" s="1847"/>
      <c r="H39" s="1855"/>
      <c r="I39" s="1856"/>
      <c r="J39" s="1857"/>
      <c r="K39" s="1861"/>
      <c r="L39" s="1855"/>
      <c r="M39" s="1855"/>
    </row>
    <row r="40" spans="1:18" ht="18" customHeight="1">
      <c r="A40" s="342" t="s">
        <v>1029</v>
      </c>
      <c r="B40" s="343" t="s">
        <v>1481</v>
      </c>
      <c r="C40" s="344">
        <f ca="1">ROUND(C39*(1-((1+F42)/(1+F40))^F41)/(F40-F42),0)</f>
        <v>396</v>
      </c>
      <c r="D40" s="368" t="s">
        <v>1465</v>
      </c>
      <c r="E40" s="345" t="s">
        <v>1466</v>
      </c>
      <c r="F40" s="355">
        <f ca="1">INDIRECT("'数据-取费表'!I"&amp;$G$1)</f>
        <v>0.05</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35.68</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1030</v>
      </c>
      <c r="B43" s="379" t="s">
        <v>1483</v>
      </c>
      <c r="C43" s="380">
        <f ca="1">ROUND(C40*10000/F43,0)</f>
        <v>827</v>
      </c>
      <c r="D43" s="381" t="s">
        <v>1484</v>
      </c>
      <c r="E43" s="382" t="s">
        <v>1485</v>
      </c>
      <c r="F43" s="383">
        <f ca="1">INDIRECT("'数据-取费表'!k"&amp;$G$1)</f>
        <v>4788.67</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-3068</v>
      </c>
      <c r="D46" s="1868" t="str">
        <f>C2</f>
        <v>万元</v>
      </c>
      <c r="E46" s="1862"/>
      <c r="F46" s="1862"/>
      <c r="I46" s="1869" t="s">
        <v>1517</v>
      </c>
      <c r="J46" s="1870"/>
      <c r="K46" s="1871"/>
      <c r="L46" s="1872">
        <f ca="1">IF(M47="住宅",0,IF(L48&gt;J51,L60,J60))</f>
        <v>29</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0"/>
      <c r="I47" s="1876" t="s">
        <v>1522</v>
      </c>
      <c r="J47" s="1877" t="s">
        <v>3190</v>
      </c>
      <c r="K47" s="1878" t="s">
        <v>1523</v>
      </c>
      <c r="L47" s="1879">
        <f ca="1">INDIRECT("'数据-取费表'!d"&amp;$G$1)</f>
        <v>50</v>
      </c>
      <c r="M47" s="1834" t="str">
        <f>IF(ISNUMBER(FIND("住宅",C1)),"住宅","非住宅")</f>
        <v>非住宅</v>
      </c>
      <c r="O47" s="1880" t="s">
        <v>1037</v>
      </c>
      <c r="P47" s="1881" t="s">
        <v>1524</v>
      </c>
      <c r="Q47" s="1882">
        <f ca="1">C40+J29</f>
        <v>396</v>
      </c>
      <c r="R47" s="1882" t="s">
        <v>1525</v>
      </c>
    </row>
    <row r="48" spans="1:18" s="1838" customFormat="1" ht="28.5" thickBot="1">
      <c r="A48" s="1356" t="s">
        <v>1132</v>
      </c>
      <c r="B48" s="343" t="s">
        <v>1397</v>
      </c>
      <c r="C48" s="2946">
        <f ca="1">C49+C53+C55</f>
        <v>0</v>
      </c>
      <c r="D48" s="1358"/>
      <c r="E48" s="1359"/>
      <c r="F48" s="1177"/>
      <c r="G48" s="790"/>
      <c r="H48" s="791"/>
      <c r="I48" s="1883" t="s">
        <v>1526</v>
      </c>
      <c r="J48" s="1884" t="s">
        <v>3191</v>
      </c>
      <c r="K48" s="1885" t="s">
        <v>1527</v>
      </c>
      <c r="L48" s="1886">
        <f ca="1">INDIRECT("'数据-取费表'!f"&amp;$G$1)</f>
        <v>35.68</v>
      </c>
      <c r="O48" s="1880" t="s">
        <v>1038</v>
      </c>
      <c r="P48" s="1881" t="s">
        <v>1528</v>
      </c>
      <c r="Q48" s="1882">
        <f ca="1">J60</f>
        <v>29</v>
      </c>
      <c r="R48" s="1882" t="s">
        <v>1529</v>
      </c>
    </row>
    <row r="49" spans="1:18" s="1838" customFormat="1" ht="13.5" thickBot="1">
      <c r="A49" s="1190" t="s">
        <v>1133</v>
      </c>
      <c r="B49" s="1825" t="s">
        <v>1486</v>
      </c>
      <c r="C49" s="1360">
        <f ca="1">ROUND(F49*F51*F50*(1-F52)/10000,0)</f>
        <v>0</v>
      </c>
      <c r="D49" s="1272" t="s">
        <v>3021</v>
      </c>
      <c r="E49" s="1826" t="s">
        <v>1487</v>
      </c>
      <c r="F49" s="1277"/>
      <c r="G49" s="1887"/>
      <c r="H49" s="791"/>
      <c r="I49" s="1883" t="s">
        <v>1530</v>
      </c>
      <c r="J49" s="1888">
        <v>2010</v>
      </c>
      <c r="K49" s="1885" t="s">
        <v>1531</v>
      </c>
      <c r="L49" s="1889"/>
      <c r="O49" s="1890" t="s">
        <v>1039</v>
      </c>
      <c r="P49" s="1881" t="s">
        <v>1532</v>
      </c>
      <c r="Q49" s="1882">
        <f ca="1">C29</f>
        <v>1581</v>
      </c>
      <c r="R49" s="1882" t="s">
        <v>1525</v>
      </c>
    </row>
    <row r="50" spans="1:18" s="1838" customFormat="1" ht="13.5" thickBot="1">
      <c r="A50" s="1191"/>
      <c r="B50" s="1194"/>
      <c r="C50" s="1364"/>
      <c r="D50" s="1168"/>
      <c r="E50" s="1273" t="s">
        <v>1402</v>
      </c>
      <c r="F50" s="1274">
        <f ca="1">F7</f>
        <v>107</v>
      </c>
      <c r="H50" s="791"/>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6">
        <f ca="1">F8</f>
        <v>12</v>
      </c>
      <c r="I51" s="1894" t="s">
        <v>1536</v>
      </c>
      <c r="J51" s="1895">
        <f>IF(J49="",J50,J49+J50-YEAR('数据-取费表'!B2))</f>
        <v>51</v>
      </c>
      <c r="K51" s="1896" t="s">
        <v>1537</v>
      </c>
      <c r="L51" s="1897">
        <f ca="1">ROUND(-PV(INDIRECT("'数据-取费表'!h"&amp;$G$1),L48,(C39-C13*C76),0),0)</f>
        <v>-1588</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v>0.05</v>
      </c>
      <c r="O52" s="1890" t="s">
        <v>1042</v>
      </c>
      <c r="P52" s="1881" t="s">
        <v>1541</v>
      </c>
      <c r="Q52" s="1882">
        <f ca="1">J53</f>
        <v>35.68</v>
      </c>
      <c r="R52" s="1882" t="s">
        <v>1542</v>
      </c>
    </row>
    <row r="53" spans="1:18" s="1838" customFormat="1" ht="24.75" thickBot="1">
      <c r="A53" s="1401" t="s">
        <v>1134</v>
      </c>
      <c r="B53" s="1827" t="s">
        <v>1405</v>
      </c>
      <c r="C53" s="359">
        <f ca="1">ROUND(IF(F53="押一",C49/12*F11,IF(F53="押二",C49/12*2*F11,IF(F53="押三",C49/12*3*F11,C54*F11))),0)</f>
        <v>0</v>
      </c>
      <c r="D53" s="1820" t="s">
        <v>3028</v>
      </c>
      <c r="E53" s="356"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35.68</v>
      </c>
      <c r="K53" s="3251" t="s">
        <v>1544</v>
      </c>
      <c r="L53" s="3252"/>
      <c r="O53" s="1880" t="s">
        <v>1043</v>
      </c>
      <c r="P53" s="1881" t="s">
        <v>1545</v>
      </c>
      <c r="Q53" s="1882">
        <f ca="1">Q47+Q48</f>
        <v>425</v>
      </c>
      <c r="R53" s="1882" t="s">
        <v>1044</v>
      </c>
    </row>
    <row r="54" spans="1:18" s="1838" customFormat="1" ht="13.5" thickBot="1">
      <c r="A54" s="1402"/>
      <c r="B54" s="1821" t="s">
        <v>1384</v>
      </c>
      <c r="C54" s="1174"/>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0"/>
      <c r="F55" s="1903"/>
      <c r="I55" s="1906" t="s">
        <v>1547</v>
      </c>
      <c r="J55" s="1907">
        <f ca="1">ROUND(IF(J47="钢混",J57/J50,1-(1-2%)*(J50-J57)/J50),3)</f>
        <v>0.255</v>
      </c>
      <c r="K55" s="1908" t="s">
        <v>1548</v>
      </c>
      <c r="L55" s="1909" t="s">
        <v>1549</v>
      </c>
      <c r="O55" s="1873" t="s">
        <v>1518</v>
      </c>
      <c r="P55" s="1874" t="s">
        <v>1519</v>
      </c>
      <c r="Q55" s="1875" t="s">
        <v>1520</v>
      </c>
      <c r="R55" s="1875" t="s">
        <v>1521</v>
      </c>
    </row>
    <row r="56" spans="1:18" s="1838" customFormat="1" ht="25.5" thickTop="1" thickBot="1">
      <c r="A56" s="1172">
        <v>2</v>
      </c>
      <c r="B56" s="1173" t="s">
        <v>1410</v>
      </c>
      <c r="C56" s="274">
        <f ca="1">C13</f>
        <v>1344</v>
      </c>
      <c r="D56" s="1910"/>
      <c r="E56" s="1911"/>
      <c r="F56" s="1903"/>
      <c r="I56" s="1912" t="s">
        <v>1550</v>
      </c>
      <c r="J56" s="1913"/>
      <c r="K56" s="1883" t="s">
        <v>1551</v>
      </c>
      <c r="L56" s="1886" t="str">
        <f ca="1">IF(L48&lt;J51,"——",L48-J53)</f>
        <v>——</v>
      </c>
      <c r="O56" s="1880" t="s">
        <v>1037</v>
      </c>
      <c r="P56" s="1881" t="s">
        <v>1524</v>
      </c>
      <c r="Q56" s="1882">
        <f ca="1">C40+J29</f>
        <v>396</v>
      </c>
      <c r="R56" s="1882" t="s">
        <v>1525</v>
      </c>
    </row>
    <row r="57" spans="1:18" s="1838" customFormat="1" ht="24.75" thickBot="1">
      <c r="A57" s="1914"/>
      <c r="B57" s="1165" t="s">
        <v>1474</v>
      </c>
      <c r="C57" s="280">
        <f ca="1">C29</f>
        <v>1581</v>
      </c>
      <c r="D57" s="1915"/>
      <c r="E57" s="1916"/>
      <c r="F57" s="1917"/>
      <c r="I57" s="1918" t="s">
        <v>1552</v>
      </c>
      <c r="J57" s="1919">
        <f ca="1">IF(OR(M47="住宅",J51&lt;L48,J56="是"),"——",J51-L48)</f>
        <v>15.32</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8" t="s">
        <v>1027</v>
      </c>
      <c r="B58" s="1173" t="s">
        <v>1420</v>
      </c>
      <c r="C58" s="359">
        <f ca="1">ROUND(C59+C64+C65+C66,0)</f>
        <v>162</v>
      </c>
      <c r="D58" s="1175" t="s">
        <v>1421</v>
      </c>
      <c r="E58" s="1176"/>
      <c r="F58" s="1177"/>
      <c r="I58" s="1918" t="s">
        <v>1556</v>
      </c>
      <c r="J58" s="1920">
        <f ca="1">IF(J55&lt;0.4,0.4,J55)</f>
        <v>0.4</v>
      </c>
      <c r="K58" s="1896" t="s">
        <v>1557</v>
      </c>
      <c r="L58" s="1886">
        <f ca="1">ROUND(POWER(1+L52,L47-L48)*(POWER(1+L52,L48)-1)/(POWER(1+L52,L47)-1),4)</f>
        <v>0.90339999999999998</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135.1</v>
      </c>
      <c r="D59" s="1178" t="s">
        <v>1426</v>
      </c>
      <c r="E59" s="1179" t="s">
        <v>1427</v>
      </c>
      <c r="F59" s="366" t="str">
        <f ca="1">IF(项目基本情况!B11="企业","",IF(INDIRECT("'数据-取费表'!c"&amp;$G$1)="住宅",5%,IF(F49*F50*F51/12/(1+'数据-取费表'!C42)&gt;20000,12%,7%)))</f>
        <v/>
      </c>
      <c r="I59" s="1918" t="s">
        <v>1559</v>
      </c>
      <c r="J59" s="1919">
        <f ca="1">IF(OR(M47="住宅",J51&lt;L48,J56="是"),"——",ROUND(C29*J58,0))</f>
        <v>632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1.0044999999999999</v>
      </c>
      <c r="M59" s="1834">
        <f ca="1">ROUND(POWER(1+L52,L47-(J51+'数据-取费表'!B24))*(POWER(1+L52,(J51+'数据-取费表'!B24))-1)/(POWER(1+L52,L47)-1),4)</f>
        <v>1.0044999999999999</v>
      </c>
      <c r="N59" s="1834">
        <f ca="1">ROUND(POWER(1+L52,L47-(J51+'数据-取费表'!B20))*(POWER(1+L52,(J51+'数据-取费表'!B20))-1)/(POWER(1+L52,L47)-1),4)</f>
        <v>1.0129999999999999</v>
      </c>
      <c r="O59" s="1890" t="s">
        <v>1040</v>
      </c>
      <c r="P59" s="1881" t="s">
        <v>1560</v>
      </c>
      <c r="Q59" s="1893">
        <f>L52</f>
        <v>0.05</v>
      </c>
      <c r="R59" s="1882"/>
    </row>
    <row r="60" spans="1:18" s="1838" customFormat="1" ht="16.5" thickBot="1">
      <c r="A60" s="1197" t="s">
        <v>1031</v>
      </c>
      <c r="B60" s="1165" t="s">
        <v>1429</v>
      </c>
      <c r="C60" s="24">
        <f ca="1">IF(项目基本情况!B11="自然人","——",ROUND(C48*F60/(1+'数据-取费表'!C42),2))</f>
        <v>0</v>
      </c>
      <c r="D60" s="1179" t="s">
        <v>1430</v>
      </c>
      <c r="E60" s="1165" t="s">
        <v>1418</v>
      </c>
      <c r="F60" s="375">
        <f t="shared" ref="F60:F66" si="0">F32</f>
        <v>5.6000000000000001E-2</v>
      </c>
      <c r="I60" s="1921" t="s">
        <v>1561</v>
      </c>
      <c r="J60" s="1922">
        <f ca="1">IF(OR(M47="住宅",J51&lt;L48,J56="是"),"0",ROUND(J59/(1+J52)^J53,0))</f>
        <v>29</v>
      </c>
      <c r="K60" s="1923" t="s">
        <v>1562</v>
      </c>
      <c r="L60" s="1922">
        <f ca="1">IF(OR(M47="住宅",L48&lt;J51),0,ROUND(L57*(L58/L59-1),0))</f>
        <v>0</v>
      </c>
      <c r="O60" s="1890" t="s">
        <v>1041</v>
      </c>
      <c r="P60" s="1881" t="s">
        <v>1563</v>
      </c>
      <c r="Q60" s="1882">
        <f ca="1">L58</f>
        <v>0.90339999999999998</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132.80000000000001</v>
      </c>
      <c r="D61" s="1824" t="s">
        <v>1434</v>
      </c>
      <c r="E61" s="1165" t="s">
        <v>1490</v>
      </c>
      <c r="F61" s="365">
        <f t="shared" si="0"/>
        <v>0.12</v>
      </c>
      <c r="I61" s="1924"/>
      <c r="J61" s="1924"/>
      <c r="K61" s="1924"/>
      <c r="L61" s="1924"/>
      <c r="O61" s="1890" t="s">
        <v>1042</v>
      </c>
      <c r="P61" s="1881" t="str">
        <f>K59</f>
        <v>建筑物剩余耐用年限下的土地年期修正系数Kn</v>
      </c>
      <c r="Q61" s="1882">
        <f ca="1">L59</f>
        <v>1.0044999999999999</v>
      </c>
      <c r="R61" s="1882" t="s">
        <v>1565</v>
      </c>
    </row>
    <row r="62" spans="1:18" s="1838" customFormat="1" ht="13.5" thickBot="1">
      <c r="A62" s="1197" t="s">
        <v>1491</v>
      </c>
      <c r="B62" s="1164" t="s">
        <v>1492</v>
      </c>
      <c r="C62" s="25">
        <f ca="1">IF(项目基本情况!B11="自然人","——",ROUND(F62*F63/10000,2))</f>
        <v>2.2599999999999998</v>
      </c>
      <c r="D62" s="1180" t="s">
        <v>1493</v>
      </c>
      <c r="E62" s="1165" t="s">
        <v>1494</v>
      </c>
      <c r="F62" s="369">
        <f t="shared" si="0"/>
        <v>12</v>
      </c>
      <c r="I62" s="1925" t="s">
        <v>1566</v>
      </c>
      <c r="J62" s="1926" t="s">
        <v>1567</v>
      </c>
      <c r="K62" s="1926" t="s">
        <v>1568</v>
      </c>
      <c r="L62" s="1926" t="s">
        <v>1569</v>
      </c>
      <c r="M62" s="1927" t="s">
        <v>1570</v>
      </c>
      <c r="O62" s="1880" t="s">
        <v>1043</v>
      </c>
      <c r="P62" s="1881" t="s">
        <v>1571</v>
      </c>
      <c r="Q62" s="1882">
        <f ca="1">Q56+Q57</f>
        <v>396</v>
      </c>
      <c r="R62" s="1882" t="s">
        <v>1044</v>
      </c>
    </row>
    <row r="63" spans="1:18" s="1838" customFormat="1" ht="13.5" thickBot="1">
      <c r="A63" s="370"/>
      <c r="B63" s="1171"/>
      <c r="C63" s="29"/>
      <c r="D63" s="1181"/>
      <c r="E63" s="1165" t="s">
        <v>1495</v>
      </c>
      <c r="F63" s="346">
        <f t="shared" ca="1" si="0"/>
        <v>1884.87</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23.7</v>
      </c>
      <c r="D64" s="1179" t="s">
        <v>1498</v>
      </c>
      <c r="E64" s="1165"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2.7</v>
      </c>
      <c r="D65" s="1179" t="s">
        <v>1450</v>
      </c>
      <c r="E65" s="1165" t="s">
        <v>1451</v>
      </c>
      <c r="F65" s="374">
        <f t="shared" ca="1" si="0"/>
        <v>2E-3</v>
      </c>
      <c r="I65" s="1925" t="s">
        <v>1575</v>
      </c>
      <c r="J65" s="1926">
        <v>40</v>
      </c>
      <c r="K65" s="1926">
        <v>30</v>
      </c>
      <c r="L65" s="1926">
        <v>50</v>
      </c>
      <c r="M65" s="1928">
        <v>0.02</v>
      </c>
      <c r="O65" s="1880" t="s">
        <v>1037</v>
      </c>
      <c r="P65" s="1881" t="s">
        <v>1576</v>
      </c>
      <c r="Q65" s="1882">
        <f ca="1">C40+J29</f>
        <v>396</v>
      </c>
      <c r="R65" s="1882" t="s">
        <v>1525</v>
      </c>
    </row>
    <row r="66" spans="1:18" s="1838" customFormat="1" ht="16.5" thickBot="1">
      <c r="A66" s="1197" t="s">
        <v>1500</v>
      </c>
      <c r="B66" s="1165" t="s">
        <v>1435</v>
      </c>
      <c r="C66" s="24">
        <f ca="1">ROUND(C48*F66,1)</f>
        <v>0</v>
      </c>
      <c r="D66" s="1179" t="s">
        <v>1501</v>
      </c>
      <c r="E66" s="1165" t="s">
        <v>1418</v>
      </c>
      <c r="F66" s="355">
        <f t="shared" ca="1" si="0"/>
        <v>0.01</v>
      </c>
      <c r="O66" s="1880" t="s">
        <v>1038</v>
      </c>
      <c r="P66" s="1881" t="s">
        <v>1554</v>
      </c>
      <c r="Q66" s="1882">
        <f ca="1">L60</f>
        <v>0</v>
      </c>
      <c r="R66" s="1882" t="s">
        <v>1577</v>
      </c>
    </row>
    <row r="67" spans="1:18" s="1838" customFormat="1" ht="16.5" thickBot="1">
      <c r="A67" s="1172" t="s">
        <v>1028</v>
      </c>
      <c r="B67" s="1182" t="s">
        <v>1459</v>
      </c>
      <c r="C67" s="359">
        <f ca="1">C48-C58</f>
        <v>-162</v>
      </c>
      <c r="D67" s="1178" t="s">
        <v>1460</v>
      </c>
      <c r="E67" s="1183"/>
      <c r="F67" s="1184"/>
      <c r="O67" s="1890" t="s">
        <v>1039</v>
      </c>
      <c r="P67" s="1881" t="s">
        <v>1558</v>
      </c>
      <c r="Q67" s="1929">
        <f ca="1">L51</f>
        <v>-1588</v>
      </c>
      <c r="R67" s="1882" t="s">
        <v>1578</v>
      </c>
    </row>
    <row r="68" spans="1:18" s="1838" customFormat="1" ht="16.5" thickBot="1">
      <c r="A68" s="1162" t="s">
        <v>1029</v>
      </c>
      <c r="B68" s="1163" t="s">
        <v>1481</v>
      </c>
      <c r="C68" s="344">
        <f ca="1">ROUND(C67*(1-((1+F70)/(1+F68))^F69)/(F68-F70),0)</f>
        <v>-2672</v>
      </c>
      <c r="D68" s="1180" t="s">
        <v>1465</v>
      </c>
      <c r="E68" s="1165" t="s">
        <v>1466</v>
      </c>
      <c r="F68" s="355">
        <f ca="1">F40</f>
        <v>0.05</v>
      </c>
      <c r="O68" s="1890" t="s">
        <v>1040</v>
      </c>
      <c r="P68" s="1930" t="s">
        <v>1579</v>
      </c>
      <c r="Q68" s="1882">
        <f ca="1">ROUND(Q69-Q70*Q71,0)</f>
        <v>-90</v>
      </c>
      <c r="R68" s="1882" t="s">
        <v>1048</v>
      </c>
    </row>
    <row r="69" spans="1:18" s="1838" customFormat="1" ht="13.5" thickBot="1">
      <c r="A69" s="1166"/>
      <c r="B69" s="1167"/>
      <c r="C69" s="349"/>
      <c r="D69" s="1185" t="s">
        <v>1469</v>
      </c>
      <c r="E69" s="1165" t="s">
        <v>1470</v>
      </c>
      <c r="F69" s="377">
        <f ca="1">F41</f>
        <v>35.68</v>
      </c>
      <c r="O69" s="1890" t="s">
        <v>1045</v>
      </c>
      <c r="P69" s="1930" t="s">
        <v>1580</v>
      </c>
      <c r="Q69" s="1882">
        <f ca="1">C39</f>
        <v>24</v>
      </c>
      <c r="R69" s="1882" t="s">
        <v>1525</v>
      </c>
    </row>
    <row r="70" spans="1:18" s="1838" customFormat="1" ht="13.5" thickBot="1">
      <c r="A70" s="1169"/>
      <c r="B70" s="1170"/>
      <c r="C70" s="353"/>
      <c r="D70" s="1181"/>
      <c r="E70" s="1165" t="s">
        <v>1473</v>
      </c>
      <c r="F70" s="1271"/>
      <c r="O70" s="1890" t="s">
        <v>1046</v>
      </c>
      <c r="P70" s="1930" t="s">
        <v>1581</v>
      </c>
      <c r="Q70" s="1882">
        <f ca="1">C13</f>
        <v>1344</v>
      </c>
      <c r="R70" s="1882" t="s">
        <v>1525</v>
      </c>
    </row>
    <row r="71" spans="1:18" s="1838" customFormat="1" ht="13.5" thickBot="1">
      <c r="A71" s="1186" t="s">
        <v>1030</v>
      </c>
      <c r="B71" s="1187" t="s">
        <v>1483</v>
      </c>
      <c r="C71" s="380">
        <f ca="1">ROUND(C68*10000/F71,0)</f>
        <v>-5580</v>
      </c>
      <c r="D71" s="1188" t="s">
        <v>1484</v>
      </c>
      <c r="E71" s="1189" t="s">
        <v>1485</v>
      </c>
      <c r="F71" s="383">
        <f ca="1">F43</f>
        <v>4788.67</v>
      </c>
      <c r="O71" s="1890" t="s">
        <v>1047</v>
      </c>
      <c r="P71" s="1930" t="s">
        <v>1582</v>
      </c>
      <c r="Q71" s="1893">
        <f ca="1">C76</f>
        <v>8.5000000000000006E-2</v>
      </c>
      <c r="R71" s="1882"/>
    </row>
    <row r="72" spans="1:18" s="1838" customFormat="1" ht="13.5" thickBot="1">
      <c r="B72" s="794"/>
      <c r="C72" s="794"/>
      <c r="O72" s="1890" t="s">
        <v>1041</v>
      </c>
      <c r="P72" s="1881" t="s">
        <v>1560</v>
      </c>
      <c r="Q72" s="1893">
        <f>L52</f>
        <v>0.05</v>
      </c>
      <c r="R72" s="1882"/>
    </row>
    <row r="73" spans="1:18" ht="16.5" thickBot="1">
      <c r="A73" s="1838"/>
      <c r="B73" s="794"/>
      <c r="C73" s="794"/>
      <c r="D73" s="1838"/>
      <c r="E73" s="1838"/>
      <c r="F73" s="1838"/>
      <c r="O73" s="1890" t="s">
        <v>1042</v>
      </c>
      <c r="P73" s="1881" t="s">
        <v>1563</v>
      </c>
      <c r="Q73" s="1882">
        <f ca="1">L58</f>
        <v>0.90339999999999998</v>
      </c>
      <c r="R73" s="1882" t="s">
        <v>1564</v>
      </c>
    </row>
    <row r="74" spans="1:18" ht="13.5" thickBot="1">
      <c r="A74" s="1838"/>
      <c r="B74" s="315" t="s">
        <v>1583</v>
      </c>
      <c r="C74" s="1932"/>
      <c r="D74" s="1838"/>
      <c r="E74" s="1838"/>
      <c r="F74" s="1838"/>
      <c r="O74" s="1890" t="s">
        <v>1049</v>
      </c>
      <c r="P74" s="1881" t="str">
        <f>K59</f>
        <v>建筑物剩余耐用年限下的土地年期修正系数Kn</v>
      </c>
      <c r="Q74" s="1882">
        <f ca="1">L59</f>
        <v>1.0044999999999999</v>
      </c>
      <c r="R74" s="1882" t="s">
        <v>1565</v>
      </c>
    </row>
    <row r="75" spans="1:18" ht="13.5" thickBot="1">
      <c r="A75" s="1838"/>
      <c r="B75" s="384" t="s">
        <v>1502</v>
      </c>
      <c r="C75" s="385">
        <f ca="1">ROUND(C13*C76,0)</f>
        <v>114</v>
      </c>
      <c r="D75" s="1838"/>
      <c r="E75" s="1838"/>
      <c r="F75" s="1838"/>
      <c r="K75" s="1864"/>
      <c r="L75" s="1838"/>
      <c r="O75" s="1880" t="s">
        <v>1043</v>
      </c>
      <c r="P75" s="1881" t="s">
        <v>1545</v>
      </c>
      <c r="Q75" s="1882">
        <f ca="1">Q65+Q66</f>
        <v>396</v>
      </c>
      <c r="R75" s="1882" t="s">
        <v>1044</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-3.75</v>
      </c>
    </row>
    <row r="80" spans="1:18">
      <c r="B80" s="384" t="s">
        <v>1507</v>
      </c>
      <c r="C80" s="316">
        <f ca="1">ROUND(C75/C39,3)</f>
        <v>4.75</v>
      </c>
    </row>
    <row r="81" spans="2:3">
      <c r="B81" s="312" t="s">
        <v>1508</v>
      </c>
      <c r="C81" s="280"/>
    </row>
    <row r="82" spans="2:3">
      <c r="B82" s="315" t="s">
        <v>1509</v>
      </c>
      <c r="C82" s="317">
        <f ca="1">1-C83</f>
        <v>-2.3940000000000001</v>
      </c>
    </row>
    <row r="83" spans="2:3">
      <c r="B83" s="315" t="s">
        <v>1510</v>
      </c>
      <c r="C83" s="316">
        <f ca="1">ROUND(C13/C40,3)</f>
        <v>3.3940000000000001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3" sqref="E3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2515</v>
      </c>
      <c r="B1" s="2558"/>
      <c r="C1" s="2558"/>
      <c r="D1" s="2558"/>
      <c r="E1" s="2559"/>
    </row>
    <row r="2" spans="1:6" ht="15.75">
      <c r="A2" s="2560" t="s">
        <v>2316</v>
      </c>
      <c r="B2" s="2561">
        <f ca="1">SUMIF(B6:B13,"&lt;&gt;#ref!",B6:B13)</f>
        <v>86804</v>
      </c>
      <c r="C2" s="2562" t="s">
        <v>2508</v>
      </c>
      <c r="D2" s="2563" t="s">
        <v>2509</v>
      </c>
      <c r="E2" s="2564">
        <f>SUM(E6:E13)</f>
        <v>28872.97</v>
      </c>
    </row>
    <row r="3" spans="1:6" ht="15.75">
      <c r="A3" s="2560" t="s">
        <v>1391</v>
      </c>
      <c r="B3" s="2561">
        <f ca="1">ROUND(B2*10000/E2,0)</f>
        <v>30064</v>
      </c>
      <c r="C3" s="2562" t="s">
        <v>2516</v>
      </c>
      <c r="D3" s="2565"/>
      <c r="E3" s="2566"/>
    </row>
    <row r="4" spans="1:6" ht="15.75">
      <c r="A4" s="2567"/>
      <c r="B4" s="2565"/>
      <c r="C4" s="2565"/>
      <c r="D4" s="2565"/>
      <c r="E4" s="2566"/>
    </row>
    <row r="5" spans="1:6" ht="15">
      <c r="A5" s="2568" t="s">
        <v>2510</v>
      </c>
      <c r="B5" s="3256" t="s">
        <v>2511</v>
      </c>
      <c r="C5" s="3256"/>
      <c r="D5" s="2569"/>
      <c r="E5" s="2570" t="s">
        <v>2512</v>
      </c>
      <c r="F5" s="2571" t="s">
        <v>2513</v>
      </c>
    </row>
    <row r="6" spans="1:6">
      <c r="A6" s="2572" t="str">
        <f>'数据-取费表'!AN6</f>
        <v>收益法-商业</v>
      </c>
      <c r="B6" s="2571">
        <f ca="1">IF(F6="是",'数据-取费表'!AO6,0)</f>
        <v>19585</v>
      </c>
      <c r="C6" s="2562" t="s">
        <v>2508</v>
      </c>
      <c r="D6" s="2565"/>
      <c r="E6" s="2573">
        <f>IF(OR(A6=0,F6="否"),0,'数据-取费表'!K6+'数据-取费表'!S6)</f>
        <v>6810.2999999999993</v>
      </c>
      <c r="F6" s="2574" t="s">
        <v>2514</v>
      </c>
    </row>
    <row r="7" spans="1:6">
      <c r="A7" s="2572" t="str">
        <f>'数据-取费表'!AN7</f>
        <v>收益法-办公</v>
      </c>
      <c r="B7" s="2571">
        <f ca="1">IF(F7="是",'数据-取费表'!AO7,0)</f>
        <v>66794</v>
      </c>
      <c r="C7" s="2562" t="s">
        <v>2508</v>
      </c>
      <c r="D7" s="2565"/>
      <c r="E7" s="2573">
        <f>IF(OR(A7=0,F7="否"),0,'数据-取费表'!K7+'数据-取费表'!S7)</f>
        <v>17274</v>
      </c>
      <c r="F7" s="2574" t="s">
        <v>2514</v>
      </c>
    </row>
    <row r="8" spans="1:6">
      <c r="A8" s="2572" t="str">
        <f>'数据-取费表'!AN8</f>
        <v>收益法-车库</v>
      </c>
      <c r="B8" s="2571">
        <f ca="1">IF(F8="是",'数据-取费表'!AO8,0)</f>
        <v>425</v>
      </c>
      <c r="C8" s="2562" t="s">
        <v>2508</v>
      </c>
      <c r="D8" s="2565"/>
      <c r="E8" s="2573">
        <f>IF(OR(A8=0,F8="否"),0,'数据-取费表'!K8+'数据-取费表'!S8)</f>
        <v>4788.67</v>
      </c>
      <c r="F8" s="2574" t="s">
        <v>2514</v>
      </c>
    </row>
    <row r="9" spans="1:6">
      <c r="A9" s="2572">
        <f>'数据-取费表'!AN9</f>
        <v>0</v>
      </c>
      <c r="B9" s="2571" t="e">
        <f ca="1">IF(F9="是",'数据-取费表'!AO9,0)</f>
        <v>#REF!</v>
      </c>
      <c r="C9" s="2562" t="s">
        <v>2508</v>
      </c>
      <c r="D9" s="2565"/>
      <c r="E9" s="2573">
        <f>IF(OR(A9=0,F9="否"),0,'数据-取费表'!K9+'数据-取费表'!S9)</f>
        <v>0</v>
      </c>
      <c r="F9" s="2574" t="s">
        <v>2514</v>
      </c>
    </row>
    <row r="10" spans="1:6">
      <c r="A10" s="2572">
        <f>'数据-取费表'!AN10</f>
        <v>0</v>
      </c>
      <c r="B10" s="2571" t="e">
        <f ca="1">IF(F10="是",'数据-取费表'!AO10,0)</f>
        <v>#REF!</v>
      </c>
      <c r="C10" s="2562" t="s">
        <v>2508</v>
      </c>
      <c r="D10" s="2565"/>
      <c r="E10" s="2573">
        <f>IF(OR(A10=0,F10="否"),0,'数据-取费表'!K10+'数据-取费表'!S10)</f>
        <v>0</v>
      </c>
      <c r="F10" s="2574" t="s">
        <v>2514</v>
      </c>
    </row>
    <row r="11" spans="1:6">
      <c r="A11" s="2572">
        <f>'数据-取费表'!AN11</f>
        <v>0</v>
      </c>
      <c r="B11" s="2571" t="e">
        <f ca="1">IF(F11="是",'数据-取费表'!AO11,0)</f>
        <v>#REF!</v>
      </c>
      <c r="C11" s="2562" t="s">
        <v>2508</v>
      </c>
      <c r="D11" s="2565"/>
      <c r="E11" s="2573">
        <f>IF(OR(A11=0,F11="否"),0,'数据-取费表'!K11+'数据-取费表'!S11)</f>
        <v>0</v>
      </c>
      <c r="F11" s="2574" t="s">
        <v>2514</v>
      </c>
    </row>
    <row r="12" spans="1:6">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北京北辰万通国际投资有限公司：</v>
      </c>
    </row>
    <row r="4" spans="1:1" ht="36">
      <c r="A4" s="1944" t="str">
        <f>"受贵公司委托，我公司对"&amp;项目基本情况!S1&amp;"进行了预评估。"</f>
        <v>受贵公司委托，我公司对北京市石景山区时代花园南路17号房地产抵押价值进行了预评估。</v>
      </c>
    </row>
    <row r="5" spans="1:1" ht="18.75">
      <c r="A5" s="1945" t="s">
        <v>1608</v>
      </c>
    </row>
    <row r="6" spans="1:1" ht="18.75">
      <c r="A6" s="1946" t="s">
        <v>1609</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房地产，为北京北辰万通国际投资有限公司所有。根据《国有土地使用证》[]，估价对象（分摊）出让国有建设用地使用权面积为11364.7平方米，建筑面积为28872.97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房地产,为北京北辰万通国际投资有限公司开发建设的办公项目，该项目尚在开发建设中。根据《国有土地使用证》[]，估价对象（分摊）出让国有建设用地使用权面积为11364.7平方米，规划建筑面积为28872.97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为估价委托人在向华夏银行股份有限公司北京北沙滩支行办理贷款手续过程中，确定房地产抵押贷款额度提供参考依据而评估房地产抵押价值。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2019年4月11日（评估专业人员实地查勘之日）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11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1073</v>
      </c>
      <c r="B1" s="3274"/>
      <c r="C1" s="3275"/>
      <c r="D1" s="3276">
        <f>SUM(I10,I15,I20,I21,I23)</f>
        <v>0</v>
      </c>
      <c r="E1" s="3276"/>
      <c r="F1" s="3276"/>
      <c r="G1" s="3276"/>
      <c r="H1" s="3276"/>
      <c r="I1" s="3277"/>
    </row>
    <row r="2" spans="1:9">
      <c r="A2" s="3263" t="s">
        <v>1074</v>
      </c>
      <c r="B2" s="3264" t="s">
        <v>1075</v>
      </c>
      <c r="C2" s="3264"/>
      <c r="D2" s="1297" t="s">
        <v>1076</v>
      </c>
      <c r="E2" s="1297" t="s">
        <v>1077</v>
      </c>
      <c r="F2" s="1297" t="s">
        <v>1078</v>
      </c>
      <c r="G2" s="1297" t="s">
        <v>1079</v>
      </c>
      <c r="H2" s="1297" t="s">
        <v>1080</v>
      </c>
      <c r="I2" s="1298" t="s">
        <v>1081</v>
      </c>
    </row>
    <row r="3" spans="1:9">
      <c r="A3" s="3263"/>
      <c r="B3" s="3264" t="s">
        <v>1082</v>
      </c>
      <c r="C3" s="3264"/>
      <c r="D3" s="1299"/>
      <c r="E3" s="1297"/>
      <c r="F3" s="1300"/>
      <c r="G3" s="1300"/>
      <c r="H3" s="1301"/>
      <c r="I3" s="1302">
        <f>ROUND(D3*E3*F3*G3*H3/10000,0)</f>
        <v>0</v>
      </c>
    </row>
    <row r="4" spans="1:9">
      <c r="A4" s="3263"/>
      <c r="B4" s="3264" t="s">
        <v>1083</v>
      </c>
      <c r="C4" s="3264"/>
      <c r="D4" s="1299"/>
      <c r="E4" s="1297"/>
      <c r="F4" s="1300"/>
      <c r="G4" s="1300"/>
      <c r="H4" s="1301"/>
      <c r="I4" s="1302">
        <f t="shared" ref="I4:I9" si="0">ROUND(D4*E4*F4*G4*H4/10000,0)</f>
        <v>0</v>
      </c>
    </row>
    <row r="5" spans="1:9">
      <c r="A5" s="3263"/>
      <c r="B5" s="3264" t="s">
        <v>1084</v>
      </c>
      <c r="C5" s="3264"/>
      <c r="D5" s="1299"/>
      <c r="E5" s="1297"/>
      <c r="F5" s="1300"/>
      <c r="G5" s="1300"/>
      <c r="H5" s="1301"/>
      <c r="I5" s="1302">
        <f t="shared" si="0"/>
        <v>0</v>
      </c>
    </row>
    <row r="6" spans="1:9">
      <c r="A6" s="3263"/>
      <c r="B6" s="3264" t="s">
        <v>1085</v>
      </c>
      <c r="C6" s="3264"/>
      <c r="D6" s="1299"/>
      <c r="E6" s="1297"/>
      <c r="F6" s="1300"/>
      <c r="G6" s="1300"/>
      <c r="H6" s="1301"/>
      <c r="I6" s="1302">
        <f t="shared" si="0"/>
        <v>0</v>
      </c>
    </row>
    <row r="7" spans="1:9">
      <c r="A7" s="3263"/>
      <c r="B7" s="3264" t="s">
        <v>1086</v>
      </c>
      <c r="C7" s="3264"/>
      <c r="D7" s="1299"/>
      <c r="E7" s="1297"/>
      <c r="F7" s="1300"/>
      <c r="G7" s="1300"/>
      <c r="H7" s="1301"/>
      <c r="I7" s="1302">
        <f t="shared" si="0"/>
        <v>0</v>
      </c>
    </row>
    <row r="8" spans="1:9">
      <c r="A8" s="3263"/>
      <c r="B8" s="3264" t="s">
        <v>1087</v>
      </c>
      <c r="C8" s="3264"/>
      <c r="D8" s="1299"/>
      <c r="E8" s="1297"/>
      <c r="F8" s="1300"/>
      <c r="G8" s="1300"/>
      <c r="H8" s="1301"/>
      <c r="I8" s="1302">
        <f t="shared" si="0"/>
        <v>0</v>
      </c>
    </row>
    <row r="9" spans="1:9">
      <c r="A9" s="3263"/>
      <c r="B9" s="3264" t="s">
        <v>1088</v>
      </c>
      <c r="C9" s="3264"/>
      <c r="D9" s="1299"/>
      <c r="E9" s="1297"/>
      <c r="F9" s="1300"/>
      <c r="G9" s="1300"/>
      <c r="H9" s="1301"/>
      <c r="I9" s="1302">
        <f t="shared" si="0"/>
        <v>0</v>
      </c>
    </row>
    <row r="10" spans="1:9">
      <c r="A10" s="3263"/>
      <c r="B10" s="3265" t="s">
        <v>1089</v>
      </c>
      <c r="C10" s="3265"/>
      <c r="D10" s="1303"/>
      <c r="E10" s="1303" t="e">
        <f>ROUND(D1*10000/D10/H9,0)</f>
        <v>#DIV/0!</v>
      </c>
      <c r="F10" s="1304"/>
      <c r="G10" s="1304"/>
      <c r="H10" s="1305"/>
      <c r="I10" s="1306">
        <f>SUM(I3:I9)</f>
        <v>0</v>
      </c>
    </row>
    <row r="11" spans="1:9" ht="14.25">
      <c r="A11" s="3263" t="s">
        <v>1090</v>
      </c>
      <c r="B11" s="3264" t="s">
        <v>1091</v>
      </c>
      <c r="C11" s="3264"/>
      <c r="D11" s="1299" t="s">
        <v>1092</v>
      </c>
      <c r="E11" s="1299" t="s">
        <v>1093</v>
      </c>
      <c r="F11" s="1300" t="s">
        <v>1094</v>
      </c>
      <c r="G11" s="1300" t="s">
        <v>1080</v>
      </c>
      <c r="H11" s="1307" t="s">
        <v>1095</v>
      </c>
      <c r="I11" s="1298" t="s">
        <v>1081</v>
      </c>
    </row>
    <row r="12" spans="1:9">
      <c r="A12" s="3263"/>
      <c r="B12" s="3264" t="s">
        <v>1096</v>
      </c>
      <c r="C12" s="3264"/>
      <c r="D12" s="1299"/>
      <c r="E12" s="1299"/>
      <c r="F12" s="1300"/>
      <c r="G12" s="1301"/>
      <c r="H12" s="1308"/>
      <c r="I12" s="1298">
        <f>ROUND(D12*E12*F12*G12/10000,0)</f>
        <v>0</v>
      </c>
    </row>
    <row r="13" spans="1:9">
      <c r="A13" s="3263"/>
      <c r="B13" s="3264" t="s">
        <v>1097</v>
      </c>
      <c r="C13" s="3264"/>
      <c r="D13" s="1299"/>
      <c r="E13" s="1299"/>
      <c r="F13" s="1300"/>
      <c r="G13" s="1301"/>
      <c r="H13" s="1308"/>
      <c r="I13" s="1298">
        <f>ROUND(D13*E13*F13*G13/10000,0)</f>
        <v>0</v>
      </c>
    </row>
    <row r="14" spans="1:9">
      <c r="A14" s="3263"/>
      <c r="B14" s="3264" t="s">
        <v>1098</v>
      </c>
      <c r="C14" s="3264"/>
      <c r="D14" s="1299"/>
      <c r="E14" s="1299"/>
      <c r="F14" s="1300"/>
      <c r="G14" s="1301"/>
      <c r="H14" s="1308"/>
      <c r="I14" s="1298">
        <f>ROUND(D14*E14*F14*G14/10000,0)</f>
        <v>0</v>
      </c>
    </row>
    <row r="15" spans="1:9">
      <c r="A15" s="3263"/>
      <c r="B15" s="3265" t="s">
        <v>1089</v>
      </c>
      <c r="C15" s="3265"/>
      <c r="D15" s="1303"/>
      <c r="E15" s="1303">
        <f>SUM(E12:E14)</f>
        <v>0</v>
      </c>
      <c r="F15" s="1304"/>
      <c r="G15" s="1301"/>
      <c r="H15" s="1308"/>
      <c r="I15" s="1309">
        <f>SUM(I12:I14)</f>
        <v>0</v>
      </c>
    </row>
    <row r="16" spans="1:9" ht="24">
      <c r="A16" s="3263" t="s">
        <v>1099</v>
      </c>
      <c r="B16" s="3264" t="s">
        <v>1100</v>
      </c>
      <c r="C16" s="3264"/>
      <c r="D16" s="1299" t="s">
        <v>1076</v>
      </c>
      <c r="E16" s="1310" t="s">
        <v>1101</v>
      </c>
      <c r="F16" s="1300" t="s">
        <v>1102</v>
      </c>
      <c r="G16" s="1301" t="s">
        <v>1080</v>
      </c>
      <c r="H16" s="1307" t="s">
        <v>1095</v>
      </c>
      <c r="I16" s="1298" t="s">
        <v>1081</v>
      </c>
    </row>
    <row r="17" spans="1:9" ht="14.25">
      <c r="A17" s="3263"/>
      <c r="B17" s="3264" t="s">
        <v>1103</v>
      </c>
      <c r="C17" s="3264"/>
      <c r="D17" s="1299"/>
      <c r="E17" s="1299"/>
      <c r="F17" s="1300"/>
      <c r="G17" s="1301"/>
      <c r="H17" s="1311"/>
      <c r="I17" s="1312">
        <f>ROUND(D17*E17*F17*G17/10000,0)</f>
        <v>0</v>
      </c>
    </row>
    <row r="18" spans="1:9" ht="14.25">
      <c r="A18" s="3263"/>
      <c r="B18" s="3264" t="s">
        <v>1104</v>
      </c>
      <c r="C18" s="3264"/>
      <c r="D18" s="1299"/>
      <c r="E18" s="1299"/>
      <c r="F18" s="1300"/>
      <c r="G18" s="1301"/>
      <c r="H18" s="1311"/>
      <c r="I18" s="1312">
        <f>ROUND(D18*E18*F18*G18/10000,0)</f>
        <v>0</v>
      </c>
    </row>
    <row r="19" spans="1:9" ht="14.25">
      <c r="A19" s="3263"/>
      <c r="B19" s="3264" t="s">
        <v>1105</v>
      </c>
      <c r="C19" s="3264"/>
      <c r="D19" s="1299"/>
      <c r="E19" s="1299"/>
      <c r="F19" s="1300"/>
      <c r="G19" s="1301"/>
      <c r="H19" s="1311"/>
      <c r="I19" s="1312">
        <f>ROUND(D19*E19*F19*G19/10000,0)</f>
        <v>0</v>
      </c>
    </row>
    <row r="20" spans="1:9">
      <c r="A20" s="3263"/>
      <c r="B20" s="3265" t="s">
        <v>1089</v>
      </c>
      <c r="C20" s="3265"/>
      <c r="D20" s="1303">
        <f>SUM(D17:D19)</f>
        <v>0</v>
      </c>
      <c r="E20" s="1303"/>
      <c r="F20" s="1304"/>
      <c r="G20" s="1301"/>
      <c r="H20" s="1308"/>
      <c r="I20" s="1309">
        <f>SUM(I17:I19)</f>
        <v>0</v>
      </c>
    </row>
    <row r="21" spans="1:9">
      <c r="A21" s="3263" t="s">
        <v>1106</v>
      </c>
      <c r="B21" s="3266"/>
      <c r="C21" s="3266"/>
      <c r="D21" s="3266"/>
      <c r="E21" s="3266"/>
      <c r="F21" s="3266"/>
      <c r="G21" s="3266"/>
      <c r="H21" s="1761">
        <v>0.1</v>
      </c>
      <c r="I21" s="1306">
        <f>ROUND(I10*H21,0)</f>
        <v>0</v>
      </c>
    </row>
    <row r="22" spans="1:9" ht="14.25">
      <c r="A22" s="3267" t="s">
        <v>1107</v>
      </c>
      <c r="B22" s="3268"/>
      <c r="C22" s="3269"/>
      <c r="D22" s="1313" t="s">
        <v>1108</v>
      </c>
      <c r="E22" s="1313" t="s">
        <v>1109</v>
      </c>
      <c r="F22" s="1314" t="s">
        <v>1110</v>
      </c>
      <c r="G22" s="1314" t="s">
        <v>1111</v>
      </c>
      <c r="H22" s="1307" t="s">
        <v>1112</v>
      </c>
      <c r="I22" s="1298" t="s">
        <v>1113</v>
      </c>
    </row>
    <row r="23" spans="1:9" ht="14.25" thickBot="1">
      <c r="A23" s="3270"/>
      <c r="B23" s="3271"/>
      <c r="C23" s="3272"/>
      <c r="D23" s="1315"/>
      <c r="E23" s="1315"/>
      <c r="F23" s="1315"/>
      <c r="G23" s="1316"/>
      <c r="H23" s="1317"/>
      <c r="I23" s="1318">
        <f>ROUND(E23*D23*F23*(1-G23)/10000,0)</f>
        <v>0</v>
      </c>
    </row>
    <row r="26" spans="1:9">
      <c r="A26" s="1319" t="s">
        <v>1114</v>
      </c>
      <c r="B26" s="1319"/>
      <c r="C26" s="1319"/>
      <c r="D26" s="1319"/>
      <c r="E26" s="3260">
        <f>C27-C30-C31-C32</f>
        <v>0</v>
      </c>
      <c r="F26" s="3260"/>
      <c r="G26" s="3260"/>
      <c r="H26" s="1733" t="s">
        <v>1336</v>
      </c>
    </row>
    <row r="27" spans="1:9">
      <c r="A27" s="1320">
        <v>1</v>
      </c>
      <c r="B27" s="1321" t="s">
        <v>1115</v>
      </c>
      <c r="C27" s="1321">
        <f>C28+C29</f>
        <v>0</v>
      </c>
      <c r="D27" s="1321"/>
      <c r="E27" s="3261"/>
      <c r="F27" s="3261"/>
      <c r="G27" s="3261"/>
    </row>
    <row r="28" spans="1:9">
      <c r="A28" s="1322" t="s">
        <v>1116</v>
      </c>
      <c r="B28" s="1321" t="s">
        <v>1117</v>
      </c>
      <c r="C28" s="1321"/>
      <c r="D28" s="1321"/>
      <c r="E28" s="3261"/>
      <c r="F28" s="3261"/>
      <c r="G28" s="3261"/>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62"/>
      <c r="F32" s="3262"/>
      <c r="G32" s="3262"/>
    </row>
    <row r="33" spans="1:7" hidden="1">
      <c r="A33" s="3257" t="s">
        <v>1126</v>
      </c>
      <c r="B33" s="3258"/>
      <c r="C33" s="3258"/>
      <c r="D33" s="3259"/>
      <c r="E33" s="3260"/>
      <c r="F33" s="3260"/>
      <c r="G33" s="3260"/>
    </row>
    <row r="34" spans="1:7" hidden="1">
      <c r="A34" s="1324">
        <v>1</v>
      </c>
      <c r="B34" s="1321" t="s">
        <v>1127</v>
      </c>
      <c r="C34" s="1321"/>
      <c r="D34" s="1321"/>
      <c r="E34" s="3261"/>
      <c r="F34" s="3261"/>
      <c r="G34" s="3261"/>
    </row>
    <row r="35" spans="1:7" hidden="1">
      <c r="A35" s="1324">
        <v>2</v>
      </c>
      <c r="B35" s="1321" t="s">
        <v>1128</v>
      </c>
      <c r="C35" s="1321"/>
      <c r="D35" s="1321"/>
      <c r="E35" s="3261"/>
      <c r="F35" s="3261"/>
      <c r="G35" s="3261"/>
    </row>
    <row r="36" spans="1:7" hidden="1">
      <c r="A36" s="1324">
        <v>3</v>
      </c>
      <c r="B36" s="1321" t="s">
        <v>1129</v>
      </c>
      <c r="C36" s="1321"/>
      <c r="D36" s="1321"/>
      <c r="E36" s="3261"/>
      <c r="F36" s="3261"/>
      <c r="G36" s="3261"/>
    </row>
    <row r="37" spans="1:7" hidden="1">
      <c r="A37" s="1324">
        <v>4</v>
      </c>
      <c r="B37" s="1321" t="s">
        <v>1130</v>
      </c>
      <c r="C37" s="1321"/>
      <c r="D37" s="1321"/>
      <c r="E37" s="3261"/>
      <c r="F37" s="3261"/>
      <c r="G37" s="3261"/>
    </row>
    <row r="38" spans="1:7" hidden="1">
      <c r="A38" s="3257" t="s">
        <v>1131</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578" t="s">
        <v>2518</v>
      </c>
      <c r="C1" s="1630" t="s">
        <v>2519</v>
      </c>
      <c r="D1" s="1617"/>
      <c r="E1" s="2579"/>
      <c r="F1" s="2580" t="s">
        <v>2520</v>
      </c>
      <c r="G1" s="1627" t="s">
        <v>2521</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1" customFormat="1" ht="28.5" customHeight="1" thickTop="1">
      <c r="A2" s="1613" t="s">
        <v>1390</v>
      </c>
      <c r="B2" s="1414" t="e">
        <f ca="1">IF(C2="——",ROUND(C49*D3/10000,0),ROUND(C49*D3/10000,0)-D2)</f>
        <v>#DIV/0!</v>
      </c>
      <c r="C2" s="2582"/>
      <c r="D2" s="1361" t="e">
        <f ca="1">SUMIF(INDIRECT("'"&amp;F2&amp;"'"&amp;"!A:A"),"承租人权益价值",INDIRECT("'"&amp;F2&amp;"'"&amp;"!c:c"))</f>
        <v>#REF!</v>
      </c>
      <c r="E2" s="2583" t="s">
        <v>2522</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1391</v>
      </c>
      <c r="B3" s="397" t="e">
        <f ca="1">IF(C2="——",C49,ROUND(B2*10000/D3,0))</f>
        <v>#DIV/0!</v>
      </c>
      <c r="C3" s="398" t="s">
        <v>2523</v>
      </c>
      <c r="D3" s="397">
        <f>IF(D1="",'数据-汇总表'!E3,SUMIF('数据-汇总表'!$C19:$C33,D1,'数据-汇总表'!$E19:$E33))</f>
        <v>28872.97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9" t="s">
        <v>2524</v>
      </c>
      <c r="B4" s="400"/>
      <c r="C4" s="3296" t="s">
        <v>2525</v>
      </c>
      <c r="D4" s="3297"/>
      <c r="E4" s="3298" t="s">
        <v>2526</v>
      </c>
      <c r="F4" s="3299"/>
      <c r="G4" s="3296" t="s">
        <v>2527</v>
      </c>
      <c r="H4" s="3297"/>
      <c r="I4" s="3296" t="s">
        <v>2528</v>
      </c>
      <c r="J4" s="3297"/>
      <c r="K4" s="2592" t="s">
        <v>2529</v>
      </c>
      <c r="L4" s="1126"/>
      <c r="M4" s="1127"/>
      <c r="N4" s="1127"/>
      <c r="O4" s="1127"/>
      <c r="P4" s="3300" t="s">
        <v>2530</v>
      </c>
      <c r="Q4" s="3301"/>
      <c r="R4" s="3306" t="s">
        <v>2526</v>
      </c>
      <c r="S4" s="3307"/>
      <c r="T4" s="3306" t="s">
        <v>2527</v>
      </c>
      <c r="U4" s="3307"/>
      <c r="V4" s="3312" t="s">
        <v>2528</v>
      </c>
      <c r="W4" s="3312"/>
      <c r="X4" s="1809"/>
      <c r="Y4" s="3306" t="s">
        <v>2530</v>
      </c>
      <c r="Z4" s="3307"/>
      <c r="AA4" s="3293" t="s">
        <v>2526</v>
      </c>
      <c r="AB4" s="3293" t="s">
        <v>2527</v>
      </c>
      <c r="AC4" s="3293" t="s">
        <v>2528</v>
      </c>
    </row>
    <row r="5" spans="1:29" ht="15">
      <c r="A5" s="402"/>
      <c r="B5" s="403"/>
      <c r="C5" s="3315" t="s">
        <v>2531</v>
      </c>
      <c r="D5" s="3316"/>
      <c r="E5" s="3322" t="s">
        <v>2532</v>
      </c>
      <c r="F5" s="3323"/>
      <c r="G5" s="3315" t="s">
        <v>2533</v>
      </c>
      <c r="H5" s="3316"/>
      <c r="I5" s="3315" t="s">
        <v>2534</v>
      </c>
      <c r="J5" s="3316"/>
      <c r="K5" s="2593"/>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2593"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SUMIF(58:58,YEAR(E7)&amp;"-"&amp;MONTH(E7),59:59)</f>
        <v>0</v>
      </c>
      <c r="G7" s="410"/>
      <c r="H7" s="409">
        <f>SUMIF(58:58,YEAR(G7)&amp;"-"&amp;MONTH(G7),59:59)</f>
        <v>0</v>
      </c>
      <c r="I7" s="410"/>
      <c r="J7" s="409">
        <f>SUMIF(58:58,YEAR(I7)&amp;"-"&amp;MONTH(I7),59:59)</f>
        <v>0</v>
      </c>
      <c r="K7" s="2594"/>
      <c r="L7" s="1128"/>
      <c r="M7" s="1129"/>
      <c r="N7" s="1129"/>
      <c r="O7" s="1129"/>
      <c r="P7" s="3317" t="s">
        <v>2538</v>
      </c>
      <c r="Q7" s="3319"/>
      <c r="R7" s="768" t="s">
        <v>23</v>
      </c>
      <c r="S7" s="769">
        <f t="shared" ref="S7:S15" si="0">F7</f>
        <v>0</v>
      </c>
      <c r="T7" s="768" t="s">
        <v>23</v>
      </c>
      <c r="U7" s="769">
        <f t="shared" ref="U7:U15" si="1">H7</f>
        <v>0</v>
      </c>
      <c r="V7" s="768" t="s">
        <v>23</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2540</v>
      </c>
      <c r="D8" s="409">
        <v>100</v>
      </c>
      <c r="E8" s="2595"/>
      <c r="F8" s="411">
        <f>SUMIF(61:61,E8,62:62)-SUMIF(61:61,C8,62:62)+100</f>
        <v>0</v>
      </c>
      <c r="G8" s="412"/>
      <c r="H8" s="409">
        <f>SUMIF(61:61,G8,62:62)-SUMIF(61:61,C8,62:62)+100</f>
        <v>0</v>
      </c>
      <c r="I8" s="2595"/>
      <c r="J8" s="409">
        <f>SUMIF(61:61,I8,62:62)-SUMIF(61:61,C8,62:62)+100</f>
        <v>0</v>
      </c>
      <c r="K8" s="2594"/>
      <c r="L8" s="1128"/>
      <c r="M8" s="1129"/>
      <c r="N8" s="1129"/>
      <c r="O8" s="1129"/>
      <c r="P8" s="3317" t="s">
        <v>2541</v>
      </c>
      <c r="Q8" s="3318"/>
      <c r="R8" s="768" t="s">
        <v>23</v>
      </c>
      <c r="S8" s="769">
        <f t="shared" si="0"/>
        <v>0</v>
      </c>
      <c r="T8" s="768" t="s">
        <v>23</v>
      </c>
      <c r="U8" s="769">
        <f t="shared" si="1"/>
        <v>0</v>
      </c>
      <c r="V8" s="768" t="s">
        <v>23</v>
      </c>
      <c r="W8" s="769">
        <f t="shared" si="2"/>
        <v>0</v>
      </c>
      <c r="X8" s="770"/>
      <c r="Y8" s="3317" t="s">
        <v>2541</v>
      </c>
      <c r="Z8" s="3318"/>
      <c r="AA8" s="771" t="e">
        <f t="shared" ref="AA8:AA19" si="3">D8/F8</f>
        <v>#DIV/0!</v>
      </c>
      <c r="AB8" s="771" t="e">
        <f t="shared" ref="AB8:AB19" si="4">D8/H8</f>
        <v>#DIV/0!</v>
      </c>
      <c r="AC8" s="771" t="e">
        <f t="shared" ref="AC8:AC19" si="5">D8/J8</f>
        <v>#DIV/0!</v>
      </c>
    </row>
    <row r="9" spans="1:29" s="115" customFormat="1">
      <c r="A9" s="413" t="s">
        <v>2542</v>
      </c>
      <c r="B9" s="71" t="s">
        <v>2543</v>
      </c>
      <c r="C9" s="414"/>
      <c r="D9" s="133">
        <v>100</v>
      </c>
      <c r="E9" s="415"/>
      <c r="F9" s="416">
        <f>SUMIF(63:63,E9,64:64)-SUMIF(63:63,C9,64:64)+100</f>
        <v>100</v>
      </c>
      <c r="G9" s="417"/>
      <c r="H9" s="133">
        <f>SUMIF(63:63,G9,64:64)-SUMIF(63:63,C9,64:64)+100</f>
        <v>100</v>
      </c>
      <c r="I9" s="417"/>
      <c r="J9" s="133">
        <f>SUMIF(63:63,I9,64:64)-SUMIF(63:63,C9,64:64)+100</f>
        <v>100</v>
      </c>
      <c r="K9" s="2594"/>
      <c r="L9" s="1128"/>
      <c r="M9" s="1129"/>
      <c r="N9" s="1129"/>
      <c r="O9" s="1129"/>
      <c r="P9" s="3292"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292"/>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292"/>
      <c r="Q11" s="1791" t="str">
        <f t="shared" si="6"/>
        <v>容积率</v>
      </c>
      <c r="R11" s="768" t="s">
        <v>21</v>
      </c>
      <c r="S11" s="769" t="e">
        <f t="shared" si="0"/>
        <v>#N/A</v>
      </c>
      <c r="T11" s="768" t="s">
        <v>21</v>
      </c>
      <c r="U11" s="769" t="e">
        <f t="shared" si="1"/>
        <v>#N/A</v>
      </c>
      <c r="V11" s="768" t="s">
        <v>21</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8"/>
      <c r="M12" s="1129"/>
      <c r="N12" s="1129"/>
      <c r="O12" s="1129"/>
      <c r="P12" s="3292"/>
      <c r="Q12" s="1791">
        <f t="shared" si="6"/>
        <v>111</v>
      </c>
      <c r="R12" s="768" t="s">
        <v>21</v>
      </c>
      <c r="S12" s="769">
        <f t="shared" si="0"/>
        <v>100</v>
      </c>
      <c r="T12" s="768" t="s">
        <v>21</v>
      </c>
      <c r="U12" s="769">
        <f t="shared" si="1"/>
        <v>100</v>
      </c>
      <c r="V12" s="768" t="s">
        <v>21</v>
      </c>
      <c r="W12" s="769">
        <f t="shared" si="2"/>
        <v>100</v>
      </c>
      <c r="X12" s="770"/>
      <c r="Y12" s="3082"/>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6"/>
      <c r="M13" s="1127"/>
      <c r="N13" s="1127"/>
      <c r="O13" s="1127"/>
      <c r="P13" s="3292"/>
      <c r="Q13" s="1791">
        <f t="shared" si="6"/>
        <v>111</v>
      </c>
      <c r="R13" s="768" t="s">
        <v>21</v>
      </c>
      <c r="S13" s="769">
        <f t="shared" si="0"/>
        <v>100</v>
      </c>
      <c r="T13" s="768" t="s">
        <v>21</v>
      </c>
      <c r="U13" s="769">
        <f t="shared" si="1"/>
        <v>100</v>
      </c>
      <c r="V13" s="768" t="s">
        <v>21</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6"/>
      <c r="M14" s="1127"/>
      <c r="N14" s="1127"/>
      <c r="O14" s="1127"/>
      <c r="P14" s="3292"/>
      <c r="Q14" s="1791">
        <f t="shared" si="6"/>
        <v>111</v>
      </c>
      <c r="R14" s="768" t="s">
        <v>21</v>
      </c>
      <c r="S14" s="769">
        <f t="shared" si="0"/>
        <v>100</v>
      </c>
      <c r="T14" s="768" t="s">
        <v>21</v>
      </c>
      <c r="U14" s="769">
        <f t="shared" si="1"/>
        <v>100</v>
      </c>
      <c r="V14" s="768" t="s">
        <v>21</v>
      </c>
      <c r="W14" s="769">
        <f t="shared" si="2"/>
        <v>100</v>
      </c>
      <c r="X14" s="770"/>
      <c r="Y14" s="3082"/>
      <c r="Z14" s="55">
        <f t="shared" si="7"/>
        <v>111</v>
      </c>
      <c r="AA14" s="771">
        <f t="shared" si="3"/>
        <v>1</v>
      </c>
      <c r="AB14" s="771">
        <f t="shared" si="4"/>
        <v>1</v>
      </c>
      <c r="AC14" s="771">
        <f t="shared" si="5"/>
        <v>1</v>
      </c>
    </row>
    <row r="15" spans="1:29" ht="15">
      <c r="A15" s="438" t="s">
        <v>2548</v>
      </c>
      <c r="B15" s="69" t="s">
        <v>2085</v>
      </c>
      <c r="C15" s="2599">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290" t="s">
        <v>2549</v>
      </c>
      <c r="Q15" s="1806" t="str">
        <f t="shared" si="6"/>
        <v>居住社区成熟度</v>
      </c>
      <c r="R15" s="772" t="s">
        <v>21</v>
      </c>
      <c r="S15" s="773">
        <f t="shared" si="0"/>
        <v>100</v>
      </c>
      <c r="T15" s="772" t="s">
        <v>21</v>
      </c>
      <c r="U15" s="773">
        <f t="shared" si="1"/>
        <v>100</v>
      </c>
      <c r="V15" s="772" t="s">
        <v>21</v>
      </c>
      <c r="W15" s="773">
        <f t="shared" si="2"/>
        <v>100</v>
      </c>
      <c r="X15" s="1809"/>
      <c r="Y15" s="3283" t="s">
        <v>2549</v>
      </c>
      <c r="Z15" s="1810" t="str">
        <f t="shared" si="7"/>
        <v>居住社区成熟度</v>
      </c>
      <c r="AA15" s="1807">
        <f t="shared" si="3"/>
        <v>1</v>
      </c>
      <c r="AB15" s="1807">
        <f t="shared" si="4"/>
        <v>1</v>
      </c>
      <c r="AC15" s="1807">
        <f t="shared" si="5"/>
        <v>1</v>
      </c>
    </row>
    <row r="16" spans="1:29" ht="15">
      <c r="A16" s="426"/>
      <c r="B16" s="444"/>
      <c r="C16" s="445"/>
      <c r="D16" s="446"/>
      <c r="E16" s="2600"/>
      <c r="F16" s="446"/>
      <c r="G16" s="2601"/>
      <c r="H16" s="448"/>
      <c r="I16" s="2601"/>
      <c r="J16" s="446"/>
      <c r="K16" s="2602"/>
      <c r="L16" s="1136"/>
      <c r="M16" s="1127"/>
      <c r="N16" s="1127"/>
      <c r="O16" s="1127"/>
      <c r="P16" s="3291"/>
      <c r="Q16" s="1806"/>
      <c r="R16" s="772"/>
      <c r="S16" s="773"/>
      <c r="T16" s="772"/>
      <c r="U16" s="773"/>
      <c r="V16" s="772"/>
      <c r="W16" s="773"/>
      <c r="X16" s="1809"/>
      <c r="Y16" s="3284"/>
      <c r="Z16" s="1810"/>
      <c r="AA16" s="1807">
        <v>1</v>
      </c>
      <c r="AB16" s="1807">
        <v>1</v>
      </c>
      <c r="AC16" s="1807">
        <v>1</v>
      </c>
    </row>
    <row r="17" spans="1:29" ht="15">
      <c r="A17" s="426"/>
      <c r="B17" s="449" t="s">
        <v>2091</v>
      </c>
      <c r="C17" s="2603">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291"/>
      <c r="Q17" s="1806" t="str">
        <f>B17</f>
        <v>交通便捷度</v>
      </c>
      <c r="R17" s="772" t="s">
        <v>21</v>
      </c>
      <c r="S17" s="773">
        <f>F17</f>
        <v>100</v>
      </c>
      <c r="T17" s="772" t="s">
        <v>21</v>
      </c>
      <c r="U17" s="773">
        <f>H17</f>
        <v>100</v>
      </c>
      <c r="V17" s="772" t="s">
        <v>21</v>
      </c>
      <c r="W17" s="773">
        <f>J17</f>
        <v>100</v>
      </c>
      <c r="X17" s="1809"/>
      <c r="Y17" s="3284"/>
      <c r="Z17" s="1810" t="str">
        <f>Q17</f>
        <v>交通便捷度</v>
      </c>
      <c r="AA17" s="1807">
        <f t="shared" si="3"/>
        <v>1</v>
      </c>
      <c r="AB17" s="1807">
        <f t="shared" si="4"/>
        <v>1</v>
      </c>
      <c r="AC17" s="1807">
        <f t="shared" si="5"/>
        <v>1</v>
      </c>
    </row>
    <row r="18" spans="1:29" ht="15">
      <c r="A18" s="426"/>
      <c r="B18" s="454"/>
      <c r="C18" s="2604"/>
      <c r="D18" s="448"/>
      <c r="E18" s="2605"/>
      <c r="F18" s="448"/>
      <c r="G18" s="2606"/>
      <c r="H18" s="446"/>
      <c r="I18" s="2606"/>
      <c r="J18" s="446"/>
      <c r="K18" s="2602"/>
      <c r="L18" s="1136"/>
      <c r="M18" s="1127"/>
      <c r="N18" s="1127"/>
      <c r="O18" s="1127"/>
      <c r="P18" s="3291"/>
      <c r="Q18" s="1806"/>
      <c r="R18" s="772"/>
      <c r="S18" s="773"/>
      <c r="T18" s="772"/>
      <c r="U18" s="773"/>
      <c r="V18" s="772"/>
      <c r="W18" s="773"/>
      <c r="X18" s="1809"/>
      <c r="Y18" s="3284"/>
      <c r="Z18" s="1810"/>
      <c r="AA18" s="1807">
        <v>1</v>
      </c>
      <c r="AB18" s="1807">
        <v>1</v>
      </c>
      <c r="AC18" s="1807">
        <v>1</v>
      </c>
    </row>
    <row r="19" spans="1:29" ht="15">
      <c r="A19" s="426"/>
      <c r="B19" s="449" t="s">
        <v>2090</v>
      </c>
      <c r="C19" s="2603">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291"/>
      <c r="Q19" s="1806" t="str">
        <f>B19</f>
        <v>公共配套设施</v>
      </c>
      <c r="R19" s="772" t="s">
        <v>21</v>
      </c>
      <c r="S19" s="773">
        <f>F19</f>
        <v>100</v>
      </c>
      <c r="T19" s="772" t="s">
        <v>21</v>
      </c>
      <c r="U19" s="773">
        <f>H19</f>
        <v>100</v>
      </c>
      <c r="V19" s="772" t="s">
        <v>21</v>
      </c>
      <c r="W19" s="773">
        <f>J19</f>
        <v>100</v>
      </c>
      <c r="X19" s="1809"/>
      <c r="Y19" s="3284"/>
      <c r="Z19" s="1810" t="str">
        <f>Q19</f>
        <v>公共配套设施</v>
      </c>
      <c r="AA19" s="1807">
        <f t="shared" si="3"/>
        <v>1</v>
      </c>
      <c r="AB19" s="1807">
        <f t="shared" si="4"/>
        <v>1</v>
      </c>
      <c r="AC19" s="1807">
        <f t="shared" si="5"/>
        <v>1</v>
      </c>
    </row>
    <row r="20" spans="1:29" ht="15">
      <c r="A20" s="426"/>
      <c r="B20" s="454"/>
      <c r="C20" s="445"/>
      <c r="D20" s="446"/>
      <c r="E20" s="2600"/>
      <c r="F20" s="446"/>
      <c r="G20" s="2601"/>
      <c r="H20" s="446"/>
      <c r="I20" s="2601"/>
      <c r="J20" s="446"/>
      <c r="K20" s="2602"/>
      <c r="L20" s="1136"/>
      <c r="M20" s="1127"/>
      <c r="N20" s="1127"/>
      <c r="O20" s="1127"/>
      <c r="P20" s="3291"/>
      <c r="Q20" s="1806"/>
      <c r="R20" s="772"/>
      <c r="S20" s="773"/>
      <c r="T20" s="772"/>
      <c r="U20" s="773"/>
      <c r="V20" s="772"/>
      <c r="W20" s="773"/>
      <c r="X20" s="1809"/>
      <c r="Y20" s="3284"/>
      <c r="Z20" s="1810"/>
      <c r="AA20" s="1807">
        <v>1</v>
      </c>
      <c r="AB20" s="1807">
        <v>1</v>
      </c>
      <c r="AC20" s="1807">
        <v>1</v>
      </c>
    </row>
    <row r="21" spans="1:29" ht="15">
      <c r="A21" s="426"/>
      <c r="B21" s="1380" t="s">
        <v>2092</v>
      </c>
      <c r="C21" s="2603">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291"/>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6"/>
      <c r="G22" s="2607"/>
      <c r="H22" s="446"/>
      <c r="I22" s="445"/>
      <c r="J22" s="446"/>
      <c r="K22" s="2608"/>
      <c r="L22" s="1136"/>
      <c r="M22" s="1127"/>
      <c r="N22" s="1127"/>
      <c r="O22" s="1127"/>
      <c r="P22" s="3291"/>
      <c r="Q22" s="1806"/>
      <c r="R22" s="772"/>
      <c r="S22" s="773"/>
      <c r="T22" s="772"/>
      <c r="U22" s="773"/>
      <c r="V22" s="772"/>
      <c r="W22" s="773"/>
      <c r="X22" s="1809"/>
      <c r="Y22" s="3284"/>
      <c r="Z22" s="1810"/>
      <c r="AA22" s="1807">
        <v>1</v>
      </c>
      <c r="AB22" s="1807">
        <v>1</v>
      </c>
      <c r="AC22" s="1807">
        <v>1</v>
      </c>
    </row>
    <row r="23" spans="1:29" ht="15">
      <c r="A23" s="426"/>
      <c r="B23" s="449" t="s">
        <v>2094</v>
      </c>
      <c r="C23" s="2603">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291"/>
      <c r="Q23" s="1806" t="str">
        <f>B23</f>
        <v>自然及人文环境</v>
      </c>
      <c r="R23" s="772" t="s">
        <v>21</v>
      </c>
      <c r="S23" s="773">
        <f>F23</f>
        <v>100</v>
      </c>
      <c r="T23" s="772" t="s">
        <v>21</v>
      </c>
      <c r="U23" s="773">
        <f>H23</f>
        <v>100</v>
      </c>
      <c r="V23" s="772" t="s">
        <v>21</v>
      </c>
      <c r="W23" s="773">
        <f>J23</f>
        <v>100</v>
      </c>
      <c r="X23" s="1809"/>
      <c r="Y23" s="3284"/>
      <c r="Z23" s="1810" t="str">
        <f>Q23</f>
        <v>自然及人文环境</v>
      </c>
      <c r="AA23" s="1807">
        <f>D23/F23</f>
        <v>1</v>
      </c>
      <c r="AB23" s="1807">
        <f>D23/H23</f>
        <v>1</v>
      </c>
      <c r="AC23" s="1807">
        <f>D23/J23</f>
        <v>1</v>
      </c>
    </row>
    <row r="24" spans="1:29" ht="15">
      <c r="A24" s="426"/>
      <c r="B24" s="454"/>
      <c r="C24" s="445"/>
      <c r="D24" s="446"/>
      <c r="E24" s="2600"/>
      <c r="F24" s="446"/>
      <c r="G24" s="2601"/>
      <c r="H24" s="446"/>
      <c r="I24" s="2601"/>
      <c r="J24" s="446"/>
      <c r="K24" s="2602"/>
      <c r="L24" s="1136"/>
      <c r="M24" s="1127"/>
      <c r="N24" s="1127"/>
      <c r="O24" s="1127"/>
      <c r="P24" s="3291"/>
      <c r="Q24" s="1806"/>
      <c r="R24" s="772"/>
      <c r="S24" s="773"/>
      <c r="T24" s="772"/>
      <c r="U24" s="773"/>
      <c r="V24" s="772"/>
      <c r="W24" s="773"/>
      <c r="X24" s="1809"/>
      <c r="Y24" s="3284"/>
      <c r="Z24" s="1810"/>
      <c r="AA24" s="1807">
        <v>1</v>
      </c>
      <c r="AB24" s="1807">
        <v>1</v>
      </c>
      <c r="AC24" s="1807">
        <v>1</v>
      </c>
    </row>
    <row r="25" spans="1:29" ht="15">
      <c r="A25" s="426"/>
      <c r="B25" s="420" t="s">
        <v>2550</v>
      </c>
      <c r="C25" s="458"/>
      <c r="D25" s="433">
        <v>100</v>
      </c>
      <c r="E25" s="2609"/>
      <c r="F25" s="433">
        <f>SUMIF(86:86,E25,87:87)-SUMIF(86:86,C25,87:87)+100</f>
        <v>100</v>
      </c>
      <c r="G25" s="2610"/>
      <c r="H25" s="433">
        <f>SUMIF(86:86,G25,87:87)-SUMIF(86:86,C25,87:87)+100</f>
        <v>100</v>
      </c>
      <c r="I25" s="2610"/>
      <c r="J25" s="433">
        <f>SUMIF(86:86,I25,87:87)-SUMIF(86:86,C25,87:87)+100</f>
        <v>100</v>
      </c>
      <c r="K25" s="424"/>
      <c r="L25" s="1136"/>
      <c r="M25" s="1127"/>
      <c r="N25" s="1127"/>
      <c r="O25" s="1127"/>
      <c r="P25" s="329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4"/>
      <c r="Z25" s="1810" t="str">
        <f>Q25</f>
        <v>楼层-1</v>
      </c>
      <c r="AA25" s="1807">
        <f t="shared" ref="AA25:AA46" si="15">D25/F25</f>
        <v>1</v>
      </c>
      <c r="AB25" s="1807">
        <f t="shared" ref="AB25:AB46" si="16">D25/H25</f>
        <v>1</v>
      </c>
      <c r="AC25" s="1807">
        <f t="shared" ref="AC25:AC46" si="17">D25/J25</f>
        <v>1</v>
      </c>
    </row>
    <row r="26" spans="1:29" ht="15">
      <c r="A26" s="426"/>
      <c r="B26" s="420" t="s">
        <v>2551</v>
      </c>
      <c r="C26" s="458"/>
      <c r="D26" s="433">
        <v>100</v>
      </c>
      <c r="E26" s="2609"/>
      <c r="F26" s="433">
        <f>SUMIF(88:88,E26,89:89)-SUMIF(88:88,C26,89:89)+100</f>
        <v>100</v>
      </c>
      <c r="G26" s="2610"/>
      <c r="H26" s="433">
        <f>SUMIF(88:88,G26,89:89)-SUMIF(88:88,C26,89:89)+100</f>
        <v>100</v>
      </c>
      <c r="I26" s="2610"/>
      <c r="J26" s="433">
        <f>SUMIF(88:88,I26,89:89)-SUMIF(88:88,C26,89:89)+100</f>
        <v>100</v>
      </c>
      <c r="K26" s="424"/>
      <c r="L26" s="1136"/>
      <c r="M26" s="1127"/>
      <c r="N26" s="1127"/>
      <c r="O26" s="1127"/>
      <c r="P26" s="3291"/>
      <c r="Q26" s="1806" t="str">
        <f t="shared" si="11"/>
        <v>朝向</v>
      </c>
      <c r="R26" s="772" t="s">
        <v>21</v>
      </c>
      <c r="S26" s="773">
        <f t="shared" si="12"/>
        <v>100</v>
      </c>
      <c r="T26" s="772" t="s">
        <v>21</v>
      </c>
      <c r="U26" s="773">
        <f t="shared" si="13"/>
        <v>100</v>
      </c>
      <c r="V26" s="772" t="s">
        <v>21</v>
      </c>
      <c r="W26" s="773">
        <f t="shared" si="14"/>
        <v>100</v>
      </c>
      <c r="X26" s="1809"/>
      <c r="Y26" s="3284"/>
      <c r="Z26" s="1810" t="str">
        <f>Q26</f>
        <v>朝向</v>
      </c>
      <c r="AA26" s="1807">
        <f t="shared" si="15"/>
        <v>1</v>
      </c>
      <c r="AB26" s="1807">
        <f t="shared" si="16"/>
        <v>1</v>
      </c>
      <c r="AC26" s="1807">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7"/>
      <c r="L27" s="1128"/>
      <c r="M27" s="1129"/>
      <c r="N27" s="1129"/>
      <c r="O27" s="1129"/>
      <c r="P27" s="3291"/>
      <c r="Q27" s="1791">
        <f t="shared" si="11"/>
        <v>111</v>
      </c>
      <c r="R27" s="768" t="s">
        <v>21</v>
      </c>
      <c r="S27" s="769">
        <f t="shared" si="12"/>
        <v>100</v>
      </c>
      <c r="T27" s="768" t="s">
        <v>21</v>
      </c>
      <c r="U27" s="769">
        <f t="shared" si="13"/>
        <v>100</v>
      </c>
      <c r="V27" s="768" t="s">
        <v>21</v>
      </c>
      <c r="W27" s="769">
        <f t="shared" si="14"/>
        <v>100</v>
      </c>
      <c r="X27" s="770"/>
      <c r="Y27" s="3284"/>
      <c r="Z27" s="55">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11"/>
      <c r="H28" s="433">
        <f>SUMIF(92:92,G28,93:93)-SUMIF(92:92,C28,93:93)+100</f>
        <v>100</v>
      </c>
      <c r="I28" s="432"/>
      <c r="J28" s="433">
        <f>SUMIF(92:92,I28,93:93)-SUMIF(92:92,C28,93:93)+100</f>
        <v>100</v>
      </c>
      <c r="K28" s="2597"/>
      <c r="L28" s="1136"/>
      <c r="M28" s="1127"/>
      <c r="N28" s="1127"/>
      <c r="O28" s="1127"/>
      <c r="P28" s="3291"/>
      <c r="Q28" s="1806">
        <f t="shared" si="11"/>
        <v>111</v>
      </c>
      <c r="R28" s="772" t="s">
        <v>21</v>
      </c>
      <c r="S28" s="773">
        <f t="shared" si="12"/>
        <v>100</v>
      </c>
      <c r="T28" s="772" t="s">
        <v>21</v>
      </c>
      <c r="U28" s="773">
        <f t="shared" si="13"/>
        <v>100</v>
      </c>
      <c r="V28" s="772" t="s">
        <v>21</v>
      </c>
      <c r="W28" s="773">
        <f t="shared" si="14"/>
        <v>100</v>
      </c>
      <c r="X28" s="1809"/>
      <c r="Y28" s="3284"/>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11"/>
      <c r="H29" s="433">
        <f>SUMIF(94:94,G29,95:95)-SUMIF(94:94,C29,95:95)+100</f>
        <v>100</v>
      </c>
      <c r="I29" s="432"/>
      <c r="J29" s="433">
        <f>SUMIF(94:94,I29,95:95)-SUMIF(94:94,C29,95:95)+100</f>
        <v>100</v>
      </c>
      <c r="K29" s="2597"/>
      <c r="L29" s="1136"/>
      <c r="M29" s="1127"/>
      <c r="N29" s="1127"/>
      <c r="O29" s="1127"/>
      <c r="P29" s="3291"/>
      <c r="Q29" s="1806">
        <f t="shared" si="11"/>
        <v>111</v>
      </c>
      <c r="R29" s="772" t="s">
        <v>21</v>
      </c>
      <c r="S29" s="773">
        <f t="shared" si="12"/>
        <v>100</v>
      </c>
      <c r="T29" s="772" t="s">
        <v>21</v>
      </c>
      <c r="U29" s="773">
        <f t="shared" si="13"/>
        <v>100</v>
      </c>
      <c r="V29" s="772" t="s">
        <v>21</v>
      </c>
      <c r="W29" s="773">
        <f t="shared" si="14"/>
        <v>100</v>
      </c>
      <c r="X29" s="1809"/>
      <c r="Y29" s="3284"/>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11"/>
      <c r="H30" s="433">
        <f>SUMIF(96:96,G30,97:97)-SUMIF(96:96,C30,97:97)+100</f>
        <v>100</v>
      </c>
      <c r="I30" s="432"/>
      <c r="J30" s="433">
        <f>SUMIF(96:96,I30,97:97)-SUMIF(96:96,C30,97:97)+100</f>
        <v>100</v>
      </c>
      <c r="K30" s="2597"/>
      <c r="L30" s="1136"/>
      <c r="M30" s="1127"/>
      <c r="N30" s="1127"/>
      <c r="O30" s="1127"/>
      <c r="P30" s="3291"/>
      <c r="Q30" s="1806">
        <f t="shared" si="11"/>
        <v>111</v>
      </c>
      <c r="R30" s="772" t="s">
        <v>21</v>
      </c>
      <c r="S30" s="773">
        <f t="shared" si="12"/>
        <v>100</v>
      </c>
      <c r="T30" s="772" t="s">
        <v>21</v>
      </c>
      <c r="U30" s="773">
        <f t="shared" si="13"/>
        <v>100</v>
      </c>
      <c r="V30" s="772" t="s">
        <v>21</v>
      </c>
      <c r="W30" s="773">
        <f t="shared" si="14"/>
        <v>100</v>
      </c>
      <c r="X30" s="1809"/>
      <c r="Y30" s="3284"/>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12"/>
      <c r="H31" s="436">
        <f>SUMIF(98:98,G31,99:99)-SUMIF(98:98,C31,99:99)+100</f>
        <v>100</v>
      </c>
      <c r="I31" s="435"/>
      <c r="J31" s="436">
        <f>SUMIF(98:98,I31,99:99)-SUMIF(98:98,C31,99:99)+100</f>
        <v>100</v>
      </c>
      <c r="K31" s="2597"/>
      <c r="L31" s="1136"/>
      <c r="M31" s="1127"/>
      <c r="N31" s="1127"/>
      <c r="O31" s="1127"/>
      <c r="P31" s="3291"/>
      <c r="Q31" s="1806">
        <f t="shared" si="11"/>
        <v>111</v>
      </c>
      <c r="R31" s="772" t="s">
        <v>21</v>
      </c>
      <c r="S31" s="773">
        <f t="shared" si="12"/>
        <v>100</v>
      </c>
      <c r="T31" s="772" t="s">
        <v>21</v>
      </c>
      <c r="U31" s="773">
        <f t="shared" si="13"/>
        <v>100</v>
      </c>
      <c r="V31" s="772" t="s">
        <v>21</v>
      </c>
      <c r="W31" s="773">
        <f t="shared" si="14"/>
        <v>100</v>
      </c>
      <c r="X31" s="1809"/>
      <c r="Y31" s="3284"/>
      <c r="Z31" s="1810">
        <f t="shared" si="18"/>
        <v>111</v>
      </c>
      <c r="AA31" s="1807">
        <f t="shared" si="15"/>
        <v>1</v>
      </c>
      <c r="AB31" s="1807">
        <f t="shared" si="16"/>
        <v>1</v>
      </c>
      <c r="AC31" s="1807">
        <f t="shared" si="17"/>
        <v>1</v>
      </c>
    </row>
    <row r="32" spans="1:29" ht="15">
      <c r="A32" s="438" t="s">
        <v>2552</v>
      </c>
      <c r="B32" s="71" t="s">
        <v>2553</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6"/>
      <c r="M32" s="1127"/>
      <c r="N32" s="1127"/>
      <c r="O32" s="1127"/>
      <c r="P32" s="3285" t="s">
        <v>2554</v>
      </c>
      <c r="Q32" s="1806" t="str">
        <f t="shared" si="11"/>
        <v>建筑类型</v>
      </c>
      <c r="R32" s="772" t="s">
        <v>21</v>
      </c>
      <c r="S32" s="773">
        <f t="shared" si="12"/>
        <v>100</v>
      </c>
      <c r="T32" s="772" t="s">
        <v>21</v>
      </c>
      <c r="U32" s="773">
        <f t="shared" si="13"/>
        <v>100</v>
      </c>
      <c r="V32" s="772" t="s">
        <v>21</v>
      </c>
      <c r="W32" s="773">
        <f t="shared" si="14"/>
        <v>100</v>
      </c>
      <c r="X32" s="1809"/>
      <c r="Y32" s="3288" t="s">
        <v>2554</v>
      </c>
      <c r="Z32" s="1810" t="str">
        <f t="shared" si="18"/>
        <v>建筑类型</v>
      </c>
      <c r="AA32" s="1807">
        <f t="shared" si="15"/>
        <v>1</v>
      </c>
      <c r="AB32" s="1807">
        <f t="shared" si="16"/>
        <v>1</v>
      </c>
      <c r="AC32" s="1807">
        <f t="shared" si="17"/>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7"/>
      <c r="L33" s="1134"/>
      <c r="M33" s="1137"/>
      <c r="N33" s="1137"/>
      <c r="O33" s="1137"/>
      <c r="P33" s="3286"/>
      <c r="Q33" s="774" t="str">
        <f t="shared" si="11"/>
        <v>项目建筑规模</v>
      </c>
      <c r="R33" s="775" t="s">
        <v>21</v>
      </c>
      <c r="S33" s="776" t="e">
        <f t="shared" si="12"/>
        <v>#N/A</v>
      </c>
      <c r="T33" s="775" t="s">
        <v>21</v>
      </c>
      <c r="U33" s="776" t="e">
        <f t="shared" si="13"/>
        <v>#N/A</v>
      </c>
      <c r="V33" s="775" t="s">
        <v>21</v>
      </c>
      <c r="W33" s="776" t="e">
        <f t="shared" si="14"/>
        <v>#N/A</v>
      </c>
      <c r="X33" s="777"/>
      <c r="Y33" s="3288"/>
      <c r="Z33" s="778" t="str">
        <f t="shared" si="18"/>
        <v>项目建筑规模</v>
      </c>
      <c r="AA33" s="1807" t="e">
        <f t="shared" si="15"/>
        <v>#N/A</v>
      </c>
      <c r="AB33" s="1807" t="e">
        <f t="shared" si="16"/>
        <v>#N/A</v>
      </c>
      <c r="AC33" s="1807" t="e">
        <f t="shared" si="17"/>
        <v>#N/A</v>
      </c>
    </row>
    <row r="34" spans="1:29" ht="15">
      <c r="A34" s="470"/>
      <c r="B34" s="420" t="s">
        <v>2556</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6"/>
      <c r="M34" s="1127"/>
      <c r="N34" s="1127"/>
      <c r="O34" s="1127"/>
      <c r="P34" s="3286"/>
      <c r="Q34" s="1806" t="str">
        <f t="shared" si="11"/>
        <v>建筑结构</v>
      </c>
      <c r="R34" s="772" t="s">
        <v>21</v>
      </c>
      <c r="S34" s="773">
        <f t="shared" si="12"/>
        <v>100</v>
      </c>
      <c r="T34" s="772" t="s">
        <v>21</v>
      </c>
      <c r="U34" s="773">
        <f t="shared" si="13"/>
        <v>100</v>
      </c>
      <c r="V34" s="772" t="s">
        <v>21</v>
      </c>
      <c r="W34" s="773">
        <f t="shared" si="14"/>
        <v>100</v>
      </c>
      <c r="X34" s="1809"/>
      <c r="Y34" s="3288"/>
      <c r="Z34" s="1810" t="str">
        <f t="shared" si="18"/>
        <v>建筑结构</v>
      </c>
      <c r="AA34" s="1807">
        <f t="shared" si="15"/>
        <v>1</v>
      </c>
      <c r="AB34" s="1807">
        <f t="shared" si="16"/>
        <v>1</v>
      </c>
      <c r="AC34" s="1807">
        <f t="shared" si="17"/>
        <v>1</v>
      </c>
    </row>
    <row r="35" spans="1:29" ht="15">
      <c r="A35" s="470"/>
      <c r="B35" s="420" t="s">
        <v>2557</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6"/>
      <c r="M35" s="1127"/>
      <c r="N35" s="1127"/>
      <c r="O35" s="1127"/>
      <c r="P35" s="3286"/>
      <c r="Q35" s="1806" t="str">
        <f t="shared" si="11"/>
        <v>建筑品质</v>
      </c>
      <c r="R35" s="772" t="s">
        <v>21</v>
      </c>
      <c r="S35" s="773">
        <f t="shared" si="12"/>
        <v>100</v>
      </c>
      <c r="T35" s="772" t="s">
        <v>21</v>
      </c>
      <c r="U35" s="773">
        <f t="shared" si="13"/>
        <v>100</v>
      </c>
      <c r="V35" s="772" t="s">
        <v>21</v>
      </c>
      <c r="W35" s="773">
        <f t="shared" si="14"/>
        <v>100</v>
      </c>
      <c r="X35" s="1809"/>
      <c r="Y35" s="3288"/>
      <c r="Z35" s="1810" t="str">
        <f t="shared" si="18"/>
        <v>建筑品质</v>
      </c>
      <c r="AA35" s="1807">
        <f t="shared" si="15"/>
        <v>1</v>
      </c>
      <c r="AB35" s="1807">
        <f t="shared" si="16"/>
        <v>1</v>
      </c>
      <c r="AC35" s="1807">
        <f t="shared" si="17"/>
        <v>1</v>
      </c>
    </row>
    <row r="36" spans="1:29" ht="15">
      <c r="A36" s="470"/>
      <c r="B36" s="420" t="s">
        <v>2558</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6"/>
      <c r="M36" s="1127"/>
      <c r="N36" s="1127"/>
      <c r="O36" s="1127"/>
      <c r="P36" s="3286"/>
      <c r="Q36" s="1806" t="str">
        <f t="shared" si="11"/>
        <v>公共部分装修</v>
      </c>
      <c r="R36" s="772" t="s">
        <v>21</v>
      </c>
      <c r="S36" s="773">
        <f t="shared" si="12"/>
        <v>100</v>
      </c>
      <c r="T36" s="772" t="s">
        <v>21</v>
      </c>
      <c r="U36" s="773">
        <f t="shared" si="13"/>
        <v>100</v>
      </c>
      <c r="V36" s="772" t="s">
        <v>21</v>
      </c>
      <c r="W36" s="773">
        <f t="shared" si="14"/>
        <v>100</v>
      </c>
      <c r="X36" s="1809"/>
      <c r="Y36" s="3288"/>
      <c r="Z36" s="1810" t="str">
        <f t="shared" si="18"/>
        <v>公共部分装修</v>
      </c>
      <c r="AA36" s="1807">
        <f t="shared" si="15"/>
        <v>1</v>
      </c>
      <c r="AB36" s="1807">
        <f t="shared" si="16"/>
        <v>1</v>
      </c>
      <c r="AC36" s="1807">
        <f t="shared" si="17"/>
        <v>1</v>
      </c>
    </row>
    <row r="37" spans="1:29" s="115" customFormat="1" ht="15">
      <c r="A37" s="471"/>
      <c r="B37" s="420" t="s">
        <v>2559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286"/>
      <c r="Q37" s="1791" t="str">
        <f t="shared" si="11"/>
        <v>成新度</v>
      </c>
      <c r="R37" s="768" t="s">
        <v>21</v>
      </c>
      <c r="S37" s="769" t="e">
        <f t="shared" si="12"/>
        <v>#N/A</v>
      </c>
      <c r="T37" s="768" t="s">
        <v>21</v>
      </c>
      <c r="U37" s="769" t="e">
        <f t="shared" si="13"/>
        <v>#N/A</v>
      </c>
      <c r="V37" s="768" t="s">
        <v>21</v>
      </c>
      <c r="W37" s="769" t="e">
        <f t="shared" si="14"/>
        <v>#N/A</v>
      </c>
      <c r="X37" s="770"/>
      <c r="Y37" s="3288"/>
      <c r="Z37" s="55" t="str">
        <f t="shared" si="18"/>
        <v>成新度</v>
      </c>
      <c r="AA37" s="771" t="e">
        <f t="shared" si="15"/>
        <v>#N/A</v>
      </c>
      <c r="AB37" s="771" t="e">
        <f t="shared" si="16"/>
        <v>#N/A</v>
      </c>
      <c r="AC37" s="771" t="e">
        <f t="shared" si="17"/>
        <v>#N/A</v>
      </c>
    </row>
    <row r="38" spans="1:29" ht="15">
      <c r="A38" s="470"/>
      <c r="B38" s="420" t="s">
        <v>2560</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6"/>
      <c r="M38" s="1127"/>
      <c r="N38" s="1127"/>
      <c r="O38" s="1127"/>
      <c r="P38" s="3286" t="s">
        <v>2554</v>
      </c>
      <c r="Q38" s="1806" t="str">
        <f t="shared" si="11"/>
        <v>物业管理</v>
      </c>
      <c r="R38" s="772" t="s">
        <v>21</v>
      </c>
      <c r="S38" s="773">
        <f t="shared" si="12"/>
        <v>100</v>
      </c>
      <c r="T38" s="772" t="s">
        <v>21</v>
      </c>
      <c r="U38" s="773">
        <f t="shared" si="13"/>
        <v>100</v>
      </c>
      <c r="V38" s="772" t="s">
        <v>21</v>
      </c>
      <c r="W38" s="773">
        <f t="shared" si="14"/>
        <v>100</v>
      </c>
      <c r="X38" s="1809"/>
      <c r="Y38" s="3288" t="s">
        <v>2554</v>
      </c>
      <c r="Z38" s="1810" t="str">
        <f t="shared" si="18"/>
        <v>物业管理</v>
      </c>
      <c r="AA38" s="1807">
        <f t="shared" si="15"/>
        <v>1</v>
      </c>
      <c r="AB38" s="1807">
        <f t="shared" si="16"/>
        <v>1</v>
      </c>
      <c r="AC38" s="1807">
        <f t="shared" si="17"/>
        <v>1</v>
      </c>
    </row>
    <row r="39" spans="1:29" ht="15">
      <c r="A39" s="470"/>
      <c r="B39" s="420" t="s">
        <v>2561</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6"/>
      <c r="M39" s="1127"/>
      <c r="N39" s="1127"/>
      <c r="O39" s="1127"/>
      <c r="P39" s="3286"/>
      <c r="Q39" s="1806" t="str">
        <f t="shared" si="11"/>
        <v>市政基础设施</v>
      </c>
      <c r="R39" s="772" t="s">
        <v>21</v>
      </c>
      <c r="S39" s="773">
        <f t="shared" si="12"/>
        <v>100</v>
      </c>
      <c r="T39" s="772" t="s">
        <v>21</v>
      </c>
      <c r="U39" s="773">
        <f t="shared" si="13"/>
        <v>100</v>
      </c>
      <c r="V39" s="772" t="s">
        <v>21</v>
      </c>
      <c r="W39" s="773">
        <f t="shared" si="14"/>
        <v>100</v>
      </c>
      <c r="X39" s="1809"/>
      <c r="Y39" s="3288"/>
      <c r="Z39" s="1810" t="str">
        <f t="shared" si="18"/>
        <v>市政基础设施</v>
      </c>
      <c r="AA39" s="1807">
        <f t="shared" si="15"/>
        <v>1</v>
      </c>
      <c r="AB39" s="1807">
        <f t="shared" si="16"/>
        <v>1</v>
      </c>
      <c r="AC39" s="1807">
        <f t="shared" si="17"/>
        <v>1</v>
      </c>
    </row>
    <row r="40" spans="1:29" ht="15">
      <c r="A40" s="470"/>
      <c r="B40" s="420" t="s">
        <v>2562</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6"/>
      <c r="M40" s="1127"/>
      <c r="N40" s="1127"/>
      <c r="O40" s="1127"/>
      <c r="P40" s="3286"/>
      <c r="Q40" s="1806" t="str">
        <f t="shared" si="11"/>
        <v>房型</v>
      </c>
      <c r="R40" s="772" t="s">
        <v>21</v>
      </c>
      <c r="S40" s="773">
        <f t="shared" si="12"/>
        <v>100</v>
      </c>
      <c r="T40" s="772" t="s">
        <v>21</v>
      </c>
      <c r="U40" s="773">
        <f t="shared" si="13"/>
        <v>100</v>
      </c>
      <c r="V40" s="772" t="s">
        <v>21</v>
      </c>
      <c r="W40" s="773">
        <f t="shared" si="14"/>
        <v>100</v>
      </c>
      <c r="X40" s="1809"/>
      <c r="Y40" s="3288"/>
      <c r="Z40" s="1810" t="str">
        <f t="shared" si="18"/>
        <v>房型</v>
      </c>
      <c r="AA40" s="1807">
        <f t="shared" si="15"/>
        <v>1</v>
      </c>
      <c r="AB40" s="1807">
        <f t="shared" si="16"/>
        <v>1</v>
      </c>
      <c r="AC40" s="1807">
        <f t="shared" si="17"/>
        <v>1</v>
      </c>
    </row>
    <row r="41" spans="1:29" s="469" customFormat="1" ht="28.5">
      <c r="A41" s="466"/>
      <c r="B41" s="420" t="s">
        <v>2563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7"/>
      <c r="L41" s="1134"/>
      <c r="M41" s="1137"/>
      <c r="N41" s="1137"/>
      <c r="O41" s="1137"/>
      <c r="P41" s="3286"/>
      <c r="Q41" s="774" t="str">
        <f t="shared" si="11"/>
        <v>单套/主力户型建筑面积</v>
      </c>
      <c r="R41" s="775" t="s">
        <v>21</v>
      </c>
      <c r="S41" s="776">
        <f t="shared" si="12"/>
        <v>100</v>
      </c>
      <c r="T41" s="775" t="s">
        <v>21</v>
      </c>
      <c r="U41" s="776">
        <f t="shared" si="13"/>
        <v>100</v>
      </c>
      <c r="V41" s="775" t="s">
        <v>21</v>
      </c>
      <c r="W41" s="776">
        <f t="shared" si="14"/>
        <v>100</v>
      </c>
      <c r="X41" s="777"/>
      <c r="Y41" s="3288"/>
      <c r="Z41" s="778" t="str">
        <f t="shared" si="18"/>
        <v>单套/主力户型建筑面积</v>
      </c>
      <c r="AA41" s="1807">
        <f t="shared" si="15"/>
        <v>1</v>
      </c>
      <c r="AB41" s="1807">
        <f t="shared" si="16"/>
        <v>1</v>
      </c>
      <c r="AC41" s="1807">
        <f t="shared" si="17"/>
        <v>1</v>
      </c>
    </row>
    <row r="42" spans="1:29" ht="15">
      <c r="A42" s="470"/>
      <c r="B42" s="420" t="s">
        <v>2564</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6"/>
      <c r="M42" s="1127"/>
      <c r="N42" s="1127"/>
      <c r="O42" s="1127"/>
      <c r="P42" s="3286"/>
      <c r="Q42" s="1806" t="str">
        <f t="shared" si="11"/>
        <v>内部装修</v>
      </c>
      <c r="R42" s="772" t="s">
        <v>21</v>
      </c>
      <c r="S42" s="773">
        <f t="shared" si="12"/>
        <v>100</v>
      </c>
      <c r="T42" s="772" t="s">
        <v>21</v>
      </c>
      <c r="U42" s="773">
        <f t="shared" si="13"/>
        <v>100</v>
      </c>
      <c r="V42" s="772" t="s">
        <v>21</v>
      </c>
      <c r="W42" s="773">
        <f t="shared" si="14"/>
        <v>100</v>
      </c>
      <c r="X42" s="1809"/>
      <c r="Y42" s="3288"/>
      <c r="Z42" s="1810" t="str">
        <f t="shared" si="18"/>
        <v>内部装修</v>
      </c>
      <c r="AA42" s="1807">
        <f t="shared" si="15"/>
        <v>1</v>
      </c>
      <c r="AB42" s="1807">
        <f t="shared" si="16"/>
        <v>1</v>
      </c>
      <c r="AC42" s="1807">
        <f t="shared" si="17"/>
        <v>1</v>
      </c>
    </row>
    <row r="43" spans="1:29" ht="15">
      <c r="A43" s="470"/>
      <c r="B43" s="420" t="s">
        <v>2565</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6"/>
      <c r="M43" s="1127"/>
      <c r="N43" s="1127"/>
      <c r="O43" s="1127"/>
      <c r="P43" s="3286"/>
      <c r="Q43" s="1806" t="str">
        <f t="shared" si="11"/>
        <v>内部装修维护情况</v>
      </c>
      <c r="R43" s="772" t="s">
        <v>21</v>
      </c>
      <c r="S43" s="773">
        <f t="shared" si="12"/>
        <v>100</v>
      </c>
      <c r="T43" s="772" t="s">
        <v>21</v>
      </c>
      <c r="U43" s="773">
        <f t="shared" si="13"/>
        <v>100</v>
      </c>
      <c r="V43" s="772" t="s">
        <v>21</v>
      </c>
      <c r="W43" s="773">
        <f t="shared" si="14"/>
        <v>100</v>
      </c>
      <c r="X43" s="1809"/>
      <c r="Y43" s="3288"/>
      <c r="Z43" s="1810" t="str">
        <f t="shared" si="18"/>
        <v>内部装修维护情况</v>
      </c>
      <c r="AA43" s="1807">
        <f t="shared" si="15"/>
        <v>1</v>
      </c>
      <c r="AB43" s="1807">
        <f t="shared" si="16"/>
        <v>1</v>
      </c>
      <c r="AC43" s="1807">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8"/>
      <c r="M44" s="1129"/>
      <c r="N44" s="1129"/>
      <c r="O44" s="1129"/>
      <c r="P44" s="3286"/>
      <c r="Q44" s="1791">
        <f t="shared" si="11"/>
        <v>111</v>
      </c>
      <c r="R44" s="768" t="s">
        <v>21</v>
      </c>
      <c r="S44" s="769">
        <f t="shared" si="12"/>
        <v>100</v>
      </c>
      <c r="T44" s="768" t="s">
        <v>21</v>
      </c>
      <c r="U44" s="769">
        <f t="shared" si="13"/>
        <v>100</v>
      </c>
      <c r="V44" s="768" t="s">
        <v>21</v>
      </c>
      <c r="W44" s="769">
        <f t="shared" si="14"/>
        <v>100</v>
      </c>
      <c r="X44" s="770"/>
      <c r="Y44" s="3288"/>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6"/>
      <c r="M45" s="1127"/>
      <c r="N45" s="1127"/>
      <c r="O45" s="1127"/>
      <c r="P45" s="3286"/>
      <c r="Q45" s="1806">
        <f t="shared" si="11"/>
        <v>111</v>
      </c>
      <c r="R45" s="772" t="s">
        <v>21</v>
      </c>
      <c r="S45" s="773">
        <f t="shared" si="12"/>
        <v>100</v>
      </c>
      <c r="T45" s="772" t="s">
        <v>21</v>
      </c>
      <c r="U45" s="773">
        <f t="shared" si="13"/>
        <v>100</v>
      </c>
      <c r="V45" s="772" t="s">
        <v>21</v>
      </c>
      <c r="W45" s="773">
        <f t="shared" si="14"/>
        <v>100</v>
      </c>
      <c r="X45" s="1809"/>
      <c r="Y45" s="3288"/>
      <c r="Z45" s="1810">
        <f t="shared" si="18"/>
        <v>111</v>
      </c>
      <c r="AA45" s="1807">
        <f t="shared" si="15"/>
        <v>1</v>
      </c>
      <c r="AB45" s="1807">
        <f t="shared" si="16"/>
        <v>1</v>
      </c>
      <c r="AC45" s="1807">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6"/>
      <c r="M46" s="1127"/>
      <c r="N46" s="1127"/>
      <c r="O46" s="1127"/>
      <c r="P46" s="3287"/>
      <c r="Q46" s="1806">
        <f t="shared" si="11"/>
        <v>111</v>
      </c>
      <c r="R46" s="772" t="s">
        <v>20</v>
      </c>
      <c r="S46" s="773">
        <f t="shared" si="12"/>
        <v>100</v>
      </c>
      <c r="T46" s="772" t="s">
        <v>20</v>
      </c>
      <c r="U46" s="773">
        <f t="shared" si="13"/>
        <v>100</v>
      </c>
      <c r="V46" s="772" t="s">
        <v>20</v>
      </c>
      <c r="W46" s="773">
        <f t="shared" si="14"/>
        <v>100</v>
      </c>
      <c r="X46" s="1809"/>
      <c r="Y46" s="3289"/>
      <c r="Z46" s="1810">
        <f t="shared" si="18"/>
        <v>111</v>
      </c>
      <c r="AA46" s="1807">
        <f t="shared" si="15"/>
        <v>1</v>
      </c>
      <c r="AB46" s="1807">
        <f t="shared" si="16"/>
        <v>1</v>
      </c>
      <c r="AC46" s="1807">
        <f t="shared" si="17"/>
        <v>1</v>
      </c>
    </row>
    <row r="47" spans="1:29" ht="15">
      <c r="A47" s="477" t="s">
        <v>2566</v>
      </c>
      <c r="B47" s="478"/>
      <c r="C47" s="1403" t="s">
        <v>19</v>
      </c>
      <c r="D47" s="1404"/>
      <c r="E47" s="1405"/>
      <c r="F47" s="1406"/>
      <c r="G47" s="1407"/>
      <c r="H47" s="1408"/>
      <c r="I47" s="1405"/>
      <c r="J47" s="1408"/>
      <c r="K47" s="2617"/>
      <c r="L47" s="1139"/>
      <c r="M47" s="1140"/>
      <c r="N47" s="1127"/>
      <c r="O47" s="1140"/>
      <c r="P47" s="3281" t="str">
        <f>A47</f>
        <v>成交单价（元/平方米）</v>
      </c>
      <c r="Q47" s="3281"/>
      <c r="R47" s="3282">
        <f>E47</f>
        <v>0</v>
      </c>
      <c r="S47" s="3282"/>
      <c r="T47" s="3282">
        <f>G47</f>
        <v>0</v>
      </c>
      <c r="U47" s="3282"/>
      <c r="V47" s="3282">
        <f>I47</f>
        <v>0</v>
      </c>
      <c r="W47" s="3282"/>
      <c r="X47" s="757"/>
      <c r="Y47" s="779"/>
      <c r="Z47" s="757"/>
      <c r="AA47" s="757"/>
      <c r="AB47" s="757"/>
      <c r="AC47" s="757"/>
    </row>
    <row r="48" spans="1:29" ht="15.75" thickBot="1">
      <c r="A48" s="484" t="s">
        <v>2567</v>
      </c>
      <c r="B48" s="485"/>
      <c r="C48" s="1409" t="e">
        <f>R49</f>
        <v>#DIV/0!</v>
      </c>
      <c r="D48" s="1410"/>
      <c r="E48" s="1411" t="e">
        <f>R48</f>
        <v>#DIV/0!</v>
      </c>
      <c r="F48" s="1411"/>
      <c r="G48" s="1409" t="e">
        <f>T48</f>
        <v>#DIV/0!</v>
      </c>
      <c r="H48" s="1410"/>
      <c r="I48" s="1411" t="e">
        <f>V48</f>
        <v>#DIV/0!</v>
      </c>
      <c r="J48" s="1410"/>
      <c r="K48" s="2618"/>
      <c r="L48" s="1139"/>
      <c r="M48" s="1140"/>
      <c r="N48" s="1140"/>
      <c r="O48" s="1140"/>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7"/>
      <c r="Y48" s="757"/>
      <c r="Z48" s="757"/>
      <c r="AA48" s="757"/>
      <c r="AB48" s="757"/>
      <c r="AC48" s="757"/>
    </row>
    <row r="49" spans="1:29" ht="15.75" thickBot="1">
      <c r="A49" s="490" t="s">
        <v>2568</v>
      </c>
      <c r="B49" s="491"/>
      <c r="C49" s="1412" t="e">
        <f>R49</f>
        <v>#DIV/0!</v>
      </c>
      <c r="D49" s="1413"/>
      <c r="E49" s="1413"/>
      <c r="F49" s="1413"/>
      <c r="G49" s="1413"/>
      <c r="H49" s="1413"/>
      <c r="I49" s="1413"/>
      <c r="J49" s="1413"/>
      <c r="K49" s="2619"/>
      <c r="L49" s="1139"/>
      <c r="M49" s="1140"/>
      <c r="N49" s="1140"/>
      <c r="O49" s="1140"/>
      <c r="P49" s="3278" t="str">
        <f>A49</f>
        <v>估价对象XX用房的比较价值（楼面单价，元/平方米）</v>
      </c>
      <c r="Q49" s="3279"/>
      <c r="R49" s="3280" t="e">
        <f>IF(F1="售价",ROUND(AVERAGE(R48:V48),0),ROUND(AVERAGE(R48:V48),1))</f>
        <v>#DIV/0!</v>
      </c>
      <c r="S49" s="3280"/>
      <c r="T49" s="3280"/>
      <c r="U49" s="3280"/>
      <c r="V49" s="3280"/>
      <c r="W49" s="3280"/>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21"/>
    </row>
    <row r="55" spans="1:29" s="500"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1" t="s">
        <v>2572</v>
      </c>
      <c r="B57" s="757"/>
      <c r="C57" s="762"/>
      <c r="D57" s="762"/>
      <c r="E57" s="762"/>
      <c r="F57" s="763"/>
      <c r="G57" s="763"/>
      <c r="H57" s="762"/>
      <c r="I57" s="762"/>
      <c r="J57" s="762"/>
      <c r="K57" s="1156"/>
      <c r="L57" s="1157"/>
      <c r="M57" s="1155"/>
      <c r="N57" s="1155"/>
      <c r="O57" s="1155"/>
      <c r="P57" s="2622"/>
      <c r="Q57" s="502"/>
    </row>
    <row r="58" spans="1:29" s="506" customFormat="1" ht="15">
      <c r="A58" s="503" t="s">
        <v>2573</v>
      </c>
      <c r="B58" s="504"/>
      <c r="C58" s="1572" t="str">
        <f>YEAR(C7)&amp;"-"&amp;MONTH(C7)</f>
        <v>2019-4</v>
      </c>
      <c r="D58" s="1571">
        <f>EDATE(C58,-1)</f>
        <v>43525</v>
      </c>
      <c r="E58" s="1571">
        <f>EDATE(D58,-1)</f>
        <v>43497</v>
      </c>
      <c r="F58" s="1571">
        <f t="shared" ref="F58:O58" si="19">EDATE(E58,-1)</f>
        <v>43466</v>
      </c>
      <c r="G58" s="1571">
        <f t="shared" si="19"/>
        <v>43435</v>
      </c>
      <c r="H58" s="1571">
        <f t="shared" si="19"/>
        <v>43405</v>
      </c>
      <c r="I58" s="1571">
        <f t="shared" si="19"/>
        <v>43374</v>
      </c>
      <c r="J58" s="1571">
        <f t="shared" si="19"/>
        <v>43344</v>
      </c>
      <c r="K58" s="1571">
        <f t="shared" si="19"/>
        <v>43313</v>
      </c>
      <c r="L58" s="1571">
        <f t="shared" si="19"/>
        <v>43282</v>
      </c>
      <c r="M58" s="1571">
        <f t="shared" si="19"/>
        <v>43252</v>
      </c>
      <c r="N58" s="1571">
        <f t="shared" si="19"/>
        <v>43221</v>
      </c>
      <c r="O58" s="1571">
        <f t="shared" si="19"/>
        <v>43191</v>
      </c>
      <c r="P58" s="1566"/>
    </row>
    <row r="59" spans="1:29" s="115" customFormat="1" ht="15">
      <c r="A59" s="507"/>
      <c r="B59" s="2623"/>
      <c r="C59" s="1569">
        <v>100</v>
      </c>
      <c r="D59" s="509"/>
      <c r="E59" s="510"/>
      <c r="F59" s="510"/>
      <c r="G59" s="510"/>
      <c r="H59" s="510"/>
      <c r="I59" s="510"/>
      <c r="J59" s="510"/>
      <c r="K59" s="510"/>
      <c r="L59" s="510"/>
      <c r="M59" s="511"/>
      <c r="N59" s="510"/>
      <c r="O59" s="511"/>
      <c r="P59" s="2624"/>
    </row>
    <row r="60" spans="1:29" s="115" customFormat="1" ht="15.75" thickBot="1">
      <c r="A60" s="513" t="s">
        <v>2574</v>
      </c>
      <c r="B60" s="514"/>
      <c r="C60" s="515"/>
      <c r="D60" s="516"/>
      <c r="E60" s="516"/>
      <c r="F60" s="516"/>
      <c r="G60" s="516"/>
      <c r="H60" s="516"/>
      <c r="I60" s="516"/>
      <c r="J60" s="516"/>
      <c r="K60" s="516"/>
      <c r="L60" s="516"/>
      <c r="M60" s="517"/>
      <c r="N60" s="516"/>
      <c r="O60" s="517"/>
      <c r="P60" s="2624"/>
      <c r="Q60" s="502"/>
    </row>
    <row r="61" spans="1:29" s="115" customFormat="1" ht="15">
      <c r="A61" s="519" t="s">
        <v>2575</v>
      </c>
      <c r="B61" s="508"/>
      <c r="C61" s="520" t="s">
        <v>2576</v>
      </c>
      <c r="D61" s="521"/>
      <c r="E61" s="521"/>
      <c r="F61" s="521"/>
      <c r="G61" s="521"/>
      <c r="H61" s="521"/>
      <c r="I61" s="521"/>
      <c r="J61" s="521"/>
      <c r="K61" s="521"/>
      <c r="L61" s="522"/>
      <c r="M61" s="523"/>
      <c r="N61" s="1147"/>
      <c r="O61" s="1147"/>
      <c r="P61" s="2625"/>
      <c r="Q61" s="502"/>
    </row>
    <row r="62" spans="1:29" s="115" customFormat="1" ht="15.75" thickBot="1">
      <c r="A62" s="519"/>
      <c r="B62" s="508"/>
      <c r="C62" s="509">
        <v>100</v>
      </c>
      <c r="D62" s="510"/>
      <c r="E62" s="510"/>
      <c r="F62" s="510"/>
      <c r="G62" s="510"/>
      <c r="H62" s="510"/>
      <c r="I62" s="510"/>
      <c r="J62" s="510"/>
      <c r="K62" s="510"/>
      <c r="L62" s="510"/>
      <c r="M62" s="512"/>
      <c r="N62" s="1147"/>
      <c r="O62" s="1147"/>
      <c r="P62" s="2624"/>
      <c r="Q62" s="502"/>
    </row>
    <row r="63" spans="1:29">
      <c r="A63" s="525" t="s">
        <v>2577</v>
      </c>
      <c r="B63" s="526" t="s">
        <v>2543</v>
      </c>
      <c r="C63" s="527">
        <f>C9</f>
        <v>0</v>
      </c>
      <c r="D63" s="528"/>
      <c r="E63" s="528"/>
      <c r="F63" s="528"/>
      <c r="G63" s="528"/>
      <c r="H63" s="528"/>
      <c r="I63" s="528"/>
      <c r="J63" s="528"/>
      <c r="K63" s="529"/>
      <c r="L63" s="530"/>
      <c r="M63" s="531"/>
      <c r="N63" s="1148"/>
      <c r="O63" s="1148"/>
      <c r="P63" s="2626"/>
      <c r="Q63" s="502"/>
    </row>
    <row r="64" spans="1:29" ht="15.75" thickBot="1">
      <c r="A64" s="532"/>
      <c r="B64" s="533"/>
      <c r="C64" s="534">
        <v>100</v>
      </c>
      <c r="D64" s="534"/>
      <c r="E64" s="534"/>
      <c r="F64" s="534"/>
      <c r="G64" s="534"/>
      <c r="H64" s="534"/>
      <c r="I64" s="534"/>
      <c r="J64" s="534"/>
      <c r="K64" s="534"/>
      <c r="L64" s="534"/>
      <c r="M64" s="535"/>
      <c r="N64" s="1149"/>
      <c r="O64" s="1149"/>
      <c r="P64" s="2626"/>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48"/>
      <c r="O65" s="1148"/>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26"/>
      <c r="Q66" s="502"/>
    </row>
    <row r="67" spans="1:17" ht="15.75" thickTop="1">
      <c r="A67" s="532"/>
      <c r="B67" s="544" t="s">
        <v>2547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26"/>
      <c r="Q67" s="502"/>
    </row>
    <row r="68" spans="1:17" ht="15">
      <c r="A68" s="532"/>
      <c r="B68" s="546"/>
      <c r="C68" s="547"/>
      <c r="D68" s="547"/>
      <c r="E68" s="547"/>
      <c r="F68" s="547"/>
      <c r="G68" s="547"/>
      <c r="H68" s="547"/>
      <c r="I68" s="547"/>
      <c r="J68" s="547"/>
      <c r="K68" s="548"/>
      <c r="L68" s="549"/>
      <c r="M68" s="550"/>
      <c r="N68" s="1148"/>
      <c r="O68" s="1148"/>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6"/>
      <c r="Q69" s="502"/>
    </row>
    <row r="70" spans="1:17" s="469" customFormat="1" ht="15.75" thickTop="1">
      <c r="A70" s="551"/>
      <c r="B70" s="536">
        <f>B12</f>
        <v>111</v>
      </c>
      <c r="C70" s="552"/>
      <c r="D70" s="552"/>
      <c r="E70" s="552"/>
      <c r="F70" s="552"/>
      <c r="G70" s="552"/>
      <c r="H70" s="553"/>
      <c r="I70" s="553"/>
      <c r="J70" s="553"/>
      <c r="K70" s="553"/>
      <c r="L70" s="554"/>
      <c r="M70" s="555"/>
      <c r="N70" s="1150"/>
      <c r="O70" s="1150"/>
      <c r="P70" s="2627"/>
      <c r="Q70" s="557"/>
    </row>
    <row r="71" spans="1:17" s="469" customFormat="1" ht="15.75" thickBot="1">
      <c r="A71" s="551"/>
      <c r="B71" s="541"/>
      <c r="C71" s="558"/>
      <c r="D71" s="534"/>
      <c r="E71" s="534"/>
      <c r="F71" s="534"/>
      <c r="G71" s="534"/>
      <c r="H71" s="534"/>
      <c r="I71" s="534"/>
      <c r="J71" s="534"/>
      <c r="K71" s="534"/>
      <c r="L71" s="534"/>
      <c r="M71" s="535"/>
      <c r="N71" s="1149"/>
      <c r="O71" s="1149"/>
      <c r="P71" s="2627"/>
      <c r="Q71" s="557"/>
    </row>
    <row r="72" spans="1:17" s="469" customFormat="1" ht="15.75" thickTop="1">
      <c r="A72" s="551"/>
      <c r="B72" s="536">
        <f>B13</f>
        <v>111</v>
      </c>
      <c r="C72" s="552"/>
      <c r="D72" s="552"/>
      <c r="E72" s="552"/>
      <c r="F72" s="552"/>
      <c r="G72" s="552"/>
      <c r="H72" s="553"/>
      <c r="I72" s="553"/>
      <c r="J72" s="553"/>
      <c r="K72" s="553"/>
      <c r="L72" s="554"/>
      <c r="M72" s="555"/>
      <c r="N72" s="1150"/>
      <c r="O72" s="1150"/>
      <c r="P72" s="2628"/>
      <c r="Q72" s="559"/>
    </row>
    <row r="73" spans="1:17" s="469" customFormat="1" ht="15.75" thickBot="1">
      <c r="A73" s="551"/>
      <c r="B73" s="541"/>
      <c r="C73" s="558"/>
      <c r="D73" s="558"/>
      <c r="E73" s="558"/>
      <c r="F73" s="558"/>
      <c r="G73" s="558"/>
      <c r="H73" s="560"/>
      <c r="I73" s="560"/>
      <c r="J73" s="560"/>
      <c r="K73" s="560"/>
      <c r="L73" s="560"/>
      <c r="M73" s="561"/>
      <c r="N73" s="1150"/>
      <c r="O73" s="1150"/>
      <c r="P73" s="2627"/>
      <c r="Q73" s="557"/>
    </row>
    <row r="74" spans="1:17" s="469" customFormat="1" ht="15.75" thickTop="1">
      <c r="A74" s="551"/>
      <c r="B74" s="544">
        <f>B14</f>
        <v>111</v>
      </c>
      <c r="C74" s="552"/>
      <c r="D74" s="552"/>
      <c r="E74" s="552"/>
      <c r="F74" s="552"/>
      <c r="G74" s="521"/>
      <c r="H74" s="562"/>
      <c r="I74" s="562"/>
      <c r="J74" s="562"/>
      <c r="K74" s="562"/>
      <c r="L74" s="563"/>
      <c r="M74" s="564"/>
      <c r="N74" s="1150"/>
      <c r="O74" s="1150"/>
      <c r="P74" s="2629"/>
      <c r="Q74" s="557"/>
    </row>
    <row r="75" spans="1:17" s="469" customFormat="1" ht="15.75" thickBot="1">
      <c r="A75" s="566"/>
      <c r="B75" s="567"/>
      <c r="C75" s="568"/>
      <c r="D75" s="568"/>
      <c r="E75" s="568"/>
      <c r="F75" s="568"/>
      <c r="G75" s="568"/>
      <c r="H75" s="569"/>
      <c r="I75" s="569"/>
      <c r="J75" s="569"/>
      <c r="K75" s="569"/>
      <c r="L75" s="569"/>
      <c r="M75" s="570"/>
      <c r="N75" s="1150"/>
      <c r="O75" s="1150"/>
      <c r="P75" s="2627"/>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48"/>
      <c r="O76" s="1148"/>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6"/>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48"/>
      <c r="O78" s="1148"/>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6"/>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48"/>
      <c r="O80" s="1148"/>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6"/>
      <c r="Q81" s="502"/>
    </row>
    <row r="82" spans="1:17" ht="15.75" thickTop="1">
      <c r="A82" s="532"/>
      <c r="B82" s="544" t="s">
        <v>2092</v>
      </c>
      <c r="C82" s="537" t="s">
        <v>2593</v>
      </c>
      <c r="D82" s="537" t="s">
        <v>2594</v>
      </c>
      <c r="E82" s="537" t="s">
        <v>2595</v>
      </c>
      <c r="F82" s="537" t="s">
        <v>2596</v>
      </c>
      <c r="G82" s="537" t="s">
        <v>2597</v>
      </c>
      <c r="H82" s="537"/>
      <c r="I82" s="537"/>
      <c r="J82" s="537"/>
      <c r="K82" s="537"/>
      <c r="L82" s="537"/>
      <c r="M82" s="1378"/>
      <c r="N82" s="1149"/>
      <c r="O82" s="1149"/>
      <c r="P82" s="262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26"/>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48"/>
      <c r="O84" s="1148"/>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6"/>
      <c r="Q85" s="502"/>
    </row>
    <row r="86" spans="1:17" s="115" customFormat="1" ht="15.75" thickTop="1">
      <c r="A86" s="577"/>
      <c r="B86" s="536" t="s">
        <v>2599</v>
      </c>
      <c r="C86" s="552"/>
      <c r="D86" s="552"/>
      <c r="E86" s="552"/>
      <c r="F86" s="552"/>
      <c r="G86" s="552"/>
      <c r="H86" s="552"/>
      <c r="I86" s="552"/>
      <c r="J86" s="552"/>
      <c r="K86" s="552"/>
      <c r="L86" s="578"/>
      <c r="M86" s="579"/>
      <c r="N86" s="1147"/>
      <c r="O86" s="1147"/>
      <c r="P86" s="2626"/>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6"/>
      <c r="Q87" s="502"/>
    </row>
    <row r="88" spans="1:17" s="115" customFormat="1" ht="15.75" thickTop="1">
      <c r="A88" s="577"/>
      <c r="B88" s="536" t="s">
        <v>2600</v>
      </c>
      <c r="C88" s="552"/>
      <c r="D88" s="552"/>
      <c r="E88" s="552"/>
      <c r="F88" s="2631"/>
      <c r="G88" s="552"/>
      <c r="H88" s="552"/>
      <c r="I88" s="552"/>
      <c r="J88" s="552"/>
      <c r="K88" s="552"/>
      <c r="L88" s="552"/>
      <c r="M88" s="579"/>
      <c r="N88" s="1147"/>
      <c r="O88" s="1147"/>
      <c r="P88" s="2626"/>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6"/>
      <c r="Q89" s="502"/>
    </row>
    <row r="90" spans="1:17" s="469" customFormat="1" ht="15.75" thickTop="1">
      <c r="A90" s="551"/>
      <c r="B90" s="536">
        <f>B27</f>
        <v>111</v>
      </c>
      <c r="C90" s="552"/>
      <c r="D90" s="552"/>
      <c r="E90" s="552"/>
      <c r="F90" s="552"/>
      <c r="G90" s="552"/>
      <c r="H90" s="553"/>
      <c r="I90" s="553"/>
      <c r="J90" s="553"/>
      <c r="K90" s="553"/>
      <c r="L90" s="554"/>
      <c r="M90" s="555"/>
      <c r="N90" s="1150"/>
      <c r="O90" s="1150"/>
      <c r="P90" s="2627"/>
      <c r="Q90" s="557"/>
    </row>
    <row r="91" spans="1:17" s="469" customFormat="1" ht="15.75" thickBot="1">
      <c r="A91" s="551"/>
      <c r="B91" s="541"/>
      <c r="C91" s="558"/>
      <c r="D91" s="558"/>
      <c r="E91" s="558"/>
      <c r="F91" s="558"/>
      <c r="G91" s="558"/>
      <c r="H91" s="560"/>
      <c r="I91" s="560"/>
      <c r="J91" s="560"/>
      <c r="K91" s="560"/>
      <c r="L91" s="560"/>
      <c r="M91" s="561"/>
      <c r="N91" s="1150"/>
      <c r="O91" s="1150"/>
      <c r="P91" s="2627"/>
      <c r="Q91" s="557"/>
    </row>
    <row r="92" spans="1:17" ht="15.75" thickTop="1">
      <c r="A92" s="532"/>
      <c r="B92" s="536">
        <f>B28</f>
        <v>111</v>
      </c>
      <c r="C92" s="552"/>
      <c r="D92" s="552"/>
      <c r="E92" s="552"/>
      <c r="F92" s="552"/>
      <c r="G92" s="581"/>
      <c r="H92" s="581"/>
      <c r="I92" s="581"/>
      <c r="J92" s="581"/>
      <c r="K92" s="582"/>
      <c r="L92" s="583"/>
      <c r="M92" s="584"/>
      <c r="N92" s="1148"/>
      <c r="O92" s="1148"/>
      <c r="P92" s="2626"/>
      <c r="Q92" s="502"/>
    </row>
    <row r="93" spans="1:17" ht="15.75" thickBot="1">
      <c r="A93" s="532"/>
      <c r="B93" s="541"/>
      <c r="C93" s="558"/>
      <c r="D93" s="534"/>
      <c r="E93" s="534"/>
      <c r="F93" s="534"/>
      <c r="G93" s="534"/>
      <c r="H93" s="534"/>
      <c r="I93" s="534"/>
      <c r="J93" s="534"/>
      <c r="K93" s="534"/>
      <c r="L93" s="534"/>
      <c r="M93" s="535"/>
      <c r="N93" s="1149"/>
      <c r="O93" s="1149"/>
      <c r="P93" s="2626"/>
      <c r="Q93" s="502"/>
    </row>
    <row r="94" spans="1:17" ht="15.75" thickTop="1">
      <c r="A94" s="532"/>
      <c r="B94" s="536">
        <f>B29</f>
        <v>111</v>
      </c>
      <c r="C94" s="552"/>
      <c r="D94" s="552"/>
      <c r="E94" s="552"/>
      <c r="F94" s="552"/>
      <c r="G94" s="581"/>
      <c r="H94" s="581"/>
      <c r="I94" s="581"/>
      <c r="J94" s="581"/>
      <c r="K94" s="582"/>
      <c r="L94" s="583"/>
      <c r="M94" s="584"/>
      <c r="N94" s="1148"/>
      <c r="O94" s="1148"/>
      <c r="P94" s="2626"/>
      <c r="Q94" s="502"/>
    </row>
    <row r="95" spans="1:17" ht="15.75" thickBot="1">
      <c r="A95" s="532"/>
      <c r="B95" s="541"/>
      <c r="C95" s="558"/>
      <c r="D95" s="558"/>
      <c r="E95" s="558"/>
      <c r="F95" s="558"/>
      <c r="G95" s="534"/>
      <c r="H95" s="534"/>
      <c r="I95" s="534"/>
      <c r="J95" s="534"/>
      <c r="K95" s="534"/>
      <c r="L95" s="534"/>
      <c r="M95" s="535"/>
      <c r="N95" s="1149"/>
      <c r="O95" s="1149"/>
      <c r="P95" s="2626"/>
      <c r="Q95" s="502"/>
    </row>
    <row r="96" spans="1:17" ht="15.75" thickTop="1">
      <c r="A96" s="532"/>
      <c r="B96" s="536">
        <f>B30</f>
        <v>111</v>
      </c>
      <c r="C96" s="552"/>
      <c r="D96" s="552"/>
      <c r="E96" s="552"/>
      <c r="F96" s="552"/>
      <c r="G96" s="581"/>
      <c r="H96" s="581"/>
      <c r="I96" s="581"/>
      <c r="J96" s="581"/>
      <c r="K96" s="582"/>
      <c r="L96" s="583"/>
      <c r="M96" s="584"/>
      <c r="N96" s="1148"/>
      <c r="O96" s="1148"/>
      <c r="P96" s="2626"/>
      <c r="Q96" s="502"/>
    </row>
    <row r="97" spans="1:17" ht="15.75" thickBot="1">
      <c r="A97" s="532"/>
      <c r="B97" s="541"/>
      <c r="C97" s="568"/>
      <c r="D97" s="568"/>
      <c r="E97" s="568"/>
      <c r="F97" s="568"/>
      <c r="G97" s="534"/>
      <c r="H97" s="534"/>
      <c r="I97" s="534"/>
      <c r="J97" s="534"/>
      <c r="K97" s="534"/>
      <c r="L97" s="534"/>
      <c r="M97" s="535"/>
      <c r="N97" s="1149"/>
      <c r="O97" s="1149"/>
      <c r="P97" s="2626"/>
      <c r="Q97" s="502"/>
    </row>
    <row r="98" spans="1:17" ht="15.75" thickTop="1">
      <c r="A98" s="532"/>
      <c r="B98" s="544">
        <f>B31</f>
        <v>111</v>
      </c>
      <c r="C98" s="585"/>
      <c r="D98" s="585"/>
      <c r="E98" s="585"/>
      <c r="F98" s="585"/>
      <c r="G98" s="585"/>
      <c r="H98" s="585"/>
      <c r="I98" s="585"/>
      <c r="J98" s="585"/>
      <c r="K98" s="586"/>
      <c r="L98" s="587"/>
      <c r="M98" s="588"/>
      <c r="N98" s="1148"/>
      <c r="O98" s="1148"/>
      <c r="P98" s="2626"/>
      <c r="Q98" s="502"/>
    </row>
    <row r="99" spans="1:17" ht="15.75" thickBot="1">
      <c r="A99" s="2632"/>
      <c r="B99" s="567"/>
      <c r="C99" s="589"/>
      <c r="D99" s="589"/>
      <c r="E99" s="589"/>
      <c r="F99" s="589"/>
      <c r="G99" s="589"/>
      <c r="H99" s="589"/>
      <c r="I99" s="589"/>
      <c r="J99" s="589"/>
      <c r="K99" s="589"/>
      <c r="L99" s="589"/>
      <c r="M99" s="590"/>
      <c r="N99" s="1149"/>
      <c r="O99" s="1149"/>
      <c r="P99" s="2626"/>
      <c r="Q99" s="502"/>
    </row>
    <row r="100" spans="1:17">
      <c r="A100" s="525" t="s">
        <v>2552</v>
      </c>
      <c r="B100" s="526" t="s">
        <v>2601</v>
      </c>
      <c r="C100" s="528"/>
      <c r="D100" s="528"/>
      <c r="E100" s="528"/>
      <c r="F100" s="528"/>
      <c r="G100" s="528"/>
      <c r="H100" s="528"/>
      <c r="I100" s="528"/>
      <c r="J100" s="528"/>
      <c r="K100" s="529"/>
      <c r="L100" s="530"/>
      <c r="M100" s="531"/>
      <c r="N100" s="1148"/>
      <c r="O100" s="1148"/>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26"/>
      <c r="Q101" s="502"/>
    </row>
    <row r="102" spans="1:17" ht="15.75" thickTop="1">
      <c r="A102" s="532"/>
      <c r="B102" s="536" t="s">
        <v>2602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6"/>
      <c r="Q102" s="502"/>
    </row>
    <row r="103" spans="1:17" s="469" customFormat="1">
      <c r="A103" s="591"/>
      <c r="B103" s="592"/>
      <c r="C103" s="593"/>
      <c r="D103" s="593"/>
      <c r="E103" s="593"/>
      <c r="F103" s="593"/>
      <c r="G103" s="593"/>
      <c r="H103" s="593"/>
      <c r="I103" s="593"/>
      <c r="J103" s="594"/>
      <c r="K103" s="594"/>
      <c r="L103" s="595"/>
      <c r="M103" s="596"/>
      <c r="N103" s="1150"/>
      <c r="O103" s="1150"/>
      <c r="P103" s="2627"/>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27"/>
      <c r="Q104" s="557"/>
    </row>
    <row r="105" spans="1:17" ht="15" thickTop="1">
      <c r="A105" s="597"/>
      <c r="B105" s="536" t="s">
        <v>2603</v>
      </c>
      <c r="C105" s="552"/>
      <c r="D105" s="552"/>
      <c r="E105" s="581"/>
      <c r="F105" s="581"/>
      <c r="G105" s="581"/>
      <c r="H105" s="581"/>
      <c r="I105" s="581"/>
      <c r="J105" s="581"/>
      <c r="K105" s="582"/>
      <c r="L105" s="583"/>
      <c r="M105" s="584"/>
      <c r="N105" s="1148"/>
      <c r="O105" s="1148"/>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26"/>
      <c r="Q106" s="502"/>
    </row>
    <row r="107" spans="1:17" ht="15" thickTop="1">
      <c r="A107" s="597"/>
      <c r="B107" s="536" t="s">
        <v>2604</v>
      </c>
      <c r="C107" s="581"/>
      <c r="D107" s="581"/>
      <c r="E107" s="581"/>
      <c r="F107" s="581"/>
      <c r="G107" s="581"/>
      <c r="H107" s="581"/>
      <c r="I107" s="581"/>
      <c r="J107" s="581"/>
      <c r="K107" s="582"/>
      <c r="L107" s="583"/>
      <c r="M107" s="584"/>
      <c r="N107" s="1148"/>
      <c r="O107" s="1148"/>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26"/>
      <c r="Q108" s="502"/>
    </row>
    <row r="109" spans="1:17" ht="15" thickTop="1">
      <c r="A109" s="597"/>
      <c r="B109" s="536" t="s">
        <v>2605</v>
      </c>
      <c r="C109" s="552"/>
      <c r="D109" s="552"/>
      <c r="E109" s="552"/>
      <c r="F109" s="581"/>
      <c r="G109" s="581"/>
      <c r="H109" s="581"/>
      <c r="I109" s="581"/>
      <c r="J109" s="581"/>
      <c r="K109" s="582"/>
      <c r="L109" s="583"/>
      <c r="M109" s="584"/>
      <c r="N109" s="1148"/>
      <c r="O109" s="1148"/>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26"/>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27"/>
      <c r="Q113" s="557"/>
    </row>
    <row r="114" spans="1:17" ht="15" thickTop="1">
      <c r="A114" s="597"/>
      <c r="B114" s="536" t="s">
        <v>2606</v>
      </c>
      <c r="C114" s="552"/>
      <c r="D114" s="552"/>
      <c r="E114" s="581"/>
      <c r="F114" s="581"/>
      <c r="G114" s="581"/>
      <c r="H114" s="581"/>
      <c r="I114" s="581"/>
      <c r="J114" s="581"/>
      <c r="K114" s="582"/>
      <c r="L114" s="583"/>
      <c r="M114" s="584"/>
      <c r="N114" s="1148"/>
      <c r="O114" s="1148"/>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26"/>
      <c r="Q115" s="502"/>
    </row>
    <row r="116" spans="1:17" ht="15" thickTop="1">
      <c r="A116" s="597"/>
      <c r="B116" s="536" t="s">
        <v>2607</v>
      </c>
      <c r="C116" s="552"/>
      <c r="D116" s="552"/>
      <c r="E116" s="552"/>
      <c r="F116" s="552"/>
      <c r="G116" s="552"/>
      <c r="H116" s="581"/>
      <c r="I116" s="581"/>
      <c r="J116" s="581"/>
      <c r="K116" s="582"/>
      <c r="L116" s="583"/>
      <c r="M116" s="584"/>
      <c r="N116" s="1148"/>
      <c r="O116" s="1148"/>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6"/>
      <c r="Q117" s="502"/>
    </row>
    <row r="118" spans="1:17" ht="15" thickTop="1">
      <c r="A118" s="597"/>
      <c r="B118" s="536" t="s">
        <v>2608</v>
      </c>
      <c r="C118" s="581"/>
      <c r="D118" s="581"/>
      <c r="E118" s="581"/>
      <c r="F118" s="581"/>
      <c r="G118" s="581"/>
      <c r="H118" s="581"/>
      <c r="I118" s="581"/>
      <c r="J118" s="581"/>
      <c r="K118" s="582"/>
      <c r="L118" s="583"/>
      <c r="M118" s="584"/>
      <c r="N118" s="1148"/>
      <c r="O118" s="1148"/>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26"/>
      <c r="Q119" s="502"/>
    </row>
    <row r="120" spans="1:17" s="469" customFormat="1" ht="28.5" thickTop="1">
      <c r="A120" s="591"/>
      <c r="B120" s="536" t="s">
        <v>2563</v>
      </c>
      <c r="C120" s="552"/>
      <c r="D120" s="552"/>
      <c r="E120" s="552"/>
      <c r="F120" s="552"/>
      <c r="G120" s="552"/>
      <c r="H120" s="552"/>
      <c r="I120" s="552"/>
      <c r="J120" s="552"/>
      <c r="K120" s="552"/>
      <c r="L120" s="578"/>
      <c r="M120" s="579"/>
      <c r="N120" s="1150"/>
      <c r="O120" s="1150"/>
      <c r="P120" s="2627"/>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7"/>
      <c r="Q121" s="557"/>
    </row>
    <row r="122" spans="1:17" ht="15" thickTop="1">
      <c r="A122" s="597"/>
      <c r="B122" s="536" t="s">
        <v>2609</v>
      </c>
      <c r="C122" s="552"/>
      <c r="D122" s="552"/>
      <c r="E122" s="552"/>
      <c r="F122" s="581"/>
      <c r="G122" s="581"/>
      <c r="H122" s="581"/>
      <c r="I122" s="581"/>
      <c r="J122" s="581"/>
      <c r="K122" s="582"/>
      <c r="L122" s="583"/>
      <c r="M122" s="584"/>
      <c r="N122" s="1148"/>
      <c r="O122" s="1148"/>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26"/>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48"/>
      <c r="O124" s="1148"/>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6"/>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7"/>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7"/>
      <c r="Q127" s="557"/>
    </row>
    <row r="128" spans="1:17" ht="15" thickTop="1">
      <c r="A128" s="597"/>
      <c r="B128" s="536">
        <f>B45</f>
        <v>111</v>
      </c>
      <c r="C128" s="552"/>
      <c r="D128" s="552"/>
      <c r="E128" s="552"/>
      <c r="F128" s="552"/>
      <c r="G128" s="581"/>
      <c r="H128" s="581"/>
      <c r="I128" s="581"/>
      <c r="J128" s="581"/>
      <c r="K128" s="582"/>
      <c r="L128" s="583"/>
      <c r="M128" s="584"/>
      <c r="N128" s="1148"/>
      <c r="O128" s="1148"/>
      <c r="P128" s="2626"/>
      <c r="Q128" s="502"/>
    </row>
    <row r="129" spans="1:17" ht="15.75" thickBot="1">
      <c r="A129" s="532"/>
      <c r="B129" s="541"/>
      <c r="C129" s="558"/>
      <c r="D129" s="558"/>
      <c r="E129" s="558"/>
      <c r="F129" s="558"/>
      <c r="G129" s="534"/>
      <c r="H129" s="534"/>
      <c r="I129" s="534"/>
      <c r="J129" s="534"/>
      <c r="K129" s="534"/>
      <c r="L129" s="534"/>
      <c r="M129" s="535"/>
      <c r="N129" s="1149"/>
      <c r="O129" s="1149"/>
      <c r="P129" s="2626"/>
      <c r="Q129" s="502"/>
    </row>
    <row r="130" spans="1:17" ht="15" thickTop="1">
      <c r="A130" s="597"/>
      <c r="B130" s="544">
        <f>B46</f>
        <v>111</v>
      </c>
      <c r="C130" s="552"/>
      <c r="D130" s="552"/>
      <c r="E130" s="552"/>
      <c r="F130" s="552"/>
      <c r="G130" s="585"/>
      <c r="H130" s="585"/>
      <c r="I130" s="585"/>
      <c r="J130" s="585"/>
      <c r="K130" s="521"/>
      <c r="L130" s="522"/>
      <c r="M130" s="588"/>
      <c r="N130" s="1148"/>
      <c r="O130" s="1148"/>
      <c r="P130" s="2626"/>
      <c r="Q130" s="502"/>
    </row>
    <row r="131" spans="1:17" ht="15.75" thickBot="1">
      <c r="A131" s="2632"/>
      <c r="B131" s="567"/>
      <c r="C131" s="568"/>
      <c r="D131" s="568"/>
      <c r="E131" s="568"/>
      <c r="F131" s="568"/>
      <c r="G131" s="589"/>
      <c r="H131" s="589"/>
      <c r="I131" s="589"/>
      <c r="J131" s="589"/>
      <c r="K131" s="589"/>
      <c r="L131" s="589"/>
      <c r="M131" s="590"/>
      <c r="N131" s="1149"/>
      <c r="O131" s="1149"/>
      <c r="P131" s="2626"/>
      <c r="Q131" s="502"/>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4" t="s">
        <v>2614</v>
      </c>
      <c r="D138" s="144" t="s">
        <v>2615</v>
      </c>
      <c r="E138" s="2641" t="s">
        <v>2616</v>
      </c>
      <c r="F138" s="2642" t="s">
        <v>2617</v>
      </c>
      <c r="G138" s="144" t="s">
        <v>2615</v>
      </c>
      <c r="H138" s="145" t="s">
        <v>2616</v>
      </c>
      <c r="I138" s="2643"/>
      <c r="J138" s="144" t="s">
        <v>2618</v>
      </c>
      <c r="K138" s="145" t="s">
        <v>2619</v>
      </c>
    </row>
    <row r="139" spans="1:17" ht="15">
      <c r="B139" s="1080">
        <v>6</v>
      </c>
      <c r="C139" s="1081">
        <v>96</v>
      </c>
      <c r="D139" s="2644" t="s">
        <v>2620</v>
      </c>
      <c r="E139" s="1082">
        <v>100</v>
      </c>
      <c r="F139" s="1083">
        <v>102.5</v>
      </c>
      <c r="G139" s="2644" t="s">
        <v>2620</v>
      </c>
      <c r="H139" s="1084">
        <v>105</v>
      </c>
      <c r="I139" s="2645" t="s">
        <v>2621</v>
      </c>
      <c r="J139" s="1081">
        <v>20</v>
      </c>
      <c r="K139" s="1085">
        <f>C145/(J139-2)</f>
        <v>4.0555555555555553E-3</v>
      </c>
    </row>
    <row r="140" spans="1:17" ht="15">
      <c r="B140" s="1086">
        <v>5</v>
      </c>
      <c r="C140" s="1087">
        <v>100</v>
      </c>
      <c r="D140" s="1087"/>
      <c r="E140" s="1088"/>
      <c r="F140" s="1089">
        <v>102</v>
      </c>
      <c r="G140" s="1087"/>
      <c r="H140" s="1090"/>
      <c r="I140" s="2646" t="s">
        <v>2622</v>
      </c>
      <c r="J140" s="313">
        <f>ROUNDUP((J139-1)/2,0)</f>
        <v>10</v>
      </c>
      <c r="K140" s="1091">
        <v>100</v>
      </c>
    </row>
    <row r="141" spans="1:17" ht="15">
      <c r="B141" s="1086">
        <v>4</v>
      </c>
      <c r="C141" s="1087">
        <v>102</v>
      </c>
      <c r="D141" s="1087"/>
      <c r="E141" s="1088"/>
      <c r="F141" s="1089">
        <v>101.5</v>
      </c>
      <c r="G141" s="1087"/>
      <c r="H141" s="1090"/>
      <c r="I141" s="2646" t="s">
        <v>2623</v>
      </c>
      <c r="J141" s="313">
        <v>1</v>
      </c>
      <c r="K141" s="1092">
        <f>ROUND(100+(J141-J140)*K139*100,1)</f>
        <v>96.4</v>
      </c>
    </row>
    <row r="142" spans="1:17" ht="15">
      <c r="B142" s="1086">
        <v>3</v>
      </c>
      <c r="C142" s="1087">
        <v>103</v>
      </c>
      <c r="D142" s="1087"/>
      <c r="E142" s="1088"/>
      <c r="F142" s="1089">
        <v>101</v>
      </c>
      <c r="G142" s="1087"/>
      <c r="H142" s="1090"/>
      <c r="I142" s="2646" t="s">
        <v>2624</v>
      </c>
      <c r="J142" s="313">
        <f>J139</f>
        <v>20</v>
      </c>
      <c r="K142" s="1093">
        <v>95</v>
      </c>
    </row>
    <row r="143" spans="1:17" ht="15">
      <c r="B143" s="1086">
        <v>2</v>
      </c>
      <c r="C143" s="1087">
        <v>100</v>
      </c>
      <c r="D143" s="1087"/>
      <c r="E143" s="1088"/>
      <c r="F143" s="1089">
        <v>100.5</v>
      </c>
      <c r="G143" s="1087"/>
      <c r="H143" s="1090"/>
      <c r="I143" s="2646" t="s">
        <v>2625</v>
      </c>
      <c r="J143" s="1087">
        <v>15</v>
      </c>
      <c r="K143" s="1092">
        <f>ROUND(100+(J143-J140)*K139*100,1)</f>
        <v>102</v>
      </c>
    </row>
    <row r="144" spans="1:17" ht="15">
      <c r="B144" s="1086">
        <v>1</v>
      </c>
      <c r="C144" s="1087">
        <v>98</v>
      </c>
      <c r="D144" s="2647" t="s">
        <v>2626</v>
      </c>
      <c r="E144" s="1088">
        <v>102</v>
      </c>
      <c r="F144" s="1094">
        <v>100</v>
      </c>
      <c r="G144" s="2647" t="s">
        <v>2626</v>
      </c>
      <c r="H144" s="1090">
        <v>105</v>
      </c>
      <c r="I144" s="2646" t="s">
        <v>2625</v>
      </c>
      <c r="J144" s="1087">
        <v>18</v>
      </c>
      <c r="K144" s="1092">
        <f>ROUND(100+(J144-J140)*K139*100,1)</f>
        <v>103.2</v>
      </c>
    </row>
    <row r="145" spans="2:11" ht="15.75" thickBot="1">
      <c r="B145" s="2648" t="s">
        <v>2627</v>
      </c>
      <c r="C145" s="1095">
        <f>ROUND(MAX(C139:C144)/MIN(C139:C144)-1,3)</f>
        <v>7.2999999999999995E-2</v>
      </c>
      <c r="D145" s="1096"/>
      <c r="E145" s="1096"/>
      <c r="F145" s="2649" t="s">
        <v>2628</v>
      </c>
      <c r="G145" s="2650"/>
      <c r="H145" s="2651"/>
      <c r="I145" s="2652" t="s">
        <v>2625</v>
      </c>
      <c r="J145" s="1097">
        <v>8</v>
      </c>
      <c r="K145" s="1098">
        <f>ROUND(100+(J145-J140)*K139*100,1)</f>
        <v>99.2</v>
      </c>
    </row>
    <row r="147" spans="2:11">
      <c r="B147" s="2633" t="s">
        <v>2629</v>
      </c>
    </row>
    <row r="148" spans="2:11">
      <c r="B148" s="2633"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578" t="s">
        <v>2631</v>
      </c>
      <c r="C1" s="1630" t="s">
        <v>2519</v>
      </c>
      <c r="D1" s="1617"/>
      <c r="E1" s="2653"/>
      <c r="F1" s="2580"/>
      <c r="G1" s="1627" t="s">
        <v>2632</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6" customFormat="1" ht="28.5" customHeight="1" thickTop="1">
      <c r="A2" s="1613" t="s">
        <v>2316</v>
      </c>
      <c r="B2" s="1414" t="e">
        <f ca="1">IF(C2="——",ROUND(C49*D3/10000,0),ROUND(C49*D3/10000,0)-D2)</f>
        <v>#DIV/0!</v>
      </c>
      <c r="C2" s="2582"/>
      <c r="D2" s="1361" t="e">
        <f ca="1">SUMIF(INDIRECT("'"&amp;F2&amp;"'"&amp;"!A:A"),"承租人权益价值",INDIRECT("'"&amp;F2&amp;"'"&amp;"!c:c"))</f>
        <v>#REF!</v>
      </c>
      <c r="E2" s="2583" t="s">
        <v>2317</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6" customFormat="1" ht="28.5" customHeight="1" thickBot="1">
      <c r="A3" s="245" t="s">
        <v>2318</v>
      </c>
      <c r="B3" s="607" t="e">
        <f ca="1">IF(C2="——",C49,ROUND(B2*10000/D3,0))</f>
        <v>#DIV/0!</v>
      </c>
      <c r="C3" s="398" t="s">
        <v>2633</v>
      </c>
      <c r="D3" s="397">
        <f>IF(D1="",'数据-汇总表'!E3,SUMIF('数据-汇总表'!$C19:$C33,D1,'数据-汇总表'!$E19:$E33))</f>
        <v>28872.97</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312"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312"/>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312"/>
      <c r="AC6" s="3295"/>
    </row>
    <row r="7" spans="1:29" s="115" customFormat="1" ht="15.75" thickBot="1">
      <c r="A7" s="406" t="s">
        <v>2537</v>
      </c>
      <c r="B7" s="407"/>
      <c r="C7" s="408">
        <f>'数据-取费表'!B2</f>
        <v>43566</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2641</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6" si="3">D8/F8</f>
        <v>#DIV/0!</v>
      </c>
      <c r="AB8" s="771" t="e">
        <f t="shared" ref="AB8:AB46" si="4">D8/H8</f>
        <v>#DIV/0!</v>
      </c>
      <c r="AC8" s="771" t="e">
        <f t="shared" ref="AC8:AC46" si="5">D8/J8</f>
        <v>#DIV/0!</v>
      </c>
    </row>
    <row r="9" spans="1:29" s="115" customFormat="1">
      <c r="A9" s="413" t="s">
        <v>2542</v>
      </c>
      <c r="B9" s="71" t="s">
        <v>2543</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292"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292"/>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292"/>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292"/>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292"/>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292"/>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15">
      <c r="A15" s="438" t="s">
        <v>2548</v>
      </c>
      <c r="B15" s="69" t="s">
        <v>2642</v>
      </c>
      <c r="C15" s="2599">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290" t="s">
        <v>2549</v>
      </c>
      <c r="Q15" s="1806" t="str">
        <f t="shared" si="6"/>
        <v>商业繁华度</v>
      </c>
      <c r="R15" s="772" t="s">
        <v>17</v>
      </c>
      <c r="S15" s="773">
        <f t="shared" si="0"/>
        <v>100</v>
      </c>
      <c r="T15" s="772" t="s">
        <v>17</v>
      </c>
      <c r="U15" s="773">
        <f t="shared" si="1"/>
        <v>100</v>
      </c>
      <c r="V15" s="772" t="s">
        <v>17</v>
      </c>
      <c r="W15" s="773">
        <f t="shared" si="2"/>
        <v>100</v>
      </c>
      <c r="X15" s="1809"/>
      <c r="Y15" s="3283" t="s">
        <v>2549</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27"/>
      <c r="P16" s="3291"/>
      <c r="Q16" s="1806"/>
      <c r="R16" s="772"/>
      <c r="S16" s="773"/>
      <c r="T16" s="772"/>
      <c r="U16" s="773"/>
      <c r="V16" s="772"/>
      <c r="W16" s="773"/>
      <c r="X16" s="1809"/>
      <c r="Y16" s="3284"/>
      <c r="Z16" s="1810"/>
      <c r="AA16" s="1807">
        <v>1</v>
      </c>
      <c r="AB16" s="1807">
        <v>1</v>
      </c>
      <c r="AC16" s="1807">
        <v>1</v>
      </c>
    </row>
    <row r="17" spans="1:29" ht="15">
      <c r="A17" s="426"/>
      <c r="B17" s="449" t="s">
        <v>2091</v>
      </c>
      <c r="C17" s="2603">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291"/>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6"/>
      <c r="B18" s="454"/>
      <c r="C18" s="2604"/>
      <c r="D18" s="448"/>
      <c r="E18" s="2606"/>
      <c r="F18" s="451"/>
      <c r="G18" s="2605"/>
      <c r="H18" s="446"/>
      <c r="I18" s="2606"/>
      <c r="J18" s="446"/>
      <c r="K18" s="613"/>
      <c r="L18" s="1136"/>
      <c r="M18" s="1127"/>
      <c r="N18" s="1127"/>
      <c r="O18" s="1127"/>
      <c r="P18" s="3291"/>
      <c r="Q18" s="1806"/>
      <c r="R18" s="772"/>
      <c r="S18" s="773"/>
      <c r="T18" s="772"/>
      <c r="U18" s="773"/>
      <c r="V18" s="772"/>
      <c r="W18" s="773"/>
      <c r="X18" s="1809"/>
      <c r="Y18" s="3284"/>
      <c r="Z18" s="1810"/>
      <c r="AA18" s="1807">
        <v>1</v>
      </c>
      <c r="AB18" s="1807">
        <v>1</v>
      </c>
      <c r="AC18" s="1807">
        <v>1</v>
      </c>
    </row>
    <row r="19" spans="1:29" ht="15">
      <c r="A19" s="426"/>
      <c r="B19" s="449" t="s">
        <v>2643</v>
      </c>
      <c r="C19" s="2603">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291"/>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1807">
        <f t="shared" si="5"/>
        <v>1</v>
      </c>
    </row>
    <row r="20" spans="1:29" ht="15">
      <c r="A20" s="426"/>
      <c r="B20" s="454"/>
      <c r="C20" s="445"/>
      <c r="D20" s="446"/>
      <c r="E20" s="2601"/>
      <c r="F20" s="447"/>
      <c r="G20" s="2600"/>
      <c r="H20" s="446"/>
      <c r="I20" s="2601"/>
      <c r="J20" s="446"/>
      <c r="K20" s="613"/>
      <c r="L20" s="1136"/>
      <c r="M20" s="1127"/>
      <c r="N20" s="1127"/>
      <c r="O20" s="1127"/>
      <c r="P20" s="3291"/>
      <c r="Q20" s="1806"/>
      <c r="R20" s="772"/>
      <c r="S20" s="773"/>
      <c r="T20" s="772"/>
      <c r="U20" s="773"/>
      <c r="V20" s="772"/>
      <c r="W20" s="773"/>
      <c r="X20" s="1809"/>
      <c r="Y20" s="3284"/>
      <c r="Z20" s="1810"/>
      <c r="AA20" s="1807">
        <v>1</v>
      </c>
      <c r="AB20" s="1807">
        <v>1</v>
      </c>
      <c r="AC20" s="1807">
        <v>1</v>
      </c>
    </row>
    <row r="21" spans="1:29" ht="15">
      <c r="A21" s="426"/>
      <c r="B21" s="1380" t="s">
        <v>2644</v>
      </c>
      <c r="C21" s="2603">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291"/>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7"/>
      <c r="G22" s="445"/>
      <c r="H22" s="446"/>
      <c r="I22" s="445"/>
      <c r="J22" s="446"/>
      <c r="K22" s="1379"/>
      <c r="L22" s="1136"/>
      <c r="M22" s="1127"/>
      <c r="N22" s="1127"/>
      <c r="O22" s="1127"/>
      <c r="P22" s="3291"/>
      <c r="Q22" s="1806"/>
      <c r="R22" s="772"/>
      <c r="S22" s="773"/>
      <c r="T22" s="772"/>
      <c r="U22" s="773"/>
      <c r="V22" s="772"/>
      <c r="W22" s="773"/>
      <c r="X22" s="1809"/>
      <c r="Y22" s="3284"/>
      <c r="Z22" s="1810"/>
      <c r="AA22" s="1807">
        <v>1</v>
      </c>
      <c r="AB22" s="1807">
        <v>1</v>
      </c>
      <c r="AC22" s="1807">
        <v>1</v>
      </c>
    </row>
    <row r="23" spans="1:29" ht="15">
      <c r="A23" s="426"/>
      <c r="B23" s="449" t="s">
        <v>2094</v>
      </c>
      <c r="C23" s="2660">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291"/>
      <c r="Q23" s="1806" t="str">
        <f>B23</f>
        <v>自然及人文环境</v>
      </c>
      <c r="R23" s="772" t="s">
        <v>17</v>
      </c>
      <c r="S23" s="773">
        <f>F23</f>
        <v>100</v>
      </c>
      <c r="T23" s="772" t="s">
        <v>17</v>
      </c>
      <c r="U23" s="773">
        <f>H23</f>
        <v>100</v>
      </c>
      <c r="V23" s="772" t="s">
        <v>17</v>
      </c>
      <c r="W23" s="773">
        <f>J23</f>
        <v>100</v>
      </c>
      <c r="X23" s="1809"/>
      <c r="Y23" s="3284"/>
      <c r="Z23" s="1810" t="str">
        <f>Q23</f>
        <v>自然及人文环境</v>
      </c>
      <c r="AA23" s="1807">
        <f t="shared" si="3"/>
        <v>1</v>
      </c>
      <c r="AB23" s="1807">
        <f t="shared" si="4"/>
        <v>1</v>
      </c>
      <c r="AC23" s="1807">
        <f t="shared" si="5"/>
        <v>1</v>
      </c>
    </row>
    <row r="24" spans="1:29" ht="15">
      <c r="A24" s="426"/>
      <c r="B24" s="454"/>
      <c r="C24" s="445"/>
      <c r="D24" s="446"/>
      <c r="E24" s="2601"/>
      <c r="F24" s="447"/>
      <c r="G24" s="2600"/>
      <c r="H24" s="446"/>
      <c r="I24" s="2601"/>
      <c r="J24" s="446"/>
      <c r="K24" s="613"/>
      <c r="L24" s="1136"/>
      <c r="M24" s="1127"/>
      <c r="N24" s="1127"/>
      <c r="O24" s="1127"/>
      <c r="P24" s="3291"/>
      <c r="Q24" s="1806"/>
      <c r="R24" s="772"/>
      <c r="S24" s="773"/>
      <c r="T24" s="772"/>
      <c r="U24" s="773"/>
      <c r="V24" s="772"/>
      <c r="W24" s="773"/>
      <c r="X24" s="1809"/>
      <c r="Y24" s="3284"/>
      <c r="Z24" s="1810"/>
      <c r="AA24" s="1807">
        <v>1</v>
      </c>
      <c r="AB24" s="1807">
        <v>1</v>
      </c>
      <c r="AC24" s="1807">
        <v>1</v>
      </c>
    </row>
    <row r="25" spans="1:29" ht="15">
      <c r="A25" s="426"/>
      <c r="B25" s="420" t="s">
        <v>2645</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291"/>
      <c r="Q25" s="1806" t="str">
        <f t="shared" ref="Q25:Q46" si="11">B25</f>
        <v>临街状况</v>
      </c>
      <c r="R25" s="772" t="s">
        <v>17</v>
      </c>
      <c r="S25" s="773">
        <f>F25</f>
        <v>100</v>
      </c>
      <c r="T25" s="772" t="s">
        <v>17</v>
      </c>
      <c r="U25" s="773">
        <f>H25</f>
        <v>100</v>
      </c>
      <c r="V25" s="772" t="s">
        <v>17</v>
      </c>
      <c r="W25" s="773">
        <f>J25</f>
        <v>100</v>
      </c>
      <c r="X25" s="1809"/>
      <c r="Y25" s="3284"/>
      <c r="Z25" s="1810" t="str">
        <f>Q25</f>
        <v>临街状况</v>
      </c>
      <c r="AA25" s="1807">
        <f t="shared" si="3"/>
        <v>1</v>
      </c>
      <c r="AB25" s="1807">
        <f t="shared" si="4"/>
        <v>1</v>
      </c>
      <c r="AC25" s="1807">
        <f t="shared" si="5"/>
        <v>1</v>
      </c>
    </row>
    <row r="26" spans="1:29" ht="15">
      <c r="A26" s="426"/>
      <c r="B26" s="1382" t="s">
        <v>2646</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291"/>
      <c r="Q26" s="1806" t="str">
        <f t="shared" si="11"/>
        <v>平面位置/可视性</v>
      </c>
      <c r="R26" s="772" t="s">
        <v>17</v>
      </c>
      <c r="S26" s="773">
        <f>F26</f>
        <v>100</v>
      </c>
      <c r="T26" s="772" t="s">
        <v>17</v>
      </c>
      <c r="U26" s="773">
        <f>H26</f>
        <v>100</v>
      </c>
      <c r="V26" s="772" t="s">
        <v>17</v>
      </c>
      <c r="W26" s="773">
        <f>J26</f>
        <v>100</v>
      </c>
      <c r="X26" s="1809"/>
      <c r="Y26" s="3284"/>
      <c r="Z26" s="1810" t="str">
        <f>Q26</f>
        <v>平面位置/可视性</v>
      </c>
      <c r="AA26" s="1807">
        <f t="shared" si="3"/>
        <v>1</v>
      </c>
      <c r="AB26" s="1807">
        <f t="shared" si="4"/>
        <v>1</v>
      </c>
      <c r="AC26" s="1807">
        <f t="shared" si="5"/>
        <v>1</v>
      </c>
    </row>
    <row r="27" spans="1:29" s="115" customFormat="1" ht="15">
      <c r="A27" s="429"/>
      <c r="B27" s="449" t="s">
        <v>2647</v>
      </c>
      <c r="C27" s="2661"/>
      <c r="D27" s="460">
        <v>100</v>
      </c>
      <c r="E27" s="2661"/>
      <c r="F27" s="462">
        <f>SUMIF(90:90,E27,91:91)-SUMIF(90:90,C27,91:91)+100</f>
        <v>100</v>
      </c>
      <c r="G27" s="2661"/>
      <c r="H27" s="460">
        <f>SUMIF(90:90,G27,91:91)-SUMIF(90:90,C27,91:91)+100</f>
        <v>100</v>
      </c>
      <c r="I27" s="2661"/>
      <c r="J27" s="460">
        <f>SUMIF(90:90,I27,91:91)-SUMIF(90:90,C27,91:91)+100</f>
        <v>100</v>
      </c>
      <c r="K27" s="610"/>
      <c r="L27" s="1128"/>
      <c r="M27" s="1129"/>
      <c r="N27" s="1129"/>
      <c r="O27" s="1129"/>
      <c r="P27" s="3291"/>
      <c r="Q27" s="1791" t="str">
        <f t="shared" si="11"/>
        <v>人流量</v>
      </c>
      <c r="R27" s="768" t="s">
        <v>17</v>
      </c>
      <c r="S27" s="769">
        <f>F27</f>
        <v>100</v>
      </c>
      <c r="T27" s="768" t="s">
        <v>17</v>
      </c>
      <c r="U27" s="769">
        <f>H27</f>
        <v>100</v>
      </c>
      <c r="V27" s="768" t="s">
        <v>17</v>
      </c>
      <c r="W27" s="769">
        <f>J27</f>
        <v>100</v>
      </c>
      <c r="X27" s="770"/>
      <c r="Y27" s="3284"/>
      <c r="Z27" s="55" t="str">
        <f>Q27</f>
        <v>人流量</v>
      </c>
      <c r="AA27" s="1807">
        <f>D27/F27</f>
        <v>1</v>
      </c>
      <c r="AB27" s="1807">
        <f>D27/H27</f>
        <v>1</v>
      </c>
      <c r="AC27" s="1807">
        <f>D27/J27</f>
        <v>1</v>
      </c>
    </row>
    <row r="28" spans="1:29" ht="15">
      <c r="A28" s="426"/>
      <c r="B28" s="420" t="s">
        <v>2648</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291"/>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284"/>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291"/>
      <c r="Q29" s="1806">
        <f t="shared" si="11"/>
        <v>111</v>
      </c>
      <c r="R29" s="772" t="s">
        <v>17</v>
      </c>
      <c r="S29" s="773">
        <f t="shared" si="12"/>
        <v>100</v>
      </c>
      <c r="T29" s="772" t="s">
        <v>17</v>
      </c>
      <c r="U29" s="773">
        <f t="shared" si="13"/>
        <v>100</v>
      </c>
      <c r="V29" s="772" t="s">
        <v>17</v>
      </c>
      <c r="W29" s="773">
        <f t="shared" si="14"/>
        <v>100</v>
      </c>
      <c r="X29" s="1809"/>
      <c r="Y29" s="3284"/>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291"/>
      <c r="Q30" s="1806">
        <f t="shared" si="11"/>
        <v>111</v>
      </c>
      <c r="R30" s="772" t="s">
        <v>17</v>
      </c>
      <c r="S30" s="773">
        <f t="shared" si="12"/>
        <v>100</v>
      </c>
      <c r="T30" s="772" t="s">
        <v>17</v>
      </c>
      <c r="U30" s="773">
        <f t="shared" si="13"/>
        <v>100</v>
      </c>
      <c r="V30" s="772" t="s">
        <v>17</v>
      </c>
      <c r="W30" s="773">
        <f t="shared" si="14"/>
        <v>100</v>
      </c>
      <c r="X30" s="1809"/>
      <c r="Y30" s="3284"/>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291"/>
      <c r="Q31" s="1806">
        <f t="shared" si="11"/>
        <v>111</v>
      </c>
      <c r="R31" s="772" t="s">
        <v>17</v>
      </c>
      <c r="S31" s="773">
        <f t="shared" si="12"/>
        <v>100</v>
      </c>
      <c r="T31" s="772" t="s">
        <v>17</v>
      </c>
      <c r="U31" s="773">
        <f t="shared" si="13"/>
        <v>100</v>
      </c>
      <c r="V31" s="772" t="s">
        <v>17</v>
      </c>
      <c r="W31" s="773">
        <f t="shared" si="14"/>
        <v>100</v>
      </c>
      <c r="X31" s="1809"/>
      <c r="Y31" s="3284"/>
      <c r="Z31" s="1810">
        <f t="shared" si="15"/>
        <v>111</v>
      </c>
      <c r="AA31" s="1807">
        <f t="shared" si="3"/>
        <v>1</v>
      </c>
      <c r="AB31" s="1807">
        <f t="shared" si="4"/>
        <v>1</v>
      </c>
      <c r="AC31" s="1807">
        <f t="shared" si="5"/>
        <v>1</v>
      </c>
    </row>
    <row r="32" spans="1:29" ht="15">
      <c r="A32" s="438" t="s">
        <v>2552</v>
      </c>
      <c r="B32" s="71" t="s">
        <v>2649</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6"/>
      <c r="M32" s="1127"/>
      <c r="N32" s="1127"/>
      <c r="O32" s="1127"/>
      <c r="P32" s="3285" t="s">
        <v>2554</v>
      </c>
      <c r="Q32" s="1806" t="str">
        <f t="shared" si="11"/>
        <v>商业类型</v>
      </c>
      <c r="R32" s="772" t="s">
        <v>17</v>
      </c>
      <c r="S32" s="773">
        <f t="shared" si="12"/>
        <v>100</v>
      </c>
      <c r="T32" s="772" t="s">
        <v>17</v>
      </c>
      <c r="U32" s="773">
        <f t="shared" si="13"/>
        <v>100</v>
      </c>
      <c r="V32" s="772" t="s">
        <v>17</v>
      </c>
      <c r="W32" s="773">
        <f t="shared" si="14"/>
        <v>100</v>
      </c>
      <c r="X32" s="1809"/>
      <c r="Y32" s="3288" t="s">
        <v>2554</v>
      </c>
      <c r="Z32" s="1810" t="str">
        <f t="shared" si="15"/>
        <v>商业类型</v>
      </c>
      <c r="AA32" s="1807">
        <f t="shared" si="3"/>
        <v>1</v>
      </c>
      <c r="AB32" s="1807">
        <f t="shared" si="4"/>
        <v>1</v>
      </c>
      <c r="AC32" s="1807">
        <f t="shared" si="5"/>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286"/>
      <c r="Q33" s="774" t="str">
        <f t="shared" si="11"/>
        <v>项目建筑规模</v>
      </c>
      <c r="R33" s="775" t="s">
        <v>17</v>
      </c>
      <c r="S33" s="776" t="e">
        <f t="shared" si="12"/>
        <v>#N/A</v>
      </c>
      <c r="T33" s="775" t="s">
        <v>17</v>
      </c>
      <c r="U33" s="776" t="e">
        <f t="shared" si="13"/>
        <v>#N/A</v>
      </c>
      <c r="V33" s="775" t="s">
        <v>17</v>
      </c>
      <c r="W33" s="776" t="e">
        <f t="shared" si="14"/>
        <v>#N/A</v>
      </c>
      <c r="X33" s="777"/>
      <c r="Y33" s="3288"/>
      <c r="Z33" s="778" t="str">
        <f t="shared" si="15"/>
        <v>项目建筑规模</v>
      </c>
      <c r="AA33" s="1807" t="e">
        <f t="shared" si="3"/>
        <v>#N/A</v>
      </c>
      <c r="AB33" s="1807" t="e">
        <f t="shared" si="4"/>
        <v>#N/A</v>
      </c>
      <c r="AC33" s="1807" t="e">
        <f t="shared" si="5"/>
        <v>#N/A</v>
      </c>
    </row>
    <row r="34" spans="1:29" ht="15">
      <c r="A34" s="470"/>
      <c r="B34" s="420" t="s">
        <v>2556</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6"/>
      <c r="M34" s="1127"/>
      <c r="N34" s="1127"/>
      <c r="O34" s="1127"/>
      <c r="P34" s="3286"/>
      <c r="Q34" s="1806" t="str">
        <f t="shared" si="11"/>
        <v>建筑结构</v>
      </c>
      <c r="R34" s="772" t="s">
        <v>17</v>
      </c>
      <c r="S34" s="773">
        <f t="shared" si="12"/>
        <v>100</v>
      </c>
      <c r="T34" s="772" t="s">
        <v>17</v>
      </c>
      <c r="U34" s="773">
        <f t="shared" si="13"/>
        <v>100</v>
      </c>
      <c r="V34" s="772" t="s">
        <v>17</v>
      </c>
      <c r="W34" s="773">
        <f t="shared" si="14"/>
        <v>100</v>
      </c>
      <c r="X34" s="1809"/>
      <c r="Y34" s="3288"/>
      <c r="Z34" s="1810" t="str">
        <f t="shared" si="15"/>
        <v>建筑结构</v>
      </c>
      <c r="AA34" s="1807">
        <f t="shared" si="3"/>
        <v>1</v>
      </c>
      <c r="AB34" s="1807">
        <f t="shared" si="4"/>
        <v>1</v>
      </c>
      <c r="AC34" s="1807">
        <f t="shared" si="5"/>
        <v>1</v>
      </c>
    </row>
    <row r="35" spans="1:29" ht="15">
      <c r="A35" s="470"/>
      <c r="B35" s="420" t="s">
        <v>2650</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6"/>
      <c r="M35" s="1127"/>
      <c r="N35" s="1127"/>
      <c r="O35" s="1127"/>
      <c r="P35" s="3286"/>
      <c r="Q35" s="1806" t="str">
        <f t="shared" si="11"/>
        <v>公共部分装修</v>
      </c>
      <c r="R35" s="772" t="s">
        <v>17</v>
      </c>
      <c r="S35" s="773">
        <f t="shared" si="12"/>
        <v>100</v>
      </c>
      <c r="T35" s="772" t="s">
        <v>17</v>
      </c>
      <c r="U35" s="773">
        <f t="shared" si="13"/>
        <v>100</v>
      </c>
      <c r="V35" s="772" t="s">
        <v>17</v>
      </c>
      <c r="W35" s="773">
        <f t="shared" si="14"/>
        <v>100</v>
      </c>
      <c r="X35" s="1809"/>
      <c r="Y35" s="3288"/>
      <c r="Z35" s="1810" t="str">
        <f t="shared" si="15"/>
        <v>公共部分装修</v>
      </c>
      <c r="AA35" s="1807">
        <f t="shared" si="3"/>
        <v>1</v>
      </c>
      <c r="AB35" s="1807">
        <f t="shared" si="4"/>
        <v>1</v>
      </c>
      <c r="AC35" s="1807">
        <f t="shared" si="5"/>
        <v>1</v>
      </c>
    </row>
    <row r="36" spans="1:29" ht="15">
      <c r="A36" s="470"/>
      <c r="B36" s="420" t="s">
        <v>2651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286"/>
      <c r="Q36" s="1806" t="str">
        <f t="shared" si="11"/>
        <v>成新度</v>
      </c>
      <c r="R36" s="772" t="s">
        <v>17</v>
      </c>
      <c r="S36" s="773" t="e">
        <f t="shared" si="12"/>
        <v>#N/A</v>
      </c>
      <c r="T36" s="772" t="s">
        <v>17</v>
      </c>
      <c r="U36" s="773" t="e">
        <f t="shared" si="13"/>
        <v>#N/A</v>
      </c>
      <c r="V36" s="772" t="s">
        <v>17</v>
      </c>
      <c r="W36" s="773" t="e">
        <f t="shared" si="14"/>
        <v>#N/A</v>
      </c>
      <c r="X36" s="1809"/>
      <c r="Y36" s="3288"/>
      <c r="Z36" s="1810" t="str">
        <f t="shared" si="15"/>
        <v>成新度</v>
      </c>
      <c r="AA36" s="1807" t="e">
        <f t="shared" si="3"/>
        <v>#N/A</v>
      </c>
      <c r="AB36" s="1807" t="e">
        <f t="shared" si="4"/>
        <v>#N/A</v>
      </c>
      <c r="AC36" s="1807" t="e">
        <f t="shared" si="5"/>
        <v>#N/A</v>
      </c>
    </row>
    <row r="37" spans="1:29" s="115" customFormat="1" ht="15">
      <c r="A37" s="471"/>
      <c r="B37" s="420" t="s">
        <v>2652</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8"/>
      <c r="M37" s="1129"/>
      <c r="N37" s="1129"/>
      <c r="O37" s="1129"/>
      <c r="P37" s="3286"/>
      <c r="Q37" s="1791" t="str">
        <f t="shared" si="11"/>
        <v>市政基础设施</v>
      </c>
      <c r="R37" s="768" t="s">
        <v>17</v>
      </c>
      <c r="S37" s="769">
        <f t="shared" si="12"/>
        <v>100</v>
      </c>
      <c r="T37" s="768" t="s">
        <v>17</v>
      </c>
      <c r="U37" s="769">
        <f t="shared" si="13"/>
        <v>100</v>
      </c>
      <c r="V37" s="768" t="s">
        <v>17</v>
      </c>
      <c r="W37" s="769">
        <f t="shared" si="14"/>
        <v>100</v>
      </c>
      <c r="X37" s="770"/>
      <c r="Y37" s="3288"/>
      <c r="Z37" s="55" t="str">
        <f t="shared" si="15"/>
        <v>市政基础设施</v>
      </c>
      <c r="AA37" s="771">
        <f t="shared" si="3"/>
        <v>1</v>
      </c>
      <c r="AB37" s="771">
        <f t="shared" si="4"/>
        <v>1</v>
      </c>
      <c r="AC37" s="771">
        <f t="shared" si="5"/>
        <v>1</v>
      </c>
    </row>
    <row r="38" spans="1:29" ht="15">
      <c r="A38" s="470"/>
      <c r="B38" s="420" t="s">
        <v>2653</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6"/>
      <c r="M38" s="1127"/>
      <c r="N38" s="1127"/>
      <c r="O38" s="1127"/>
      <c r="P38" s="3286" t="s">
        <v>2554</v>
      </c>
      <c r="Q38" s="1806" t="str">
        <f t="shared" si="11"/>
        <v>业态</v>
      </c>
      <c r="R38" s="772" t="s">
        <v>17</v>
      </c>
      <c r="S38" s="773">
        <f t="shared" si="12"/>
        <v>100</v>
      </c>
      <c r="T38" s="772" t="s">
        <v>17</v>
      </c>
      <c r="U38" s="773">
        <f t="shared" si="13"/>
        <v>100</v>
      </c>
      <c r="V38" s="772" t="s">
        <v>17</v>
      </c>
      <c r="W38" s="773">
        <f t="shared" si="14"/>
        <v>100</v>
      </c>
      <c r="X38" s="1809"/>
      <c r="Y38" s="3288" t="s">
        <v>2554</v>
      </c>
      <c r="Z38" s="1810" t="str">
        <f t="shared" si="15"/>
        <v>业态</v>
      </c>
      <c r="AA38" s="1807">
        <f t="shared" si="3"/>
        <v>1</v>
      </c>
      <c r="AB38" s="1807">
        <f t="shared" si="4"/>
        <v>1</v>
      </c>
      <c r="AC38" s="1807">
        <f t="shared" si="5"/>
        <v>1</v>
      </c>
    </row>
    <row r="39" spans="1:29" ht="15">
      <c r="A39" s="470"/>
      <c r="B39" s="420" t="s">
        <v>2654</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6"/>
      <c r="M39" s="1127"/>
      <c r="N39" s="1127"/>
      <c r="O39" s="1127"/>
      <c r="P39" s="3286"/>
      <c r="Q39" s="1806" t="str">
        <f t="shared" si="11"/>
        <v>层高</v>
      </c>
      <c r="R39" s="772" t="s">
        <v>17</v>
      </c>
      <c r="S39" s="773">
        <f t="shared" si="12"/>
        <v>100</v>
      </c>
      <c r="T39" s="772" t="s">
        <v>17</v>
      </c>
      <c r="U39" s="773">
        <f t="shared" si="13"/>
        <v>100</v>
      </c>
      <c r="V39" s="772" t="s">
        <v>17</v>
      </c>
      <c r="W39" s="773">
        <f t="shared" si="14"/>
        <v>100</v>
      </c>
      <c r="X39" s="1809"/>
      <c r="Y39" s="3288"/>
      <c r="Z39" s="1810" t="str">
        <f t="shared" si="15"/>
        <v>层高</v>
      </c>
      <c r="AA39" s="1807">
        <f t="shared" si="3"/>
        <v>1</v>
      </c>
      <c r="AB39" s="1807">
        <f t="shared" si="4"/>
        <v>1</v>
      </c>
      <c r="AC39" s="1807">
        <f t="shared" si="5"/>
        <v>1</v>
      </c>
    </row>
    <row r="40" spans="1:29" ht="15">
      <c r="A40" s="470"/>
      <c r="B40" s="420" t="s">
        <v>2655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286"/>
      <c r="Q40" s="1806" t="str">
        <f t="shared" si="11"/>
        <v>单套建筑面积</v>
      </c>
      <c r="R40" s="772" t="s">
        <v>17</v>
      </c>
      <c r="S40" s="773">
        <f t="shared" si="12"/>
        <v>100</v>
      </c>
      <c r="T40" s="772" t="s">
        <v>17</v>
      </c>
      <c r="U40" s="773">
        <f t="shared" si="13"/>
        <v>100</v>
      </c>
      <c r="V40" s="772" t="s">
        <v>17</v>
      </c>
      <c r="W40" s="773">
        <f t="shared" si="14"/>
        <v>100</v>
      </c>
      <c r="X40" s="1809"/>
      <c r="Y40" s="3288"/>
      <c r="Z40" s="1810" t="str">
        <f t="shared" si="15"/>
        <v>单套建筑面积</v>
      </c>
      <c r="AA40" s="1807">
        <f t="shared" si="3"/>
        <v>1</v>
      </c>
      <c r="AB40" s="1807">
        <f t="shared" si="4"/>
        <v>1</v>
      </c>
      <c r="AC40" s="1807">
        <f t="shared" si="5"/>
        <v>1</v>
      </c>
    </row>
    <row r="41" spans="1:29" s="469" customFormat="1" ht="15">
      <c r="A41" s="466"/>
      <c r="B41" s="1808" t="s">
        <v>2656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286"/>
      <c r="Q41" s="774" t="str">
        <f t="shared" si="11"/>
        <v>进深比</v>
      </c>
      <c r="R41" s="775" t="s">
        <v>17</v>
      </c>
      <c r="S41" s="776">
        <f t="shared" si="12"/>
        <v>100</v>
      </c>
      <c r="T41" s="775" t="s">
        <v>17</v>
      </c>
      <c r="U41" s="776">
        <f t="shared" si="13"/>
        <v>100</v>
      </c>
      <c r="V41" s="775" t="s">
        <v>17</v>
      </c>
      <c r="W41" s="776">
        <f t="shared" si="14"/>
        <v>100</v>
      </c>
      <c r="X41" s="777"/>
      <c r="Y41" s="3288"/>
      <c r="Z41" s="778" t="str">
        <f t="shared" si="15"/>
        <v>进深比</v>
      </c>
      <c r="AA41" s="1807">
        <f t="shared" si="3"/>
        <v>1</v>
      </c>
      <c r="AB41" s="1807">
        <f t="shared" si="4"/>
        <v>1</v>
      </c>
      <c r="AC41" s="1807">
        <f t="shared" si="5"/>
        <v>1</v>
      </c>
    </row>
    <row r="42" spans="1:29" ht="15">
      <c r="A42" s="470"/>
      <c r="B42" s="420" t="s">
        <v>2657</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6"/>
      <c r="M42" s="1127"/>
      <c r="N42" s="1127"/>
      <c r="O42" s="1127"/>
      <c r="P42" s="3286"/>
      <c r="Q42" s="1806" t="str">
        <f t="shared" si="11"/>
        <v>内部装修</v>
      </c>
      <c r="R42" s="772" t="s">
        <v>17</v>
      </c>
      <c r="S42" s="773">
        <f t="shared" si="12"/>
        <v>100</v>
      </c>
      <c r="T42" s="772" t="s">
        <v>17</v>
      </c>
      <c r="U42" s="773">
        <f t="shared" si="13"/>
        <v>100</v>
      </c>
      <c r="V42" s="772" t="s">
        <v>17</v>
      </c>
      <c r="W42" s="773">
        <f t="shared" si="14"/>
        <v>100</v>
      </c>
      <c r="X42" s="1809"/>
      <c r="Y42" s="3288"/>
      <c r="Z42" s="1810" t="str">
        <f t="shared" si="15"/>
        <v>内部装修</v>
      </c>
      <c r="AA42" s="1807">
        <f t="shared" si="3"/>
        <v>1</v>
      </c>
      <c r="AB42" s="1807">
        <f t="shared" si="4"/>
        <v>1</v>
      </c>
      <c r="AC42" s="1807">
        <f t="shared" si="5"/>
        <v>1</v>
      </c>
    </row>
    <row r="43" spans="1:29" ht="15">
      <c r="A43" s="470"/>
      <c r="B43" s="420" t="s">
        <v>2565</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6"/>
      <c r="M43" s="1127"/>
      <c r="N43" s="1127"/>
      <c r="O43" s="1127"/>
      <c r="P43" s="3286"/>
      <c r="Q43" s="1806" t="str">
        <f t="shared" si="11"/>
        <v>内部装修维护情况</v>
      </c>
      <c r="R43" s="772" t="s">
        <v>17</v>
      </c>
      <c r="S43" s="773">
        <f t="shared" si="12"/>
        <v>100</v>
      </c>
      <c r="T43" s="772" t="s">
        <v>17</v>
      </c>
      <c r="U43" s="773">
        <f t="shared" si="13"/>
        <v>100</v>
      </c>
      <c r="V43" s="772" t="s">
        <v>17</v>
      </c>
      <c r="W43" s="773">
        <f t="shared" si="14"/>
        <v>100</v>
      </c>
      <c r="X43" s="1809"/>
      <c r="Y43" s="3288"/>
      <c r="Z43" s="1810" t="str">
        <f t="shared" si="15"/>
        <v>内部装修维护情况</v>
      </c>
      <c r="AA43" s="1807">
        <f t="shared" si="3"/>
        <v>1</v>
      </c>
      <c r="AB43" s="1807">
        <f t="shared" si="4"/>
        <v>1</v>
      </c>
      <c r="AC43" s="1807">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286"/>
      <c r="Q44" s="1791">
        <f t="shared" si="11"/>
        <v>111</v>
      </c>
      <c r="R44" s="768" t="s">
        <v>17</v>
      </c>
      <c r="S44" s="769">
        <f t="shared" si="12"/>
        <v>100</v>
      </c>
      <c r="T44" s="768" t="s">
        <v>17</v>
      </c>
      <c r="U44" s="769">
        <f t="shared" si="13"/>
        <v>100</v>
      </c>
      <c r="V44" s="768" t="s">
        <v>17</v>
      </c>
      <c r="W44" s="769">
        <f t="shared" si="14"/>
        <v>100</v>
      </c>
      <c r="X44" s="770"/>
      <c r="Y44" s="3288"/>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286"/>
      <c r="Q45" s="1806">
        <f t="shared" si="11"/>
        <v>111</v>
      </c>
      <c r="R45" s="772" t="s">
        <v>17</v>
      </c>
      <c r="S45" s="773">
        <f t="shared" si="12"/>
        <v>100</v>
      </c>
      <c r="T45" s="772" t="s">
        <v>17</v>
      </c>
      <c r="U45" s="773">
        <f t="shared" si="13"/>
        <v>100</v>
      </c>
      <c r="V45" s="772" t="s">
        <v>17</v>
      </c>
      <c r="W45" s="773">
        <f t="shared" si="14"/>
        <v>100</v>
      </c>
      <c r="X45" s="1809"/>
      <c r="Y45" s="3288"/>
      <c r="Z45" s="1810">
        <f t="shared" si="15"/>
        <v>111</v>
      </c>
      <c r="AA45" s="1807">
        <f t="shared" si="3"/>
        <v>1</v>
      </c>
      <c r="AB45" s="1807">
        <f t="shared" si="4"/>
        <v>1</v>
      </c>
      <c r="AC45" s="1807">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287"/>
      <c r="Q46" s="1806">
        <f t="shared" si="11"/>
        <v>111</v>
      </c>
      <c r="R46" s="772" t="s">
        <v>17</v>
      </c>
      <c r="S46" s="773">
        <f t="shared" si="12"/>
        <v>100</v>
      </c>
      <c r="T46" s="772" t="s">
        <v>17</v>
      </c>
      <c r="U46" s="773">
        <f t="shared" si="13"/>
        <v>100</v>
      </c>
      <c r="V46" s="772" t="s">
        <v>17</v>
      </c>
      <c r="W46" s="773">
        <f t="shared" si="14"/>
        <v>100</v>
      </c>
      <c r="X46" s="1809"/>
      <c r="Y46" s="3289"/>
      <c r="Z46" s="1810">
        <f t="shared" si="15"/>
        <v>111</v>
      </c>
      <c r="AA46" s="1807">
        <f t="shared" si="3"/>
        <v>1</v>
      </c>
      <c r="AB46" s="1807">
        <f t="shared" si="4"/>
        <v>1</v>
      </c>
      <c r="AC46" s="1807">
        <f t="shared" si="5"/>
        <v>1</v>
      </c>
    </row>
    <row r="47" spans="1:29" ht="15">
      <c r="A47" s="477" t="s">
        <v>2566</v>
      </c>
      <c r="B47" s="478"/>
      <c r="C47" s="1403" t="s">
        <v>1</v>
      </c>
      <c r="D47" s="1404"/>
      <c r="E47" s="1405"/>
      <c r="F47" s="1406"/>
      <c r="G47" s="1407"/>
      <c r="H47" s="1408"/>
      <c r="I47" s="1405"/>
      <c r="J47" s="1408"/>
      <c r="K47" s="781"/>
      <c r="L47" s="1139"/>
      <c r="M47" s="1140"/>
      <c r="N47" s="1127"/>
      <c r="O47" s="1140"/>
      <c r="P47" s="3281" t="str">
        <f>A47</f>
        <v>成交单价（元/平方米）</v>
      </c>
      <c r="Q47" s="3281"/>
      <c r="R47" s="3312">
        <f>E47</f>
        <v>0</v>
      </c>
      <c r="S47" s="3312"/>
      <c r="T47" s="3312">
        <f>G47</f>
        <v>0</v>
      </c>
      <c r="U47" s="3312"/>
      <c r="V47" s="3312">
        <f>I47</f>
        <v>0</v>
      </c>
      <c r="W47" s="3312"/>
      <c r="X47" s="757"/>
      <c r="Y47" s="779"/>
      <c r="Z47" s="757"/>
      <c r="AA47" s="757"/>
      <c r="AB47" s="757"/>
      <c r="AC47" s="757"/>
    </row>
    <row r="48" spans="1:29" ht="15.75" thickBot="1">
      <c r="A48" s="484" t="s">
        <v>2658</v>
      </c>
      <c r="B48" s="485"/>
      <c r="C48" s="1409" t="e">
        <f>R49</f>
        <v>#DIV/0!</v>
      </c>
      <c r="D48" s="1410"/>
      <c r="E48" s="1411" t="e">
        <f>R48</f>
        <v>#DIV/0!</v>
      </c>
      <c r="F48" s="1411"/>
      <c r="G48" s="1409" t="e">
        <f>T48</f>
        <v>#DIV/0!</v>
      </c>
      <c r="H48" s="1410"/>
      <c r="I48" s="1411" t="e">
        <f>V48</f>
        <v>#DIV/0!</v>
      </c>
      <c r="J48" s="1410"/>
      <c r="K48" s="782"/>
      <c r="L48" s="1139"/>
      <c r="M48" s="1140"/>
      <c r="N48" s="1127"/>
      <c r="O48" s="1140"/>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7"/>
      <c r="Y48" s="757"/>
      <c r="Z48" s="757"/>
      <c r="AA48" s="757"/>
      <c r="AB48" s="757"/>
      <c r="AC48" s="757"/>
    </row>
    <row r="49" spans="1:29" ht="15.75" thickBot="1">
      <c r="A49" s="490" t="s">
        <v>2659</v>
      </c>
      <c r="B49" s="491"/>
      <c r="C49" s="1413" t="e">
        <f>R49</f>
        <v>#DIV/0!</v>
      </c>
      <c r="D49" s="1413"/>
      <c r="E49" s="1413"/>
      <c r="F49" s="1413"/>
      <c r="G49" s="1413"/>
      <c r="H49" s="1413"/>
      <c r="I49" s="1413"/>
      <c r="J49" s="1413"/>
      <c r="K49" s="783"/>
      <c r="L49" s="1139"/>
      <c r="M49" s="1140"/>
      <c r="N49" s="1127"/>
      <c r="O49" s="1140"/>
      <c r="P49" s="3278" t="str">
        <f>A49</f>
        <v>估价对象XX用房的比较价值（楼面单价，元/平方米）</v>
      </c>
      <c r="Q49" s="3279"/>
      <c r="R49" s="3280" t="e">
        <f>IF(F1="售价",ROUND(AVERAGE(R48:V48),0),ROUND(AVERAGE(R48:V48),1))</f>
        <v>#DIV/0!</v>
      </c>
      <c r="S49" s="3280"/>
      <c r="T49" s="3280"/>
      <c r="U49" s="3280"/>
      <c r="V49" s="3280"/>
      <c r="W49" s="3280"/>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2660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2661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2662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62"/>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62"/>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2663</v>
      </c>
      <c r="B57" s="757"/>
      <c r="C57" s="762"/>
      <c r="D57" s="762"/>
      <c r="E57" s="762"/>
      <c r="F57" s="763"/>
      <c r="G57" s="763"/>
      <c r="H57" s="762"/>
      <c r="I57" s="762"/>
      <c r="J57" s="762"/>
      <c r="K57" s="764"/>
      <c r="L57" s="1157"/>
      <c r="M57" s="1155"/>
      <c r="N57" s="1155"/>
      <c r="O57" s="1155"/>
      <c r="P57" s="2663"/>
      <c r="Q57" s="2664"/>
      <c r="R57" s="757"/>
      <c r="S57" s="757"/>
      <c r="T57" s="757"/>
      <c r="U57" s="757"/>
      <c r="V57" s="757"/>
      <c r="W57" s="757"/>
      <c r="X57" s="757"/>
      <c r="Y57" s="757"/>
      <c r="Z57" s="757"/>
      <c r="AA57" s="757"/>
      <c r="AB57" s="757"/>
      <c r="AC57" s="757"/>
    </row>
    <row r="58" spans="1:29" s="506" customFormat="1" ht="15">
      <c r="A58" s="503" t="s">
        <v>2537</v>
      </c>
      <c r="B58" s="504"/>
      <c r="C58" s="1570" t="str">
        <f>YEAR(C7)&amp;"-"&amp;MONTH(C7)</f>
        <v>2019-4</v>
      </c>
      <c r="D58" s="1571">
        <f>EDATE(C58,-1)</f>
        <v>43525</v>
      </c>
      <c r="E58" s="1571">
        <f t="shared" ref="E58:N58" si="16">EDATE(D58,-1)</f>
        <v>43497</v>
      </c>
      <c r="F58" s="1571">
        <f t="shared" si="16"/>
        <v>43466</v>
      </c>
      <c r="G58" s="1571">
        <f t="shared" si="16"/>
        <v>43435</v>
      </c>
      <c r="H58" s="1571">
        <f t="shared" si="16"/>
        <v>43405</v>
      </c>
      <c r="I58" s="1571">
        <f t="shared" si="16"/>
        <v>43374</v>
      </c>
      <c r="J58" s="1571">
        <f t="shared" si="16"/>
        <v>43344</v>
      </c>
      <c r="K58" s="1571">
        <f t="shared" si="16"/>
        <v>43313</v>
      </c>
      <c r="L58" s="1571">
        <f t="shared" si="16"/>
        <v>43282</v>
      </c>
      <c r="M58" s="1571">
        <f t="shared" si="16"/>
        <v>43252</v>
      </c>
      <c r="N58" s="1571">
        <f t="shared" si="16"/>
        <v>43221</v>
      </c>
      <c r="O58" s="1571">
        <f>EDATE(N58,-1)</f>
        <v>43191</v>
      </c>
      <c r="P58" s="1566"/>
    </row>
    <row r="59" spans="1:29" s="115" customFormat="1" ht="15">
      <c r="A59" s="507"/>
      <c r="B59" s="508"/>
      <c r="C59" s="1569">
        <v>100</v>
      </c>
      <c r="D59" s="510"/>
      <c r="E59" s="510"/>
      <c r="F59" s="510"/>
      <c r="G59" s="510"/>
      <c r="H59" s="510"/>
      <c r="I59" s="510"/>
      <c r="J59" s="510"/>
      <c r="K59" s="510"/>
      <c r="L59" s="510"/>
      <c r="M59" s="511"/>
      <c r="N59" s="510"/>
      <c r="O59" s="511"/>
      <c r="P59" s="2624"/>
    </row>
    <row r="60" spans="1:29" s="115" customFormat="1" ht="15.75" thickBot="1">
      <c r="A60" s="513" t="s">
        <v>2574</v>
      </c>
      <c r="B60" s="514"/>
      <c r="C60" s="515"/>
      <c r="D60" s="516"/>
      <c r="E60" s="516"/>
      <c r="F60" s="516"/>
      <c r="G60" s="516"/>
      <c r="H60" s="516"/>
      <c r="I60" s="516"/>
      <c r="J60" s="516"/>
      <c r="K60" s="516"/>
      <c r="L60" s="516"/>
      <c r="M60" s="517"/>
      <c r="N60" s="516"/>
      <c r="O60" s="517"/>
      <c r="P60" s="2624"/>
      <c r="Q60" s="502"/>
    </row>
    <row r="61" spans="1:29" s="115" customFormat="1" ht="15">
      <c r="A61" s="519" t="s">
        <v>2539</v>
      </c>
      <c r="B61" s="508"/>
      <c r="C61" s="520" t="s">
        <v>2641</v>
      </c>
      <c r="D61" s="521"/>
      <c r="E61" s="521"/>
      <c r="F61" s="521"/>
      <c r="G61" s="521"/>
      <c r="H61" s="521"/>
      <c r="I61" s="521"/>
      <c r="J61" s="521"/>
      <c r="K61" s="521"/>
      <c r="L61" s="522"/>
      <c r="M61" s="523"/>
      <c r="N61" s="1147"/>
      <c r="O61" s="1147"/>
      <c r="P61" s="2625"/>
      <c r="Q61" s="502"/>
    </row>
    <row r="62" spans="1:29" s="115" customFormat="1" ht="15.75" thickBot="1">
      <c r="A62" s="519"/>
      <c r="B62" s="508"/>
      <c r="C62" s="509">
        <v>100</v>
      </c>
      <c r="D62" s="510"/>
      <c r="E62" s="510"/>
      <c r="F62" s="510"/>
      <c r="G62" s="510"/>
      <c r="H62" s="510"/>
      <c r="I62" s="510"/>
      <c r="J62" s="510"/>
      <c r="K62" s="510"/>
      <c r="L62" s="510"/>
      <c r="M62" s="512"/>
      <c r="N62" s="1147"/>
      <c r="O62" s="1147"/>
      <c r="P62" s="2624"/>
      <c r="Q62" s="502"/>
    </row>
    <row r="63" spans="1:29">
      <c r="A63" s="525" t="s">
        <v>2577</v>
      </c>
      <c r="B63" s="526" t="s">
        <v>2543</v>
      </c>
      <c r="C63" s="527">
        <f>C9</f>
        <v>0</v>
      </c>
      <c r="D63" s="528"/>
      <c r="E63" s="528"/>
      <c r="F63" s="528"/>
      <c r="G63" s="528"/>
      <c r="H63" s="528"/>
      <c r="I63" s="528"/>
      <c r="J63" s="528"/>
      <c r="K63" s="529"/>
      <c r="L63" s="530"/>
      <c r="M63" s="531"/>
      <c r="N63" s="1148"/>
      <c r="O63" s="1148"/>
      <c r="P63" s="2626"/>
      <c r="Q63" s="502"/>
    </row>
    <row r="64" spans="1:29" ht="15.75" thickBot="1">
      <c r="A64" s="532"/>
      <c r="B64" s="533"/>
      <c r="C64" s="534">
        <v>100</v>
      </c>
      <c r="D64" s="534"/>
      <c r="E64" s="534"/>
      <c r="F64" s="534"/>
      <c r="G64" s="534"/>
      <c r="H64" s="534"/>
      <c r="I64" s="534"/>
      <c r="J64" s="534"/>
      <c r="K64" s="534"/>
      <c r="L64" s="534"/>
      <c r="M64" s="535"/>
      <c r="N64" s="1149"/>
      <c r="O64" s="1149"/>
      <c r="P64" s="2626"/>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48"/>
      <c r="O65" s="1148"/>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26"/>
      <c r="Q66" s="502"/>
    </row>
    <row r="67" spans="1:17" ht="15.75" thickTop="1">
      <c r="A67" s="532"/>
      <c r="B67" s="544" t="s">
        <v>2547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26"/>
      <c r="Q67" s="502"/>
    </row>
    <row r="68" spans="1:17" ht="15">
      <c r="A68" s="532"/>
      <c r="B68" s="546"/>
      <c r="C68" s="547"/>
      <c r="D68" s="547"/>
      <c r="E68" s="547"/>
      <c r="F68" s="547"/>
      <c r="G68" s="547"/>
      <c r="H68" s="547"/>
      <c r="I68" s="547"/>
      <c r="J68" s="547"/>
      <c r="K68" s="548"/>
      <c r="L68" s="549"/>
      <c r="M68" s="550"/>
      <c r="N68" s="1148"/>
      <c r="O68" s="1148"/>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6"/>
      <c r="Q69" s="502"/>
    </row>
    <row r="70" spans="1:17" s="469" customFormat="1" ht="15.75" thickTop="1">
      <c r="A70" s="551"/>
      <c r="B70" s="536">
        <f>B12</f>
        <v>111</v>
      </c>
      <c r="C70" s="552"/>
      <c r="D70" s="552"/>
      <c r="E70" s="552"/>
      <c r="F70" s="552"/>
      <c r="G70" s="552"/>
      <c r="H70" s="553"/>
      <c r="I70" s="553"/>
      <c r="J70" s="553"/>
      <c r="K70" s="553"/>
      <c r="L70" s="554"/>
      <c r="M70" s="555"/>
      <c r="N70" s="1150"/>
      <c r="O70" s="1150"/>
      <c r="P70" s="2627"/>
      <c r="Q70" s="557"/>
    </row>
    <row r="71" spans="1:17" s="469" customFormat="1" ht="15.75" thickBot="1">
      <c r="A71" s="551"/>
      <c r="B71" s="541"/>
      <c r="C71" s="558"/>
      <c r="D71" s="534"/>
      <c r="E71" s="534"/>
      <c r="F71" s="534"/>
      <c r="G71" s="534"/>
      <c r="H71" s="534"/>
      <c r="I71" s="534"/>
      <c r="J71" s="534"/>
      <c r="K71" s="534"/>
      <c r="L71" s="534"/>
      <c r="M71" s="535"/>
      <c r="N71" s="1149"/>
      <c r="O71" s="1149"/>
      <c r="P71" s="2627"/>
      <c r="Q71" s="557"/>
    </row>
    <row r="72" spans="1:17" s="469" customFormat="1" ht="15.75" thickTop="1">
      <c r="A72" s="551"/>
      <c r="B72" s="536">
        <f>B13</f>
        <v>111</v>
      </c>
      <c r="C72" s="552"/>
      <c r="D72" s="552"/>
      <c r="E72" s="552"/>
      <c r="F72" s="552"/>
      <c r="G72" s="552"/>
      <c r="H72" s="553"/>
      <c r="I72" s="553"/>
      <c r="J72" s="553"/>
      <c r="K72" s="553"/>
      <c r="L72" s="554"/>
      <c r="M72" s="555"/>
      <c r="N72" s="1150"/>
      <c r="O72" s="1150"/>
      <c r="P72" s="2628"/>
      <c r="Q72" s="559"/>
    </row>
    <row r="73" spans="1:17" s="469" customFormat="1" ht="15.75" thickBot="1">
      <c r="A73" s="551"/>
      <c r="B73" s="541"/>
      <c r="C73" s="558"/>
      <c r="D73" s="534"/>
      <c r="E73" s="534"/>
      <c r="F73" s="534"/>
      <c r="G73" s="558"/>
      <c r="H73" s="560"/>
      <c r="I73" s="560"/>
      <c r="J73" s="560"/>
      <c r="K73" s="560"/>
      <c r="L73" s="560"/>
      <c r="M73" s="561"/>
      <c r="N73" s="1150"/>
      <c r="O73" s="1150"/>
      <c r="P73" s="2627"/>
      <c r="Q73" s="557"/>
    </row>
    <row r="74" spans="1:17" s="469" customFormat="1" ht="15.75" thickTop="1">
      <c r="A74" s="551"/>
      <c r="B74" s="544">
        <f>B14</f>
        <v>111</v>
      </c>
      <c r="C74" s="552"/>
      <c r="D74" s="552"/>
      <c r="E74" s="552"/>
      <c r="F74" s="552"/>
      <c r="G74" s="521"/>
      <c r="H74" s="562"/>
      <c r="I74" s="562"/>
      <c r="J74" s="562"/>
      <c r="K74" s="562"/>
      <c r="L74" s="563"/>
      <c r="M74" s="564"/>
      <c r="N74" s="1150"/>
      <c r="O74" s="1150"/>
      <c r="P74" s="2629"/>
      <c r="Q74" s="557"/>
    </row>
    <row r="75" spans="1:17" s="469" customFormat="1" ht="15.75" thickBot="1">
      <c r="A75" s="566"/>
      <c r="B75" s="567"/>
      <c r="C75" s="568"/>
      <c r="D75" s="568"/>
      <c r="E75" s="568"/>
      <c r="F75" s="568"/>
      <c r="G75" s="568"/>
      <c r="H75" s="569"/>
      <c r="I75" s="569"/>
      <c r="J75" s="569"/>
      <c r="K75" s="569"/>
      <c r="L75" s="569"/>
      <c r="M75" s="570"/>
      <c r="N75" s="1150"/>
      <c r="O75" s="1150"/>
      <c r="P75" s="2627"/>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48"/>
      <c r="O76" s="1148"/>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6"/>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48"/>
      <c r="O78" s="1148"/>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6"/>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48"/>
      <c r="O80" s="1148"/>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6"/>
      <c r="Q81" s="502"/>
    </row>
    <row r="82" spans="1:17" ht="15.75" thickTop="1">
      <c r="A82" s="532"/>
      <c r="B82" s="544" t="s">
        <v>2644</v>
      </c>
      <c r="C82" s="658" t="s">
        <v>2664</v>
      </c>
      <c r="D82" s="658" t="s">
        <v>2665</v>
      </c>
      <c r="E82" s="658" t="s">
        <v>2666</v>
      </c>
      <c r="F82" s="658" t="s">
        <v>2667</v>
      </c>
      <c r="G82" s="658" t="s">
        <v>2668</v>
      </c>
      <c r="H82" s="537"/>
      <c r="I82" s="537"/>
      <c r="J82" s="537"/>
      <c r="K82" s="537"/>
      <c r="L82" s="537"/>
      <c r="M82" s="1378"/>
      <c r="N82" s="1149"/>
      <c r="O82" s="1149"/>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26"/>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48"/>
      <c r="O84" s="1148"/>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6"/>
      <c r="Q85" s="502"/>
    </row>
    <row r="86" spans="1:17" s="115" customFormat="1" ht="15.75" thickTop="1">
      <c r="A86" s="577"/>
      <c r="B86" s="536" t="s">
        <v>2669</v>
      </c>
      <c r="C86" s="552"/>
      <c r="D86" s="552"/>
      <c r="E86" s="552"/>
      <c r="F86" s="552"/>
      <c r="G86" s="552"/>
      <c r="H86" s="552"/>
      <c r="I86" s="552"/>
      <c r="J86" s="552"/>
      <c r="K86" s="552"/>
      <c r="L86" s="578"/>
      <c r="M86" s="579"/>
      <c r="N86" s="1147"/>
      <c r="O86" s="1147"/>
      <c r="P86" s="2626"/>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6"/>
      <c r="Q87" s="502"/>
    </row>
    <row r="88" spans="1:17" s="115" customFormat="1" ht="15.75" thickTop="1">
      <c r="A88" s="577"/>
      <c r="B88" s="536" t="str">
        <f>B26</f>
        <v>平面位置/可视性</v>
      </c>
      <c r="C88" s="552"/>
      <c r="D88" s="552"/>
      <c r="E88" s="552"/>
      <c r="F88" s="2631"/>
      <c r="G88" s="552"/>
      <c r="H88" s="552"/>
      <c r="I88" s="552"/>
      <c r="J88" s="552"/>
      <c r="K88" s="552"/>
      <c r="L88" s="552"/>
      <c r="M88" s="579"/>
      <c r="N88" s="1147"/>
      <c r="O88" s="1147"/>
      <c r="P88" s="2626"/>
      <c r="Q88" s="502"/>
    </row>
    <row r="89" spans="1:17" s="115" customFormat="1" ht="15.75" thickBot="1">
      <c r="A89" s="577"/>
      <c r="B89" s="541"/>
      <c r="C89" s="558"/>
      <c r="D89" s="534"/>
      <c r="E89" s="534"/>
      <c r="F89" s="534"/>
      <c r="G89" s="534"/>
      <c r="H89" s="534"/>
      <c r="I89" s="534"/>
      <c r="J89" s="534"/>
      <c r="K89" s="534"/>
      <c r="L89" s="534"/>
      <c r="M89" s="534"/>
      <c r="N89" s="1149"/>
      <c r="O89" s="1149"/>
      <c r="P89" s="2626"/>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27"/>
      <c r="Q91" s="557"/>
    </row>
    <row r="92" spans="1:17" ht="15.75" thickTop="1">
      <c r="A92" s="532"/>
      <c r="B92" s="536" t="str">
        <f>B28</f>
        <v>楼层</v>
      </c>
      <c r="C92" s="552"/>
      <c r="D92" s="552"/>
      <c r="E92" s="552"/>
      <c r="F92" s="552"/>
      <c r="G92" s="552"/>
      <c r="H92" s="552"/>
      <c r="I92" s="552"/>
      <c r="J92" s="552"/>
      <c r="K92" s="552"/>
      <c r="L92" s="578"/>
      <c r="M92" s="579"/>
      <c r="N92" s="1148"/>
      <c r="O92" s="1148"/>
      <c r="P92" s="2626"/>
      <c r="Q92" s="502"/>
    </row>
    <row r="93" spans="1:17" ht="15.75" thickBot="1">
      <c r="A93" s="532"/>
      <c r="B93" s="541"/>
      <c r="C93" s="534"/>
      <c r="D93" s="534"/>
      <c r="E93" s="534"/>
      <c r="F93" s="534"/>
      <c r="G93" s="534"/>
      <c r="H93" s="534"/>
      <c r="I93" s="534"/>
      <c r="J93" s="534"/>
      <c r="K93" s="534"/>
      <c r="L93" s="534"/>
      <c r="M93" s="535"/>
      <c r="N93" s="1149"/>
      <c r="O93" s="1149"/>
      <c r="P93" s="2626"/>
      <c r="Q93" s="502"/>
    </row>
    <row r="94" spans="1:17" ht="15.75" thickTop="1">
      <c r="A94" s="532"/>
      <c r="B94" s="536">
        <f>B29</f>
        <v>111</v>
      </c>
      <c r="C94" s="552"/>
      <c r="D94" s="552"/>
      <c r="E94" s="552"/>
      <c r="F94" s="552"/>
      <c r="G94" s="581"/>
      <c r="H94" s="581"/>
      <c r="I94" s="581"/>
      <c r="J94" s="581"/>
      <c r="K94" s="582"/>
      <c r="L94" s="583"/>
      <c r="M94" s="584"/>
      <c r="N94" s="1148"/>
      <c r="O94" s="1148"/>
      <c r="P94" s="2626"/>
      <c r="Q94" s="502"/>
    </row>
    <row r="95" spans="1:17" ht="15.75" thickBot="1">
      <c r="A95" s="532"/>
      <c r="B95" s="541"/>
      <c r="C95" s="558"/>
      <c r="D95" s="534"/>
      <c r="E95" s="534"/>
      <c r="F95" s="534"/>
      <c r="G95" s="534"/>
      <c r="H95" s="534"/>
      <c r="I95" s="534"/>
      <c r="J95" s="534"/>
      <c r="K95" s="534"/>
      <c r="L95" s="534"/>
      <c r="M95" s="535"/>
      <c r="N95" s="1149"/>
      <c r="O95" s="1149"/>
      <c r="P95" s="2626"/>
      <c r="Q95" s="502"/>
    </row>
    <row r="96" spans="1:17" ht="15.75" thickTop="1">
      <c r="A96" s="532"/>
      <c r="B96" s="536">
        <f>B30</f>
        <v>111</v>
      </c>
      <c r="C96" s="552"/>
      <c r="D96" s="552"/>
      <c r="E96" s="552"/>
      <c r="F96" s="552"/>
      <c r="G96" s="581"/>
      <c r="H96" s="581"/>
      <c r="I96" s="581"/>
      <c r="J96" s="581"/>
      <c r="K96" s="582"/>
      <c r="L96" s="583"/>
      <c r="M96" s="584"/>
      <c r="N96" s="1148"/>
      <c r="O96" s="1148"/>
      <c r="P96" s="2626"/>
      <c r="Q96" s="502"/>
    </row>
    <row r="97" spans="1:17" ht="15.75" thickBot="1">
      <c r="A97" s="532"/>
      <c r="B97" s="541"/>
      <c r="C97" s="558"/>
      <c r="D97" s="534"/>
      <c r="E97" s="534"/>
      <c r="F97" s="534"/>
      <c r="G97" s="534"/>
      <c r="H97" s="534"/>
      <c r="I97" s="534"/>
      <c r="J97" s="534"/>
      <c r="K97" s="534"/>
      <c r="L97" s="534"/>
      <c r="M97" s="535"/>
      <c r="N97" s="1149"/>
      <c r="O97" s="1149"/>
      <c r="P97" s="2626"/>
      <c r="Q97" s="502"/>
    </row>
    <row r="98" spans="1:17" ht="15.75" thickTop="1">
      <c r="A98" s="532"/>
      <c r="B98" s="544">
        <f>B31</f>
        <v>111</v>
      </c>
      <c r="C98" s="552"/>
      <c r="D98" s="552"/>
      <c r="E98" s="552"/>
      <c r="F98" s="552"/>
      <c r="G98" s="585"/>
      <c r="H98" s="585"/>
      <c r="I98" s="585"/>
      <c r="J98" s="585"/>
      <c r="K98" s="586"/>
      <c r="L98" s="587"/>
      <c r="M98" s="588"/>
      <c r="N98" s="1148"/>
      <c r="O98" s="1148"/>
      <c r="P98" s="2626"/>
      <c r="Q98" s="502"/>
    </row>
    <row r="99" spans="1:17" ht="15.75" thickBot="1">
      <c r="A99" s="2632"/>
      <c r="B99" s="567"/>
      <c r="C99" s="568"/>
      <c r="D99" s="568"/>
      <c r="E99" s="568"/>
      <c r="F99" s="568"/>
      <c r="G99" s="589"/>
      <c r="H99" s="589"/>
      <c r="I99" s="589"/>
      <c r="J99" s="589"/>
      <c r="K99" s="589"/>
      <c r="L99" s="589"/>
      <c r="M99" s="590"/>
      <c r="N99" s="1149"/>
      <c r="O99" s="1149"/>
      <c r="P99" s="2626"/>
      <c r="Q99" s="502"/>
    </row>
    <row r="100" spans="1:17">
      <c r="A100" s="525" t="s">
        <v>2552</v>
      </c>
      <c r="B100" s="526" t="s">
        <v>2670</v>
      </c>
      <c r="C100" s="528"/>
      <c r="D100" s="528"/>
      <c r="E100" s="528"/>
      <c r="F100" s="528"/>
      <c r="G100" s="528"/>
      <c r="H100" s="528"/>
      <c r="I100" s="528"/>
      <c r="J100" s="528"/>
      <c r="K100" s="529"/>
      <c r="L100" s="530"/>
      <c r="M100" s="531"/>
      <c r="N100" s="1148"/>
      <c r="O100" s="1148"/>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26"/>
      <c r="Q101" s="502"/>
    </row>
    <row r="102" spans="1:17" ht="15.75" thickTop="1">
      <c r="A102" s="532"/>
      <c r="B102" s="536" t="s">
        <v>2602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26"/>
      <c r="Q102" s="502"/>
    </row>
    <row r="103" spans="1:17" s="469" customFormat="1">
      <c r="A103" s="591"/>
      <c r="B103" s="592"/>
      <c r="C103" s="593"/>
      <c r="D103" s="593"/>
      <c r="E103" s="593"/>
      <c r="F103" s="593"/>
      <c r="G103" s="593"/>
      <c r="H103" s="593"/>
      <c r="I103" s="593"/>
      <c r="J103" s="594"/>
      <c r="K103" s="594"/>
      <c r="L103" s="595"/>
      <c r="M103" s="596"/>
      <c r="N103" s="1150"/>
      <c r="O103" s="1150"/>
      <c r="P103" s="2627"/>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27"/>
      <c r="Q104" s="557"/>
    </row>
    <row r="105" spans="1:17" ht="15" thickTop="1">
      <c r="A105" s="597"/>
      <c r="B105" s="536" t="s">
        <v>2603</v>
      </c>
      <c r="C105" s="552"/>
      <c r="D105" s="552"/>
      <c r="E105" s="581"/>
      <c r="F105" s="581"/>
      <c r="G105" s="581"/>
      <c r="H105" s="581"/>
      <c r="I105" s="581"/>
      <c r="J105" s="581"/>
      <c r="K105" s="582"/>
      <c r="L105" s="583"/>
      <c r="M105" s="584"/>
      <c r="N105" s="1148"/>
      <c r="O105" s="1148"/>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26"/>
      <c r="Q106" s="502"/>
    </row>
    <row r="107" spans="1:17" ht="15" thickTop="1">
      <c r="A107" s="597"/>
      <c r="B107" s="536" t="s">
        <v>2605</v>
      </c>
      <c r="C107" s="552"/>
      <c r="D107" s="552"/>
      <c r="E107" s="552"/>
      <c r="F107" s="581"/>
      <c r="G107" s="581"/>
      <c r="H107" s="581"/>
      <c r="I107" s="581"/>
      <c r="J107" s="581"/>
      <c r="K107" s="582"/>
      <c r="L107" s="583"/>
      <c r="M107" s="584"/>
      <c r="N107" s="1148"/>
      <c r="O107" s="1148"/>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26"/>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6"/>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26"/>
      <c r="Q111" s="502"/>
    </row>
    <row r="112" spans="1:17" s="469" customFormat="1" ht="15" thickTop="1">
      <c r="A112" s="591"/>
      <c r="B112" s="536" t="s">
        <v>2607</v>
      </c>
      <c r="C112" s="552"/>
      <c r="D112" s="552"/>
      <c r="E112" s="552"/>
      <c r="F112" s="552"/>
      <c r="G112" s="552"/>
      <c r="H112" s="581"/>
      <c r="I112" s="581"/>
      <c r="J112" s="581"/>
      <c r="K112" s="582"/>
      <c r="L112" s="583"/>
      <c r="M112" s="584"/>
      <c r="N112" s="1150"/>
      <c r="O112" s="1150"/>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27"/>
      <c r="Q113" s="557"/>
    </row>
    <row r="114" spans="1:17" ht="15" thickTop="1">
      <c r="A114" s="597"/>
      <c r="B114" s="536" t="s">
        <v>2671</v>
      </c>
      <c r="C114" s="552"/>
      <c r="D114" s="552"/>
      <c r="E114" s="581"/>
      <c r="F114" s="581"/>
      <c r="G114" s="581"/>
      <c r="H114" s="581"/>
      <c r="I114" s="581"/>
      <c r="J114" s="581"/>
      <c r="K114" s="582"/>
      <c r="L114" s="583"/>
      <c r="M114" s="584"/>
      <c r="N114" s="1148"/>
      <c r="O114" s="1148"/>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26"/>
      <c r="Q115" s="502"/>
    </row>
    <row r="116" spans="1:17" ht="15" thickTop="1">
      <c r="A116" s="597"/>
      <c r="B116" s="536" t="s">
        <v>2672</v>
      </c>
      <c r="C116" s="552"/>
      <c r="D116" s="552"/>
      <c r="E116" s="552"/>
      <c r="F116" s="552"/>
      <c r="G116" s="552"/>
      <c r="H116" s="581"/>
      <c r="I116" s="581"/>
      <c r="J116" s="581"/>
      <c r="K116" s="582"/>
      <c r="L116" s="583"/>
      <c r="M116" s="584"/>
      <c r="N116" s="1148"/>
      <c r="O116" s="1148"/>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6"/>
      <c r="Q117" s="502"/>
    </row>
    <row r="118" spans="1:17" ht="15" thickTop="1">
      <c r="A118" s="597"/>
      <c r="B118" s="536" t="s">
        <v>2673</v>
      </c>
      <c r="C118" s="625"/>
      <c r="D118" s="625"/>
      <c r="E118" s="625"/>
      <c r="F118" s="625"/>
      <c r="G118" s="625"/>
      <c r="H118" s="553"/>
      <c r="I118" s="553"/>
      <c r="J118" s="553"/>
      <c r="K118" s="553"/>
      <c r="L118" s="554"/>
      <c r="M118" s="555"/>
      <c r="N118" s="1148"/>
      <c r="O118" s="1148"/>
      <c r="P118" s="2626"/>
      <c r="Q118" s="502"/>
    </row>
    <row r="119" spans="1:17" ht="15.75" thickBot="1">
      <c r="A119" s="532"/>
      <c r="B119" s="541"/>
      <c r="C119" s="558"/>
      <c r="D119" s="534"/>
      <c r="E119" s="534"/>
      <c r="F119" s="534"/>
      <c r="G119" s="534"/>
      <c r="H119" s="534"/>
      <c r="I119" s="534"/>
      <c r="J119" s="534"/>
      <c r="K119" s="534"/>
      <c r="L119" s="534"/>
      <c r="M119" s="535"/>
      <c r="N119" s="1149"/>
      <c r="O119" s="1149"/>
      <c r="P119" s="2626"/>
      <c r="Q119" s="502"/>
    </row>
    <row r="120" spans="1:17" s="469" customFormat="1" ht="15" thickTop="1">
      <c r="A120" s="591"/>
      <c r="B120" s="536" t="s">
        <v>2674</v>
      </c>
      <c r="C120" s="581"/>
      <c r="D120" s="581"/>
      <c r="E120" s="581"/>
      <c r="F120" s="581"/>
      <c r="G120" s="553"/>
      <c r="H120" s="553"/>
      <c r="I120" s="553"/>
      <c r="J120" s="553"/>
      <c r="K120" s="553"/>
      <c r="L120" s="554"/>
      <c r="M120" s="555"/>
      <c r="N120" s="1150"/>
      <c r="O120" s="1150"/>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27"/>
      <c r="Q121" s="557"/>
    </row>
    <row r="122" spans="1:17" ht="15" thickTop="1">
      <c r="A122" s="597"/>
      <c r="B122" s="536" t="s">
        <v>2609</v>
      </c>
      <c r="C122" s="552"/>
      <c r="D122" s="552"/>
      <c r="E122" s="552"/>
      <c r="F122" s="581"/>
      <c r="G122" s="581"/>
      <c r="H122" s="581"/>
      <c r="I122" s="581"/>
      <c r="J122" s="581"/>
      <c r="K122" s="582"/>
      <c r="L122" s="583"/>
      <c r="M122" s="584"/>
      <c r="N122" s="1148"/>
      <c r="O122" s="1148"/>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26"/>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48"/>
      <c r="O124" s="1148"/>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6"/>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7"/>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7"/>
      <c r="Q127" s="557"/>
    </row>
    <row r="128" spans="1:17" ht="15" thickTop="1">
      <c r="A128" s="597"/>
      <c r="B128" s="536">
        <f>B45</f>
        <v>111</v>
      </c>
      <c r="C128" s="552"/>
      <c r="D128" s="552"/>
      <c r="E128" s="552"/>
      <c r="F128" s="552"/>
      <c r="G128" s="581"/>
      <c r="H128" s="581"/>
      <c r="I128" s="581"/>
      <c r="J128" s="581"/>
      <c r="K128" s="582"/>
      <c r="L128" s="583"/>
      <c r="M128" s="584"/>
      <c r="N128" s="1148"/>
      <c r="O128" s="1148"/>
      <c r="P128" s="2626"/>
      <c r="Q128" s="502"/>
    </row>
    <row r="129" spans="1:17" ht="15.75" thickBot="1">
      <c r="A129" s="532"/>
      <c r="B129" s="541"/>
      <c r="C129" s="558"/>
      <c r="D129" s="534"/>
      <c r="E129" s="534"/>
      <c r="F129" s="534"/>
      <c r="G129" s="534"/>
      <c r="H129" s="534"/>
      <c r="I129" s="534"/>
      <c r="J129" s="534"/>
      <c r="K129" s="534"/>
      <c r="L129" s="534"/>
      <c r="M129" s="535"/>
      <c r="N129" s="1149"/>
      <c r="O129" s="1149"/>
      <c r="P129" s="2626"/>
      <c r="Q129" s="502"/>
    </row>
    <row r="130" spans="1:17" ht="15" thickTop="1">
      <c r="A130" s="597"/>
      <c r="B130" s="544">
        <f>B46</f>
        <v>111</v>
      </c>
      <c r="C130" s="552"/>
      <c r="D130" s="552"/>
      <c r="E130" s="552"/>
      <c r="F130" s="552"/>
      <c r="G130" s="585"/>
      <c r="H130" s="585"/>
      <c r="I130" s="585"/>
      <c r="J130" s="585"/>
      <c r="K130" s="521"/>
      <c r="L130" s="522"/>
      <c r="M130" s="588"/>
      <c r="N130" s="1148"/>
      <c r="O130" s="1148"/>
      <c r="P130" s="2626"/>
      <c r="Q130" s="502"/>
    </row>
    <row r="131" spans="1:17" ht="15.75" thickBot="1">
      <c r="A131" s="2632"/>
      <c r="B131" s="567"/>
      <c r="C131" s="568"/>
      <c r="D131" s="568"/>
      <c r="E131" s="568"/>
      <c r="F131" s="568"/>
      <c r="G131" s="589"/>
      <c r="H131" s="589"/>
      <c r="I131" s="589"/>
      <c r="J131" s="589"/>
      <c r="K131" s="589"/>
      <c r="L131" s="589"/>
      <c r="M131" s="590"/>
      <c r="N131" s="1149"/>
      <c r="O131" s="1149"/>
      <c r="P131" s="262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665" t="s">
        <v>2675</v>
      </c>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2316</v>
      </c>
      <c r="B2" s="1414" t="e">
        <f ca="1">IF(C2="——",ROUND(C50*D3/10000,0),ROUND(C50*D3/10000,0)-D2)</f>
        <v>#DIV/0!</v>
      </c>
      <c r="C2" s="2582"/>
      <c r="D2" s="1361" t="e">
        <f ca="1">SUMIF(INDIRECT("'"&amp;F2&amp;"'"&amp;"!A:A"),"承租人权益价值",INDIRECT("'"&amp;F2&amp;"'"&amp;"!c:c"))</f>
        <v>#REF!</v>
      </c>
      <c r="E2" s="2583" t="s">
        <v>2317</v>
      </c>
      <c r="F2" s="2584"/>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 ca="1">IF(C2="——",C50,ROUND(B2*10000/D3,0))</f>
        <v>#DIV/0!</v>
      </c>
      <c r="C3" s="398" t="s">
        <v>2633</v>
      </c>
      <c r="D3" s="397">
        <f>IF(D1="",'数据-汇总表'!E3,SUMIF('数据-汇总表'!$C19:$C33,D1,'数据-汇总表'!$E19:$E33))</f>
        <v>28872.97</v>
      </c>
      <c r="E3" s="2659"/>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30" t="s">
        <v>2640</v>
      </c>
      <c r="Q4" s="3331"/>
      <c r="R4" s="3334" t="s">
        <v>2636</v>
      </c>
      <c r="S4" s="3335"/>
      <c r="T4" s="3334" t="s">
        <v>2637</v>
      </c>
      <c r="U4" s="3335"/>
      <c r="V4" s="3336" t="s">
        <v>2638</v>
      </c>
      <c r="W4" s="3336"/>
      <c r="X4" s="2666"/>
      <c r="Y4" s="3334" t="s">
        <v>2640</v>
      </c>
      <c r="Z4" s="3335"/>
      <c r="AA4" s="3338" t="s">
        <v>2636</v>
      </c>
      <c r="AB4" s="3338" t="s">
        <v>2637</v>
      </c>
      <c r="AC4" s="3327" t="s">
        <v>2638</v>
      </c>
    </row>
    <row r="5" spans="1:29" ht="15">
      <c r="A5" s="402"/>
      <c r="B5" s="403"/>
      <c r="C5" s="3315" t="s">
        <v>2531</v>
      </c>
      <c r="D5" s="3316"/>
      <c r="E5" s="3322" t="s">
        <v>2532</v>
      </c>
      <c r="F5" s="3323"/>
      <c r="G5" s="3315" t="s">
        <v>2533</v>
      </c>
      <c r="H5" s="3316"/>
      <c r="I5" s="3315" t="s">
        <v>2534</v>
      </c>
      <c r="J5" s="3316"/>
      <c r="K5" s="608"/>
      <c r="L5" s="1126"/>
      <c r="M5" s="1127"/>
      <c r="N5" s="1127"/>
      <c r="O5" s="1127"/>
      <c r="P5" s="3332"/>
      <c r="Q5" s="3303"/>
      <c r="R5" s="3308"/>
      <c r="S5" s="3309"/>
      <c r="T5" s="3308"/>
      <c r="U5" s="3309"/>
      <c r="V5" s="3312"/>
      <c r="W5" s="3312"/>
      <c r="X5" s="1809"/>
      <c r="Y5" s="3308"/>
      <c r="Z5" s="3309"/>
      <c r="AA5" s="3294"/>
      <c r="AB5" s="3294"/>
      <c r="AC5" s="3328"/>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33"/>
      <c r="Q6" s="3305"/>
      <c r="R6" s="3308"/>
      <c r="S6" s="3309"/>
      <c r="T6" s="3310"/>
      <c r="U6" s="3311"/>
      <c r="V6" s="3312"/>
      <c r="W6" s="3312"/>
      <c r="X6" s="1809"/>
      <c r="Y6" s="3310"/>
      <c r="Z6" s="3311"/>
      <c r="AA6" s="3295"/>
      <c r="AB6" s="3295"/>
      <c r="AC6" s="3329"/>
    </row>
    <row r="7" spans="1:29" s="115" customFormat="1" ht="15.75" thickBot="1">
      <c r="A7" s="406" t="s">
        <v>2537</v>
      </c>
      <c r="B7" s="407"/>
      <c r="C7" s="408">
        <f>'数据-取费表'!B2</f>
        <v>43566</v>
      </c>
      <c r="D7" s="409">
        <v>100</v>
      </c>
      <c r="E7" s="410"/>
      <c r="F7" s="411">
        <f>SUMIF(59:59,YEAR(E7)&amp;"-"&amp;MONTH(E7),60:60)</f>
        <v>0</v>
      </c>
      <c r="G7" s="410"/>
      <c r="H7" s="409">
        <f>SUMIF(59:59,YEAR(G7)&amp;"-"&amp;MONTH(G7),60:60)</f>
        <v>0</v>
      </c>
      <c r="I7" s="410"/>
      <c r="J7" s="409">
        <f>SUMIF(59:59,YEAR(I7)&amp;"-"&amp;MONTH(I7),60:60)</f>
        <v>0</v>
      </c>
      <c r="K7" s="609"/>
      <c r="L7" s="1128"/>
      <c r="M7" s="1129"/>
      <c r="N7" s="1129"/>
      <c r="O7" s="1129"/>
      <c r="P7" s="333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2667" t="e">
        <f>D7/J7</f>
        <v>#DIV/0!</v>
      </c>
    </row>
    <row r="8" spans="1:29" s="115" customFormat="1" ht="15.75" thickBot="1">
      <c r="A8" s="406" t="s">
        <v>2539</v>
      </c>
      <c r="B8" s="407"/>
      <c r="C8" s="412" t="s">
        <v>2641</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337" t="s">
        <v>2541</v>
      </c>
      <c r="Q8" s="3318"/>
      <c r="R8" s="768" t="s">
        <v>17</v>
      </c>
      <c r="S8" s="769">
        <f t="shared" si="0"/>
        <v>0</v>
      </c>
      <c r="T8" s="768" t="s">
        <v>17</v>
      </c>
      <c r="U8" s="769">
        <f t="shared" si="1"/>
        <v>0</v>
      </c>
      <c r="V8" s="768" t="s">
        <v>17</v>
      </c>
      <c r="W8" s="769">
        <f t="shared" si="2"/>
        <v>0</v>
      </c>
      <c r="X8" s="770"/>
      <c r="Y8" s="3317" t="s">
        <v>2541</v>
      </c>
      <c r="Z8" s="3318"/>
      <c r="AA8" s="771" t="e">
        <f t="shared" ref="AA8:AA47" si="3">D8/F8</f>
        <v>#DIV/0!</v>
      </c>
      <c r="AB8" s="771" t="e">
        <f t="shared" ref="AB8:AB47" si="4">D8/H8</f>
        <v>#DIV/0!</v>
      </c>
      <c r="AC8" s="2667" t="e">
        <f t="shared" ref="AC8:AC47" si="5">D8/J8</f>
        <v>#DIV/0!</v>
      </c>
    </row>
    <row r="9" spans="1:29" s="115" customFormat="1">
      <c r="A9" s="413" t="s">
        <v>2542</v>
      </c>
      <c r="B9" s="71" t="s">
        <v>2543</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292"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2667">
        <f t="shared" si="5"/>
        <v>1</v>
      </c>
    </row>
    <row r="10" spans="1:29" s="425" customFormat="1" ht="27">
      <c r="A10" s="419"/>
      <c r="B10" s="420" t="s">
        <v>2546</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292"/>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2667">
        <f t="shared" si="5"/>
        <v>1</v>
      </c>
    </row>
    <row r="11" spans="1:29" ht="15">
      <c r="A11" s="426"/>
      <c r="B11" s="420" t="s">
        <v>2547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292"/>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2667" t="e">
        <f t="shared" si="5"/>
        <v>#N/A</v>
      </c>
    </row>
    <row r="12" spans="1:29" s="115" customFormat="1" ht="15">
      <c r="A12" s="429"/>
      <c r="B12" s="2596">
        <v>111</v>
      </c>
      <c r="C12" s="430"/>
      <c r="D12" s="431">
        <v>100</v>
      </c>
      <c r="E12" s="430"/>
      <c r="F12" s="134">
        <f>SUMIF(71:71,E12,72:72)-SUMIF(71:71,C12,72:72)+100</f>
        <v>100</v>
      </c>
      <c r="G12" s="2668"/>
      <c r="H12" s="134">
        <f>SUMIF(71:71,G12,72:72)-SUMIF(71:71,C12,72:72)+100</f>
        <v>100</v>
      </c>
      <c r="I12" s="430"/>
      <c r="J12" s="134">
        <f>SUMIF(71:71,I12,72:72)-SUMIF(71:71,C12,72:72)+100</f>
        <v>100</v>
      </c>
      <c r="K12" s="611"/>
      <c r="L12" s="1128"/>
      <c r="M12" s="1129"/>
      <c r="N12" s="1129"/>
      <c r="O12" s="1129"/>
      <c r="P12" s="3292"/>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2667">
        <f>D12/J12</f>
        <v>1</v>
      </c>
    </row>
    <row r="13" spans="1:29" ht="15">
      <c r="A13" s="426"/>
      <c r="B13" s="2596">
        <v>111</v>
      </c>
      <c r="C13" s="432"/>
      <c r="D13" s="433">
        <v>100</v>
      </c>
      <c r="E13" s="430"/>
      <c r="F13" s="134">
        <f>SUMIF(73:73,E13,74:74)-SUMIF(73:73,C13,74:74)+100</f>
        <v>100</v>
      </c>
      <c r="G13" s="2668"/>
      <c r="H13" s="433">
        <f>SUMIF(73:73,G13,74:74)-SUMIF(73:73,C13,74:74)+100</f>
        <v>100</v>
      </c>
      <c r="I13" s="430"/>
      <c r="J13" s="433">
        <f>SUMIF(73:73,I13,74:74)-SUMIF(73:73,C13,74:74)+100</f>
        <v>100</v>
      </c>
      <c r="K13" s="611"/>
      <c r="L13" s="1136"/>
      <c r="M13" s="1127"/>
      <c r="N13" s="1127"/>
      <c r="O13" s="1127"/>
      <c r="P13" s="3292"/>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2667">
        <f t="shared" si="5"/>
        <v>1</v>
      </c>
    </row>
    <row r="14" spans="1:29" ht="15.75" thickBot="1">
      <c r="A14" s="434"/>
      <c r="B14" s="2598">
        <v>111</v>
      </c>
      <c r="C14" s="435"/>
      <c r="D14" s="436">
        <v>100</v>
      </c>
      <c r="E14" s="626"/>
      <c r="F14" s="436">
        <f>SUMIF(75:75,E14,76:76)-SUMIF(75:75,C14,76:76)+100</f>
        <v>100</v>
      </c>
      <c r="G14" s="2668"/>
      <c r="H14" s="436">
        <f>SUMIF(75:75,G14,76:76)-SUMIF(75:75,C14,76:76)+100</f>
        <v>100</v>
      </c>
      <c r="I14" s="430"/>
      <c r="J14" s="436">
        <f>SUMIF(75:75,I14,76:76)-SUMIF(75:75,C14,76:76)+100</f>
        <v>100</v>
      </c>
      <c r="K14" s="611"/>
      <c r="L14" s="1136"/>
      <c r="M14" s="1127"/>
      <c r="N14" s="1127"/>
      <c r="O14" s="1127"/>
      <c r="P14" s="3292"/>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2667">
        <f t="shared" si="5"/>
        <v>1</v>
      </c>
    </row>
    <row r="15" spans="1:29" ht="15">
      <c r="A15" s="438" t="s">
        <v>2548</v>
      </c>
      <c r="B15" s="627" t="s">
        <v>2676</v>
      </c>
      <c r="C15" s="2669">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290" t="s">
        <v>2549</v>
      </c>
      <c r="Q15" s="1806" t="str">
        <f t="shared" si="6"/>
        <v>办公集聚程度</v>
      </c>
      <c r="R15" s="772" t="s">
        <v>17</v>
      </c>
      <c r="S15" s="773">
        <f t="shared" si="0"/>
        <v>100</v>
      </c>
      <c r="T15" s="772" t="s">
        <v>17</v>
      </c>
      <c r="U15" s="773">
        <f t="shared" si="1"/>
        <v>100</v>
      </c>
      <c r="V15" s="772" t="s">
        <v>17</v>
      </c>
      <c r="W15" s="773">
        <f t="shared" si="2"/>
        <v>100</v>
      </c>
      <c r="X15" s="1809"/>
      <c r="Y15" s="3283" t="s">
        <v>2549</v>
      </c>
      <c r="Z15" s="1810" t="str">
        <f t="shared" si="7"/>
        <v>办公集聚程度</v>
      </c>
      <c r="AA15" s="1807">
        <f t="shared" si="3"/>
        <v>1</v>
      </c>
      <c r="AB15" s="1807">
        <f t="shared" si="4"/>
        <v>1</v>
      </c>
      <c r="AC15" s="2670">
        <f t="shared" si="5"/>
        <v>1</v>
      </c>
    </row>
    <row r="16" spans="1:29" ht="15">
      <c r="A16" s="426"/>
      <c r="B16" s="628"/>
      <c r="C16" s="2607"/>
      <c r="D16" s="446"/>
      <c r="E16" s="445"/>
      <c r="F16" s="446"/>
      <c r="G16" s="2607"/>
      <c r="H16" s="448"/>
      <c r="I16" s="445"/>
      <c r="J16" s="446"/>
      <c r="K16" s="613"/>
      <c r="L16" s="1136"/>
      <c r="M16" s="1127"/>
      <c r="N16" s="1127"/>
      <c r="O16" s="1127"/>
      <c r="P16" s="3291"/>
      <c r="Q16" s="1806"/>
      <c r="R16" s="772"/>
      <c r="S16" s="773"/>
      <c r="T16" s="772"/>
      <c r="U16" s="773"/>
      <c r="V16" s="772"/>
      <c r="W16" s="773"/>
      <c r="X16" s="1809"/>
      <c r="Y16" s="3284"/>
      <c r="Z16" s="1810"/>
      <c r="AA16" s="1807">
        <v>1</v>
      </c>
      <c r="AB16" s="1807">
        <v>1</v>
      </c>
      <c r="AC16" s="2670">
        <v>1</v>
      </c>
    </row>
    <row r="17" spans="1:29" ht="15">
      <c r="A17" s="426"/>
      <c r="B17" s="629" t="s">
        <v>2091</v>
      </c>
      <c r="C17" s="2671">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291"/>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2670">
        <f t="shared" si="5"/>
        <v>1</v>
      </c>
    </row>
    <row r="18" spans="1:29" ht="15">
      <c r="A18" s="426"/>
      <c r="B18" s="630"/>
      <c r="C18" s="2672"/>
      <c r="D18" s="448"/>
      <c r="E18" s="2605"/>
      <c r="F18" s="448"/>
      <c r="G18" s="2606"/>
      <c r="H18" s="446"/>
      <c r="I18" s="2606"/>
      <c r="J18" s="446"/>
      <c r="K18" s="613"/>
      <c r="L18" s="1136"/>
      <c r="M18" s="1127"/>
      <c r="N18" s="1127"/>
      <c r="O18" s="1127"/>
      <c r="P18" s="3291"/>
      <c r="Q18" s="1806"/>
      <c r="R18" s="772"/>
      <c r="S18" s="773"/>
      <c r="T18" s="772"/>
      <c r="U18" s="773"/>
      <c r="V18" s="772"/>
      <c r="W18" s="773"/>
      <c r="X18" s="1809"/>
      <c r="Y18" s="3284"/>
      <c r="Z18" s="1810"/>
      <c r="AA18" s="1807">
        <v>1</v>
      </c>
      <c r="AB18" s="1807">
        <v>1</v>
      </c>
      <c r="AC18" s="2670">
        <v>1</v>
      </c>
    </row>
    <row r="19" spans="1:29" ht="15">
      <c r="A19" s="426"/>
      <c r="B19" s="629" t="s">
        <v>2677</v>
      </c>
      <c r="C19" s="2671">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291"/>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2670">
        <f t="shared" si="5"/>
        <v>1</v>
      </c>
    </row>
    <row r="20" spans="1:29" ht="15">
      <c r="A20" s="426"/>
      <c r="B20" s="630"/>
      <c r="C20" s="2607"/>
      <c r="D20" s="446"/>
      <c r="E20" s="2600"/>
      <c r="F20" s="446"/>
      <c r="G20" s="2601"/>
      <c r="H20" s="446"/>
      <c r="I20" s="2601"/>
      <c r="J20" s="446"/>
      <c r="K20" s="613"/>
      <c r="L20" s="1136"/>
      <c r="M20" s="1127"/>
      <c r="N20" s="1127"/>
      <c r="O20" s="1127"/>
      <c r="P20" s="3291"/>
      <c r="Q20" s="1806"/>
      <c r="R20" s="772"/>
      <c r="S20" s="773"/>
      <c r="T20" s="772"/>
      <c r="U20" s="773"/>
      <c r="V20" s="772"/>
      <c r="W20" s="773"/>
      <c r="X20" s="1809"/>
      <c r="Y20" s="3284"/>
      <c r="Z20" s="1810"/>
      <c r="AA20" s="1807">
        <v>1</v>
      </c>
      <c r="AB20" s="1807">
        <v>1</v>
      </c>
      <c r="AC20" s="2670">
        <v>1</v>
      </c>
    </row>
    <row r="21" spans="1:29" ht="15">
      <c r="A21" s="426"/>
      <c r="B21" s="631" t="s">
        <v>2678</v>
      </c>
      <c r="C21" s="2671">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291"/>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2670">
        <f t="shared" ref="AC21" si="10">D21/J21</f>
        <v>1</v>
      </c>
    </row>
    <row r="22" spans="1:29" ht="15">
      <c r="A22" s="426"/>
      <c r="B22" s="631"/>
      <c r="C22" s="2672"/>
      <c r="D22" s="446"/>
      <c r="E22" s="445"/>
      <c r="F22" s="446"/>
      <c r="G22" s="2607"/>
      <c r="H22" s="446"/>
      <c r="I22" s="2607"/>
      <c r="J22" s="446"/>
      <c r="K22" s="1379"/>
      <c r="L22" s="1136"/>
      <c r="M22" s="1127"/>
      <c r="N22" s="1127"/>
      <c r="O22" s="1127"/>
      <c r="P22" s="3291"/>
      <c r="Q22" s="1806"/>
      <c r="R22" s="772"/>
      <c r="S22" s="773"/>
      <c r="T22" s="772"/>
      <c r="U22" s="773"/>
      <c r="V22" s="772"/>
      <c r="W22" s="773"/>
      <c r="X22" s="1809"/>
      <c r="Y22" s="3284"/>
      <c r="Z22" s="1810"/>
      <c r="AA22" s="1807">
        <v>1</v>
      </c>
      <c r="AB22" s="1807">
        <v>1</v>
      </c>
      <c r="AC22" s="2670">
        <v>1</v>
      </c>
    </row>
    <row r="23" spans="1:29" ht="15">
      <c r="A23" s="426"/>
      <c r="B23" s="629" t="s">
        <v>2679</v>
      </c>
      <c r="C23" s="2671">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291"/>
      <c r="Q23" s="1806" t="str">
        <f>B23</f>
        <v>环境质量</v>
      </c>
      <c r="R23" s="772" t="s">
        <v>17</v>
      </c>
      <c r="S23" s="773">
        <f>F23</f>
        <v>100</v>
      </c>
      <c r="T23" s="772" t="s">
        <v>17</v>
      </c>
      <c r="U23" s="773">
        <f>H23</f>
        <v>100</v>
      </c>
      <c r="V23" s="772" t="s">
        <v>17</v>
      </c>
      <c r="W23" s="773">
        <f>J23</f>
        <v>100</v>
      </c>
      <c r="X23" s="1809"/>
      <c r="Y23" s="3284"/>
      <c r="Z23" s="1810" t="str">
        <f>Q23</f>
        <v>环境质量</v>
      </c>
      <c r="AA23" s="1807">
        <f t="shared" si="3"/>
        <v>1</v>
      </c>
      <c r="AB23" s="1807">
        <f t="shared" si="4"/>
        <v>1</v>
      </c>
      <c r="AC23" s="2670">
        <f t="shared" si="5"/>
        <v>1</v>
      </c>
    </row>
    <row r="24" spans="1:29" ht="15">
      <c r="A24" s="426"/>
      <c r="B24" s="631"/>
      <c r="C24" s="2607"/>
      <c r="D24" s="446"/>
      <c r="E24" s="2600"/>
      <c r="F24" s="446"/>
      <c r="G24" s="2601"/>
      <c r="H24" s="446"/>
      <c r="I24" s="2601"/>
      <c r="J24" s="446"/>
      <c r="K24" s="613"/>
      <c r="L24" s="1136"/>
      <c r="M24" s="1127"/>
      <c r="N24" s="1127"/>
      <c r="O24" s="1127"/>
      <c r="P24" s="3291"/>
      <c r="Q24" s="1806"/>
      <c r="R24" s="772"/>
      <c r="S24" s="773"/>
      <c r="T24" s="772"/>
      <c r="U24" s="773"/>
      <c r="V24" s="772"/>
      <c r="W24" s="773"/>
      <c r="X24" s="1809"/>
      <c r="Y24" s="3284"/>
      <c r="Z24" s="1810"/>
      <c r="AA24" s="1807">
        <v>1</v>
      </c>
      <c r="AB24" s="1807">
        <v>1</v>
      </c>
      <c r="AC24" s="2670">
        <v>1</v>
      </c>
    </row>
    <row r="25" spans="1:29" ht="27">
      <c r="A25" s="402"/>
      <c r="B25" s="629" t="s">
        <v>2680</v>
      </c>
      <c r="C25" s="2611"/>
      <c r="D25" s="433">
        <v>100</v>
      </c>
      <c r="E25" s="432"/>
      <c r="F25" s="433">
        <f>SUMIF(87:87,E26,88:88)-SUMIF(87:87,C26,88:88)+100</f>
        <v>100</v>
      </c>
      <c r="G25" s="2611"/>
      <c r="H25" s="433">
        <f>SUMIF(87:87,G26,88:88)-SUMIF(87:87,C26,88:88)+100</f>
        <v>100</v>
      </c>
      <c r="I25" s="432"/>
      <c r="J25" s="433">
        <f>SUMIF(87:87,I26,88:88)-SUMIF(87:87,C26,88:88)+100</f>
        <v>100</v>
      </c>
      <c r="K25" s="612"/>
      <c r="L25" s="1136"/>
      <c r="M25" s="1127"/>
      <c r="N25" s="1127"/>
      <c r="O25" s="1127"/>
      <c r="P25" s="3291"/>
      <c r="Q25" s="1806" t="str">
        <f>B25</f>
        <v>毗邻道路的类型与等级</v>
      </c>
      <c r="R25" s="772" t="s">
        <v>17</v>
      </c>
      <c r="S25" s="773">
        <f>F25</f>
        <v>100</v>
      </c>
      <c r="T25" s="772" t="s">
        <v>17</v>
      </c>
      <c r="U25" s="773">
        <f>H25</f>
        <v>100</v>
      </c>
      <c r="V25" s="772" t="s">
        <v>17</v>
      </c>
      <c r="W25" s="773">
        <f>J25</f>
        <v>100</v>
      </c>
      <c r="X25" s="1809"/>
      <c r="Y25" s="3284"/>
      <c r="Z25" s="1810" t="str">
        <f>Q25</f>
        <v>毗邻道路的类型与等级</v>
      </c>
      <c r="AA25" s="1807">
        <f t="shared" si="3"/>
        <v>1</v>
      </c>
      <c r="AB25" s="1807">
        <f t="shared" si="4"/>
        <v>1</v>
      </c>
      <c r="AC25" s="2670">
        <f t="shared" si="5"/>
        <v>1</v>
      </c>
    </row>
    <row r="26" spans="1:29" ht="15">
      <c r="A26" s="402"/>
      <c r="B26" s="630"/>
      <c r="C26" s="632"/>
      <c r="D26" s="433"/>
      <c r="E26" s="614"/>
      <c r="F26" s="433"/>
      <c r="G26" s="632"/>
      <c r="H26" s="433"/>
      <c r="I26" s="614"/>
      <c r="J26" s="433"/>
      <c r="K26" s="613"/>
      <c r="L26" s="1136"/>
      <c r="M26" s="1127"/>
      <c r="N26" s="1127"/>
      <c r="O26" s="1127"/>
      <c r="P26" s="3291"/>
      <c r="Q26" s="1806"/>
      <c r="R26" s="772"/>
      <c r="S26" s="773"/>
      <c r="T26" s="772"/>
      <c r="U26" s="773"/>
      <c r="V26" s="772"/>
      <c r="W26" s="773"/>
      <c r="X26" s="1809"/>
      <c r="Y26" s="3284"/>
      <c r="Z26" s="1810"/>
      <c r="AA26" s="1807">
        <v>1</v>
      </c>
      <c r="AB26" s="1807">
        <v>1</v>
      </c>
      <c r="AC26" s="2670">
        <v>1</v>
      </c>
    </row>
    <row r="27" spans="1:29" ht="15">
      <c r="A27" s="426"/>
      <c r="B27" s="630" t="s">
        <v>2648</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291"/>
      <c r="Q27" s="1806" t="str">
        <f t="shared" ref="Q27:Q47" si="11">B27</f>
        <v>楼层</v>
      </c>
      <c r="R27" s="772" t="s">
        <v>17</v>
      </c>
      <c r="S27" s="773">
        <f>F27</f>
        <v>100</v>
      </c>
      <c r="T27" s="772" t="s">
        <v>17</v>
      </c>
      <c r="U27" s="773">
        <f>H27</f>
        <v>100</v>
      </c>
      <c r="V27" s="772" t="s">
        <v>17</v>
      </c>
      <c r="W27" s="773">
        <f>J27</f>
        <v>100</v>
      </c>
      <c r="X27" s="1809"/>
      <c r="Y27" s="3284"/>
      <c r="Z27" s="1810" t="str">
        <f>Q27</f>
        <v>楼层</v>
      </c>
      <c r="AA27" s="1807">
        <f t="shared" si="3"/>
        <v>1</v>
      </c>
      <c r="AB27" s="1807">
        <f t="shared" si="4"/>
        <v>1</v>
      </c>
      <c r="AC27" s="2670">
        <f t="shared" si="5"/>
        <v>1</v>
      </c>
    </row>
    <row r="28" spans="1:29" s="115" customFormat="1" ht="15">
      <c r="A28" s="429"/>
      <c r="B28" s="629" t="s">
        <v>2681</v>
      </c>
      <c r="C28" s="2673"/>
      <c r="D28" s="460">
        <v>100</v>
      </c>
      <c r="E28" s="2661"/>
      <c r="F28" s="460">
        <f>SUMIF(91:91,E28,92:92)-SUMIF(91:91,C28,92:92)+100</f>
        <v>100</v>
      </c>
      <c r="G28" s="2673"/>
      <c r="H28" s="460">
        <f>SUMIF(91:91,G28,92:92)-SUMIF(91:91,C28,92:92)+100</f>
        <v>100</v>
      </c>
      <c r="I28" s="2661"/>
      <c r="J28" s="460">
        <f>SUMIF(91:91,I28,92:92)-SUMIF(91:91,C28,92:92)+100</f>
        <v>100</v>
      </c>
      <c r="K28" s="610"/>
      <c r="L28" s="1128"/>
      <c r="M28" s="1129"/>
      <c r="N28" s="1129"/>
      <c r="O28" s="1129"/>
      <c r="P28" s="3291"/>
      <c r="Q28" s="1791" t="str">
        <f t="shared" si="11"/>
        <v>朝向</v>
      </c>
      <c r="R28" s="768" t="s">
        <v>17</v>
      </c>
      <c r="S28" s="769">
        <f>F28</f>
        <v>100</v>
      </c>
      <c r="T28" s="768" t="s">
        <v>17</v>
      </c>
      <c r="U28" s="769">
        <f>H28</f>
        <v>100</v>
      </c>
      <c r="V28" s="768" t="s">
        <v>17</v>
      </c>
      <c r="W28" s="769">
        <f>J28</f>
        <v>100</v>
      </c>
      <c r="X28" s="770"/>
      <c r="Y28" s="3284"/>
      <c r="Z28" s="55" t="str">
        <f>Q28</f>
        <v>朝向</v>
      </c>
      <c r="AA28" s="1807">
        <f>D28/F28</f>
        <v>1</v>
      </c>
      <c r="AB28" s="1807">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6"/>
      <c r="M29" s="1127"/>
      <c r="N29" s="1127"/>
      <c r="O29" s="1127"/>
      <c r="P29" s="3291"/>
      <c r="Q29" s="1806">
        <f t="shared" si="11"/>
        <v>111</v>
      </c>
      <c r="R29" s="772" t="s">
        <v>17</v>
      </c>
      <c r="S29" s="773">
        <f t="shared" ref="S29:S47" si="12">F29</f>
        <v>100</v>
      </c>
      <c r="T29" s="772" t="s">
        <v>17</v>
      </c>
      <c r="U29" s="773">
        <f t="shared" ref="U29:U47" si="13">H29</f>
        <v>100</v>
      </c>
      <c r="V29" s="772" t="s">
        <v>17</v>
      </c>
      <c r="W29" s="773">
        <f t="shared" ref="W29:W47" si="14">J29</f>
        <v>100</v>
      </c>
      <c r="X29" s="1809"/>
      <c r="Y29" s="3284"/>
      <c r="Z29" s="1810">
        <f t="shared" ref="Z29:Z47" si="15">Q29</f>
        <v>111</v>
      </c>
      <c r="AA29" s="1807">
        <f t="shared" si="3"/>
        <v>1</v>
      </c>
      <c r="AB29" s="1807">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6"/>
      <c r="M30" s="1127"/>
      <c r="N30" s="1127"/>
      <c r="O30" s="1127"/>
      <c r="P30" s="3291"/>
      <c r="Q30" s="1806">
        <f t="shared" si="11"/>
        <v>111</v>
      </c>
      <c r="R30" s="772" t="s">
        <v>17</v>
      </c>
      <c r="S30" s="773">
        <f t="shared" si="12"/>
        <v>100</v>
      </c>
      <c r="T30" s="772" t="s">
        <v>17</v>
      </c>
      <c r="U30" s="773">
        <f t="shared" si="13"/>
        <v>100</v>
      </c>
      <c r="V30" s="772" t="s">
        <v>17</v>
      </c>
      <c r="W30" s="773">
        <f t="shared" si="14"/>
        <v>100</v>
      </c>
      <c r="X30" s="1809"/>
      <c r="Y30" s="3284"/>
      <c r="Z30" s="1810">
        <f t="shared" si="15"/>
        <v>111</v>
      </c>
      <c r="AA30" s="1807">
        <f t="shared" si="3"/>
        <v>1</v>
      </c>
      <c r="AB30" s="1807">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6"/>
      <c r="M31" s="1127"/>
      <c r="N31" s="1127"/>
      <c r="O31" s="1127"/>
      <c r="P31" s="3291"/>
      <c r="Q31" s="1806">
        <f t="shared" si="11"/>
        <v>111</v>
      </c>
      <c r="R31" s="772" t="s">
        <v>17</v>
      </c>
      <c r="S31" s="773">
        <f t="shared" si="12"/>
        <v>100</v>
      </c>
      <c r="T31" s="772" t="s">
        <v>17</v>
      </c>
      <c r="U31" s="773">
        <f t="shared" si="13"/>
        <v>100</v>
      </c>
      <c r="V31" s="772" t="s">
        <v>17</v>
      </c>
      <c r="W31" s="773">
        <f t="shared" si="14"/>
        <v>100</v>
      </c>
      <c r="X31" s="1809"/>
      <c r="Y31" s="3284"/>
      <c r="Z31" s="1810">
        <f t="shared" si="15"/>
        <v>111</v>
      </c>
      <c r="AA31" s="1807">
        <f t="shared" si="3"/>
        <v>1</v>
      </c>
      <c r="AB31" s="1807">
        <f t="shared" si="4"/>
        <v>1</v>
      </c>
      <c r="AC31" s="2670">
        <f t="shared" si="5"/>
        <v>1</v>
      </c>
    </row>
    <row r="32" spans="1:29" ht="15.75" thickBot="1">
      <c r="A32" s="434"/>
      <c r="B32" s="633">
        <v>111</v>
      </c>
      <c r="C32" s="2612"/>
      <c r="D32" s="436">
        <v>100</v>
      </c>
      <c r="E32" s="626"/>
      <c r="F32" s="436">
        <f>SUMIF(99:99,E32,100:100)-SUMIF(99:99,C32,100:100)+100</f>
        <v>100</v>
      </c>
      <c r="G32" s="2668"/>
      <c r="H32" s="436">
        <f>SUMIF(99:99,G32,100:100)-SUMIF(99:99,C32,100:100)+100</f>
        <v>100</v>
      </c>
      <c r="I32" s="430"/>
      <c r="J32" s="436">
        <f>SUMIF(99:99,I32,100:100)-SUMIF(99:99,C32,100:100)+100</f>
        <v>100</v>
      </c>
      <c r="K32" s="611"/>
      <c r="L32" s="1136"/>
      <c r="M32" s="1127"/>
      <c r="N32" s="1127"/>
      <c r="O32" s="1127"/>
      <c r="P32" s="3291"/>
      <c r="Q32" s="1806">
        <f t="shared" si="11"/>
        <v>111</v>
      </c>
      <c r="R32" s="772" t="s">
        <v>17</v>
      </c>
      <c r="S32" s="773">
        <f t="shared" si="12"/>
        <v>100</v>
      </c>
      <c r="T32" s="772" t="s">
        <v>17</v>
      </c>
      <c r="U32" s="773">
        <f t="shared" si="13"/>
        <v>100</v>
      </c>
      <c r="V32" s="772" t="s">
        <v>17</v>
      </c>
      <c r="W32" s="773">
        <f t="shared" si="14"/>
        <v>100</v>
      </c>
      <c r="X32" s="1809"/>
      <c r="Y32" s="3284"/>
      <c r="Z32" s="1810">
        <f t="shared" si="15"/>
        <v>111</v>
      </c>
      <c r="AA32" s="1807">
        <f t="shared" si="3"/>
        <v>1</v>
      </c>
      <c r="AB32" s="1807">
        <f t="shared" si="4"/>
        <v>1</v>
      </c>
      <c r="AC32" s="2670">
        <f t="shared" si="5"/>
        <v>1</v>
      </c>
    </row>
    <row r="33" spans="1:29" ht="15">
      <c r="A33" s="438" t="s">
        <v>2552</v>
      </c>
      <c r="B33" s="71" t="s">
        <v>2682</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6"/>
      <c r="M33" s="1127"/>
      <c r="N33" s="1127"/>
      <c r="O33" s="1127"/>
      <c r="P33" s="3285" t="s">
        <v>2554</v>
      </c>
      <c r="Q33" s="1806" t="str">
        <f t="shared" si="11"/>
        <v>建筑类型</v>
      </c>
      <c r="R33" s="772" t="s">
        <v>17</v>
      </c>
      <c r="S33" s="773">
        <f t="shared" si="12"/>
        <v>100</v>
      </c>
      <c r="T33" s="772" t="s">
        <v>17</v>
      </c>
      <c r="U33" s="773">
        <f t="shared" si="13"/>
        <v>100</v>
      </c>
      <c r="V33" s="772" t="s">
        <v>17</v>
      </c>
      <c r="W33" s="773">
        <f t="shared" si="14"/>
        <v>100</v>
      </c>
      <c r="X33" s="1809"/>
      <c r="Y33" s="3288" t="s">
        <v>2554</v>
      </c>
      <c r="Z33" s="1810" t="str">
        <f t="shared" si="15"/>
        <v>建筑类型</v>
      </c>
      <c r="AA33" s="1807">
        <f t="shared" si="3"/>
        <v>1</v>
      </c>
      <c r="AB33" s="1807">
        <f t="shared" si="4"/>
        <v>1</v>
      </c>
      <c r="AC33" s="2670">
        <f t="shared" si="5"/>
        <v>1</v>
      </c>
    </row>
    <row r="34" spans="1:29" s="469" customFormat="1" ht="15">
      <c r="A34" s="466"/>
      <c r="B34" s="420" t="s">
        <v>2555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286"/>
      <c r="Q34" s="774" t="str">
        <f t="shared" si="11"/>
        <v>项目建筑规模</v>
      </c>
      <c r="R34" s="775" t="s">
        <v>17</v>
      </c>
      <c r="S34" s="776" t="e">
        <f t="shared" si="12"/>
        <v>#N/A</v>
      </c>
      <c r="T34" s="775" t="s">
        <v>17</v>
      </c>
      <c r="U34" s="776" t="e">
        <f t="shared" si="13"/>
        <v>#N/A</v>
      </c>
      <c r="V34" s="775" t="s">
        <v>17</v>
      </c>
      <c r="W34" s="776" t="e">
        <f t="shared" si="14"/>
        <v>#N/A</v>
      </c>
      <c r="X34" s="777"/>
      <c r="Y34" s="3288"/>
      <c r="Z34" s="778" t="str">
        <f t="shared" si="15"/>
        <v>项目建筑规模</v>
      </c>
      <c r="AA34" s="1807" t="e">
        <f t="shared" si="3"/>
        <v>#N/A</v>
      </c>
      <c r="AB34" s="1807" t="e">
        <f t="shared" si="4"/>
        <v>#N/A</v>
      </c>
      <c r="AC34" s="2670" t="e">
        <f t="shared" si="5"/>
        <v>#N/A</v>
      </c>
    </row>
    <row r="35" spans="1:29" ht="15">
      <c r="A35" s="470"/>
      <c r="B35" s="420" t="s">
        <v>2556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286"/>
      <c r="Q35" s="1806" t="str">
        <f t="shared" si="11"/>
        <v>建筑结构</v>
      </c>
      <c r="R35" s="772" t="s">
        <v>17</v>
      </c>
      <c r="S35" s="773">
        <f t="shared" si="12"/>
        <v>100</v>
      </c>
      <c r="T35" s="772" t="s">
        <v>17</v>
      </c>
      <c r="U35" s="773">
        <f t="shared" si="13"/>
        <v>100</v>
      </c>
      <c r="V35" s="772" t="s">
        <v>17</v>
      </c>
      <c r="W35" s="773">
        <f t="shared" si="14"/>
        <v>100</v>
      </c>
      <c r="X35" s="1809"/>
      <c r="Y35" s="3288"/>
      <c r="Z35" s="1810" t="str">
        <f t="shared" si="15"/>
        <v>建筑结构</v>
      </c>
      <c r="AA35" s="1807">
        <f t="shared" si="3"/>
        <v>1</v>
      </c>
      <c r="AB35" s="1807">
        <f t="shared" si="4"/>
        <v>1</v>
      </c>
      <c r="AC35" s="2670">
        <f t="shared" si="5"/>
        <v>1</v>
      </c>
    </row>
    <row r="36" spans="1:29" ht="15">
      <c r="A36" s="470"/>
      <c r="B36" s="420" t="s">
        <v>2650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286"/>
      <c r="Q36" s="1806" t="str">
        <f t="shared" si="11"/>
        <v>公共部分装修</v>
      </c>
      <c r="R36" s="772" t="s">
        <v>17</v>
      </c>
      <c r="S36" s="773">
        <f t="shared" si="12"/>
        <v>100</v>
      </c>
      <c r="T36" s="772" t="s">
        <v>17</v>
      </c>
      <c r="U36" s="773">
        <f t="shared" si="13"/>
        <v>100</v>
      </c>
      <c r="V36" s="772" t="s">
        <v>17</v>
      </c>
      <c r="W36" s="773">
        <f t="shared" si="14"/>
        <v>100</v>
      </c>
      <c r="X36" s="1809"/>
      <c r="Y36" s="3288"/>
      <c r="Z36" s="1810" t="str">
        <f t="shared" si="15"/>
        <v>公共部分装修</v>
      </c>
      <c r="AA36" s="1807">
        <f t="shared" si="3"/>
        <v>1</v>
      </c>
      <c r="AB36" s="1807">
        <f t="shared" si="4"/>
        <v>1</v>
      </c>
      <c r="AC36" s="2670">
        <f t="shared" si="5"/>
        <v>1</v>
      </c>
    </row>
    <row r="37" spans="1:29" ht="15">
      <c r="A37" s="470"/>
      <c r="B37" s="420" t="s">
        <v>2651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286"/>
      <c r="Q37" s="1806" t="str">
        <f t="shared" si="11"/>
        <v>成新度</v>
      </c>
      <c r="R37" s="772" t="s">
        <v>17</v>
      </c>
      <c r="S37" s="773" t="e">
        <f t="shared" si="12"/>
        <v>#N/A</v>
      </c>
      <c r="T37" s="772" t="s">
        <v>17</v>
      </c>
      <c r="U37" s="773" t="e">
        <f t="shared" si="13"/>
        <v>#N/A</v>
      </c>
      <c r="V37" s="772" t="s">
        <v>17</v>
      </c>
      <c r="W37" s="773" t="e">
        <f t="shared" si="14"/>
        <v>#N/A</v>
      </c>
      <c r="X37" s="1809"/>
      <c r="Y37" s="3288"/>
      <c r="Z37" s="1810" t="str">
        <f t="shared" si="15"/>
        <v>成新度</v>
      </c>
      <c r="AA37" s="1807" t="e">
        <f t="shared" si="3"/>
        <v>#N/A</v>
      </c>
      <c r="AB37" s="1807" t="e">
        <f t="shared" si="4"/>
        <v>#N/A</v>
      </c>
      <c r="AC37" s="2670" t="e">
        <f t="shared" si="5"/>
        <v>#N/A</v>
      </c>
    </row>
    <row r="38" spans="1:29" s="115" customFormat="1" ht="15">
      <c r="A38" s="471"/>
      <c r="B38" s="420" t="s">
        <v>2683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286"/>
      <c r="Q38" s="1791" t="str">
        <f t="shared" si="11"/>
        <v>写字楼等级</v>
      </c>
      <c r="R38" s="768" t="s">
        <v>17</v>
      </c>
      <c r="S38" s="769">
        <f t="shared" si="12"/>
        <v>100</v>
      </c>
      <c r="T38" s="768" t="s">
        <v>17</v>
      </c>
      <c r="U38" s="769">
        <f t="shared" si="13"/>
        <v>100</v>
      </c>
      <c r="V38" s="768" t="s">
        <v>17</v>
      </c>
      <c r="W38" s="769">
        <f t="shared" si="14"/>
        <v>100</v>
      </c>
      <c r="X38" s="770"/>
      <c r="Y38" s="3288"/>
      <c r="Z38" s="55" t="str">
        <f t="shared" si="15"/>
        <v>写字楼等级</v>
      </c>
      <c r="AA38" s="771">
        <f t="shared" si="3"/>
        <v>1</v>
      </c>
      <c r="AB38" s="771">
        <f t="shared" si="4"/>
        <v>1</v>
      </c>
      <c r="AC38" s="2667">
        <f t="shared" si="5"/>
        <v>1</v>
      </c>
    </row>
    <row r="39" spans="1:29" ht="15">
      <c r="A39" s="470"/>
      <c r="B39" s="420" t="s">
        <v>2684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286" t="s">
        <v>2554</v>
      </c>
      <c r="Q39" s="1806" t="str">
        <f t="shared" si="11"/>
        <v>物业管理</v>
      </c>
      <c r="R39" s="772" t="s">
        <v>17</v>
      </c>
      <c r="S39" s="773">
        <f t="shared" si="12"/>
        <v>100</v>
      </c>
      <c r="T39" s="772" t="s">
        <v>17</v>
      </c>
      <c r="U39" s="773">
        <f t="shared" si="13"/>
        <v>100</v>
      </c>
      <c r="V39" s="772" t="s">
        <v>17</v>
      </c>
      <c r="W39" s="773">
        <f t="shared" si="14"/>
        <v>100</v>
      </c>
      <c r="X39" s="1809"/>
      <c r="Y39" s="3288" t="s">
        <v>2554</v>
      </c>
      <c r="Z39" s="1810" t="str">
        <f t="shared" si="15"/>
        <v>物业管理</v>
      </c>
      <c r="AA39" s="1807">
        <f t="shared" si="3"/>
        <v>1</v>
      </c>
      <c r="AB39" s="1807">
        <f t="shared" si="4"/>
        <v>1</v>
      </c>
      <c r="AC39" s="2670">
        <f t="shared" si="5"/>
        <v>1</v>
      </c>
    </row>
    <row r="40" spans="1:29" ht="15">
      <c r="A40" s="470"/>
      <c r="B40" s="420" t="s">
        <v>2652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286"/>
      <c r="Q40" s="1806" t="str">
        <f t="shared" si="11"/>
        <v>市政基础设施</v>
      </c>
      <c r="R40" s="772" t="s">
        <v>17</v>
      </c>
      <c r="S40" s="773">
        <f t="shared" si="12"/>
        <v>100</v>
      </c>
      <c r="T40" s="772" t="s">
        <v>17</v>
      </c>
      <c r="U40" s="773">
        <f t="shared" si="13"/>
        <v>100</v>
      </c>
      <c r="V40" s="772" t="s">
        <v>17</v>
      </c>
      <c r="W40" s="773">
        <f t="shared" si="14"/>
        <v>100</v>
      </c>
      <c r="X40" s="1809"/>
      <c r="Y40" s="3288"/>
      <c r="Z40" s="1810" t="str">
        <f t="shared" si="15"/>
        <v>市政基础设施</v>
      </c>
      <c r="AA40" s="1807">
        <f t="shared" si="3"/>
        <v>1</v>
      </c>
      <c r="AB40" s="1807">
        <f t="shared" si="4"/>
        <v>1</v>
      </c>
      <c r="AC40" s="2670">
        <f t="shared" si="5"/>
        <v>1</v>
      </c>
    </row>
    <row r="41" spans="1:29" ht="15">
      <c r="A41" s="470"/>
      <c r="B41" s="420" t="s">
        <v>2654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286"/>
      <c r="Q41" s="1806" t="str">
        <f t="shared" si="11"/>
        <v>层高</v>
      </c>
      <c r="R41" s="772" t="s">
        <v>17</v>
      </c>
      <c r="S41" s="773">
        <f t="shared" si="12"/>
        <v>100</v>
      </c>
      <c r="T41" s="772" t="s">
        <v>17</v>
      </c>
      <c r="U41" s="773">
        <f t="shared" si="13"/>
        <v>100</v>
      </c>
      <c r="V41" s="772" t="s">
        <v>17</v>
      </c>
      <c r="W41" s="773">
        <f t="shared" si="14"/>
        <v>100</v>
      </c>
      <c r="X41" s="1809"/>
      <c r="Y41" s="3288"/>
      <c r="Z41" s="1810" t="str">
        <f t="shared" si="15"/>
        <v>层高</v>
      </c>
      <c r="AA41" s="1807">
        <f t="shared" si="3"/>
        <v>1</v>
      </c>
      <c r="AB41" s="1807">
        <f t="shared" si="4"/>
        <v>1</v>
      </c>
      <c r="AC41" s="2670">
        <f t="shared" si="5"/>
        <v>1</v>
      </c>
    </row>
    <row r="42" spans="1:29" s="469" customFormat="1" ht="15">
      <c r="A42" s="466"/>
      <c r="B42" s="1808" t="s">
        <v>2685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286"/>
      <c r="Q42" s="774" t="str">
        <f t="shared" si="11"/>
        <v>单套建筑面积</v>
      </c>
      <c r="R42" s="775" t="s">
        <v>17</v>
      </c>
      <c r="S42" s="776">
        <f t="shared" si="12"/>
        <v>100</v>
      </c>
      <c r="T42" s="775" t="s">
        <v>17</v>
      </c>
      <c r="U42" s="776">
        <f t="shared" si="13"/>
        <v>100</v>
      </c>
      <c r="V42" s="775" t="s">
        <v>17</v>
      </c>
      <c r="W42" s="776">
        <f t="shared" si="14"/>
        <v>100</v>
      </c>
      <c r="X42" s="777"/>
      <c r="Y42" s="3288"/>
      <c r="Z42" s="778" t="str">
        <f t="shared" si="15"/>
        <v>单套建筑面积</v>
      </c>
      <c r="AA42" s="1807">
        <f t="shared" si="3"/>
        <v>1</v>
      </c>
      <c r="AB42" s="1807">
        <f t="shared" si="4"/>
        <v>1</v>
      </c>
      <c r="AC42" s="2670">
        <f t="shared" si="5"/>
        <v>1</v>
      </c>
    </row>
    <row r="43" spans="1:29" ht="15">
      <c r="A43" s="470"/>
      <c r="B43" s="420" t="s">
        <v>2657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286"/>
      <c r="Q43" s="1806" t="str">
        <f t="shared" si="11"/>
        <v>内部装修</v>
      </c>
      <c r="R43" s="772" t="s">
        <v>17</v>
      </c>
      <c r="S43" s="773">
        <f t="shared" si="12"/>
        <v>100</v>
      </c>
      <c r="T43" s="772" t="s">
        <v>17</v>
      </c>
      <c r="U43" s="773">
        <f t="shared" si="13"/>
        <v>100</v>
      </c>
      <c r="V43" s="772" t="s">
        <v>17</v>
      </c>
      <c r="W43" s="773">
        <f t="shared" si="14"/>
        <v>100</v>
      </c>
      <c r="X43" s="1809"/>
      <c r="Y43" s="3288"/>
      <c r="Z43" s="1810" t="str">
        <f t="shared" si="15"/>
        <v>内部装修</v>
      </c>
      <c r="AA43" s="1807">
        <f t="shared" si="3"/>
        <v>1</v>
      </c>
      <c r="AB43" s="1807">
        <f t="shared" si="4"/>
        <v>1</v>
      </c>
      <c r="AC43" s="2670">
        <f t="shared" si="5"/>
        <v>1</v>
      </c>
    </row>
    <row r="44" spans="1:29" ht="15">
      <c r="A44" s="470"/>
      <c r="B44" s="420" t="s">
        <v>2565</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6"/>
      <c r="M44" s="1127"/>
      <c r="N44" s="1127"/>
      <c r="O44" s="1127"/>
      <c r="P44" s="3286"/>
      <c r="Q44" s="1806" t="str">
        <f t="shared" si="11"/>
        <v>内部装修维护情况</v>
      </c>
      <c r="R44" s="772" t="s">
        <v>17</v>
      </c>
      <c r="S44" s="773">
        <f t="shared" si="12"/>
        <v>100</v>
      </c>
      <c r="T44" s="772" t="s">
        <v>17</v>
      </c>
      <c r="U44" s="773">
        <f t="shared" si="13"/>
        <v>100</v>
      </c>
      <c r="V44" s="772" t="s">
        <v>17</v>
      </c>
      <c r="W44" s="773">
        <f t="shared" si="14"/>
        <v>100</v>
      </c>
      <c r="X44" s="1809"/>
      <c r="Y44" s="3288"/>
      <c r="Z44" s="1810" t="str">
        <f t="shared" si="15"/>
        <v>内部装修维护情况</v>
      </c>
      <c r="AA44" s="1807">
        <f t="shared" si="3"/>
        <v>1</v>
      </c>
      <c r="AB44" s="1807">
        <f t="shared" si="4"/>
        <v>1</v>
      </c>
      <c r="AC44" s="2670">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286"/>
      <c r="Q45" s="1791">
        <f t="shared" si="11"/>
        <v>111</v>
      </c>
      <c r="R45" s="768" t="s">
        <v>17</v>
      </c>
      <c r="S45" s="769">
        <f t="shared" si="12"/>
        <v>100</v>
      </c>
      <c r="T45" s="768" t="s">
        <v>17</v>
      </c>
      <c r="U45" s="769">
        <f t="shared" si="13"/>
        <v>100</v>
      </c>
      <c r="V45" s="768" t="s">
        <v>17</v>
      </c>
      <c r="W45" s="769">
        <f t="shared" si="14"/>
        <v>100</v>
      </c>
      <c r="X45" s="770"/>
      <c r="Y45" s="3288"/>
      <c r="Z45" s="55">
        <f t="shared" si="15"/>
        <v>111</v>
      </c>
      <c r="AA45" s="771">
        <f t="shared" si="3"/>
        <v>1</v>
      </c>
      <c r="AB45" s="771">
        <f t="shared" si="4"/>
        <v>1</v>
      </c>
      <c r="AC45" s="2667">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286"/>
      <c r="Q46" s="1806">
        <f t="shared" si="11"/>
        <v>111</v>
      </c>
      <c r="R46" s="772" t="s">
        <v>17</v>
      </c>
      <c r="S46" s="773">
        <f t="shared" si="12"/>
        <v>100</v>
      </c>
      <c r="T46" s="772" t="s">
        <v>17</v>
      </c>
      <c r="U46" s="773">
        <f t="shared" si="13"/>
        <v>100</v>
      </c>
      <c r="V46" s="772" t="s">
        <v>17</v>
      </c>
      <c r="W46" s="773">
        <f t="shared" si="14"/>
        <v>100</v>
      </c>
      <c r="X46" s="1809"/>
      <c r="Y46" s="3288"/>
      <c r="Z46" s="1810">
        <f t="shared" si="15"/>
        <v>111</v>
      </c>
      <c r="AA46" s="1807">
        <f t="shared" si="3"/>
        <v>1</v>
      </c>
      <c r="AB46" s="1807">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287"/>
      <c r="Q47" s="1806">
        <f t="shared" si="11"/>
        <v>111</v>
      </c>
      <c r="R47" s="772" t="s">
        <v>17</v>
      </c>
      <c r="S47" s="773">
        <f t="shared" si="12"/>
        <v>100</v>
      </c>
      <c r="T47" s="772" t="s">
        <v>17</v>
      </c>
      <c r="U47" s="773">
        <f t="shared" si="13"/>
        <v>100</v>
      </c>
      <c r="V47" s="772" t="s">
        <v>17</v>
      </c>
      <c r="W47" s="773">
        <f t="shared" si="14"/>
        <v>100</v>
      </c>
      <c r="X47" s="1809"/>
      <c r="Y47" s="3289"/>
      <c r="Z47" s="1810">
        <f t="shared" si="15"/>
        <v>111</v>
      </c>
      <c r="AA47" s="1807">
        <f t="shared" si="3"/>
        <v>1</v>
      </c>
      <c r="AB47" s="1807">
        <f t="shared" si="4"/>
        <v>1</v>
      </c>
      <c r="AC47" s="2670">
        <f t="shared" si="5"/>
        <v>1</v>
      </c>
    </row>
    <row r="48" spans="1:29" ht="15">
      <c r="A48" s="477" t="s">
        <v>2566</v>
      </c>
      <c r="B48" s="478"/>
      <c r="C48" s="1403" t="s">
        <v>1</v>
      </c>
      <c r="D48" s="1404"/>
      <c r="E48" s="1405"/>
      <c r="F48" s="1406"/>
      <c r="G48" s="1407"/>
      <c r="H48" s="1408"/>
      <c r="I48" s="1405"/>
      <c r="J48" s="483"/>
      <c r="K48" s="781"/>
      <c r="L48" s="1139"/>
      <c r="M48" s="1127"/>
      <c r="N48" s="1127"/>
      <c r="O48" s="1127"/>
      <c r="P48" s="3292" t="str">
        <f>A48</f>
        <v>成交单价（元/平方米）</v>
      </c>
      <c r="Q48" s="3281"/>
      <c r="R48" s="3282">
        <f>E48</f>
        <v>0</v>
      </c>
      <c r="S48" s="3282"/>
      <c r="T48" s="3282">
        <f>G48</f>
        <v>0</v>
      </c>
      <c r="U48" s="3282"/>
      <c r="V48" s="3282">
        <f>I48</f>
        <v>0</v>
      </c>
      <c r="W48" s="3282"/>
      <c r="X48" s="444"/>
      <c r="Y48" s="779"/>
      <c r="Z48" s="444"/>
      <c r="AA48" s="444"/>
      <c r="AB48" s="444"/>
      <c r="AC48" s="628"/>
    </row>
    <row r="49" spans="1:29" ht="15.75" thickBot="1">
      <c r="A49" s="484" t="s">
        <v>2658</v>
      </c>
      <c r="B49" s="485"/>
      <c r="C49" s="1409" t="e">
        <f>R50</f>
        <v>#DIV/0!</v>
      </c>
      <c r="D49" s="1410"/>
      <c r="E49" s="1411" t="e">
        <f>R49</f>
        <v>#DIV/0!</v>
      </c>
      <c r="F49" s="1411"/>
      <c r="G49" s="1409" t="e">
        <f>T49</f>
        <v>#DIV/0!</v>
      </c>
      <c r="H49" s="1410"/>
      <c r="I49" s="1411" t="e">
        <f>V49</f>
        <v>#DIV/0!</v>
      </c>
      <c r="J49" s="487"/>
      <c r="K49" s="782"/>
      <c r="L49" s="1139"/>
      <c r="M49" s="1127"/>
      <c r="N49" s="1127"/>
      <c r="O49" s="1127"/>
      <c r="P49" s="3292"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4"/>
      <c r="Y49" s="444"/>
      <c r="Z49" s="444"/>
      <c r="AA49" s="444"/>
      <c r="AB49" s="444"/>
      <c r="AC49" s="628"/>
    </row>
    <row r="50" spans="1:29" ht="15.75" thickBot="1">
      <c r="A50" s="490" t="s">
        <v>2659</v>
      </c>
      <c r="B50" s="491"/>
      <c r="C50" s="1413" t="e">
        <f>R50</f>
        <v>#DIV/0!</v>
      </c>
      <c r="D50" s="1413"/>
      <c r="E50" s="1413"/>
      <c r="F50" s="1413"/>
      <c r="G50" s="1413"/>
      <c r="H50" s="1413"/>
      <c r="I50" s="1413"/>
      <c r="J50" s="492"/>
      <c r="K50" s="783"/>
      <c r="L50" s="1139"/>
      <c r="M50" s="1127"/>
      <c r="N50" s="1127"/>
      <c r="O50" s="1127"/>
      <c r="P50" s="3324" t="str">
        <f>A50</f>
        <v>估价对象XX用房的比较价值（楼面单价，元/平方米）</v>
      </c>
      <c r="Q50" s="3325"/>
      <c r="R50" s="3326" t="e">
        <f>IF(F1="售价",ROUND(AVERAGE(R49:V49),0),ROUND(AVERAGE(R49:V49),1))</f>
        <v>#DIV/0!</v>
      </c>
      <c r="S50" s="3326"/>
      <c r="T50" s="3326"/>
      <c r="U50" s="3326"/>
      <c r="V50" s="3326"/>
      <c r="W50" s="3326"/>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2660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2661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2662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6"/>
    </row>
    <row r="56" spans="1:29" s="500"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1" t="s">
        <v>2663</v>
      </c>
      <c r="B58" s="757"/>
      <c r="C58" s="762"/>
      <c r="D58" s="762"/>
      <c r="E58" s="762"/>
      <c r="F58" s="763"/>
      <c r="G58" s="763"/>
      <c r="H58" s="762"/>
      <c r="I58" s="762"/>
      <c r="J58" s="762"/>
      <c r="K58" s="764"/>
      <c r="L58" s="1157"/>
      <c r="M58" s="1155"/>
      <c r="N58" s="1155"/>
      <c r="O58" s="1155"/>
      <c r="P58" s="2677"/>
      <c r="Q58" s="502"/>
    </row>
    <row r="59" spans="1:29" s="506" customFormat="1" ht="15">
      <c r="A59" s="503" t="s">
        <v>2537</v>
      </c>
      <c r="B59" s="504"/>
      <c r="C59" s="1570" t="str">
        <f>YEAR(C7)&amp;"-"&amp;MONTH(C7)</f>
        <v>2019-4</v>
      </c>
      <c r="D59" s="1571">
        <f>EDATE(C59,-1)</f>
        <v>43525</v>
      </c>
      <c r="E59" s="1571">
        <f>EDATE(D59,-1)</f>
        <v>43497</v>
      </c>
      <c r="F59" s="1571">
        <f t="shared" ref="F59:O59" si="16">EDATE(E59,-1)</f>
        <v>43466</v>
      </c>
      <c r="G59" s="1571">
        <f t="shared" si="16"/>
        <v>43435</v>
      </c>
      <c r="H59" s="1571">
        <f t="shared" si="16"/>
        <v>43405</v>
      </c>
      <c r="I59" s="1571">
        <f t="shared" si="16"/>
        <v>43374</v>
      </c>
      <c r="J59" s="1571">
        <f t="shared" si="16"/>
        <v>43344</v>
      </c>
      <c r="K59" s="1571">
        <f t="shared" si="16"/>
        <v>43313</v>
      </c>
      <c r="L59" s="1571">
        <f t="shared" si="16"/>
        <v>43282</v>
      </c>
      <c r="M59" s="1571">
        <f t="shared" si="16"/>
        <v>43252</v>
      </c>
      <c r="N59" s="1571">
        <f t="shared" si="16"/>
        <v>43221</v>
      </c>
      <c r="O59" s="1571">
        <f t="shared" si="16"/>
        <v>43191</v>
      </c>
      <c r="P59" s="1567"/>
    </row>
    <row r="60" spans="1:29" s="115" customFormat="1" ht="15">
      <c r="A60" s="507"/>
      <c r="B60" s="508"/>
      <c r="C60" s="1569">
        <v>100</v>
      </c>
      <c r="D60" s="510"/>
      <c r="E60" s="510"/>
      <c r="F60" s="510"/>
      <c r="G60" s="510"/>
      <c r="H60" s="510"/>
      <c r="I60" s="510"/>
      <c r="J60" s="510"/>
      <c r="K60" s="510"/>
      <c r="L60" s="510"/>
      <c r="M60" s="511"/>
      <c r="N60" s="510"/>
      <c r="O60" s="511"/>
      <c r="P60" s="2678"/>
    </row>
    <row r="61" spans="1:29" s="115" customFormat="1" ht="15.75" thickBot="1">
      <c r="A61" s="513" t="s">
        <v>2574</v>
      </c>
      <c r="B61" s="514"/>
      <c r="C61" s="515"/>
      <c r="D61" s="516"/>
      <c r="E61" s="516"/>
      <c r="F61" s="516"/>
      <c r="G61" s="516"/>
      <c r="H61" s="516"/>
      <c r="I61" s="516"/>
      <c r="J61" s="516"/>
      <c r="K61" s="516"/>
      <c r="L61" s="516"/>
      <c r="M61" s="517"/>
      <c r="N61" s="516"/>
      <c r="O61" s="517"/>
      <c r="P61" s="2678"/>
      <c r="Q61" s="502"/>
    </row>
    <row r="62" spans="1:29" s="115" customFormat="1" ht="15">
      <c r="A62" s="519" t="s">
        <v>2539</v>
      </c>
      <c r="B62" s="508"/>
      <c r="C62" s="520" t="s">
        <v>2641</v>
      </c>
      <c r="D62" s="521"/>
      <c r="E62" s="521"/>
      <c r="F62" s="521"/>
      <c r="G62" s="521"/>
      <c r="H62" s="521"/>
      <c r="I62" s="521"/>
      <c r="J62" s="521"/>
      <c r="K62" s="521"/>
      <c r="L62" s="522"/>
      <c r="M62" s="523"/>
      <c r="N62" s="1147"/>
      <c r="O62" s="1147"/>
      <c r="P62" s="2679"/>
      <c r="Q62" s="502"/>
    </row>
    <row r="63" spans="1:29" s="115" customFormat="1" ht="15.75" thickBot="1">
      <c r="A63" s="519"/>
      <c r="B63" s="508"/>
      <c r="C63" s="509">
        <v>100</v>
      </c>
      <c r="D63" s="510"/>
      <c r="E63" s="510"/>
      <c r="F63" s="510"/>
      <c r="G63" s="510"/>
      <c r="H63" s="510"/>
      <c r="I63" s="510"/>
      <c r="J63" s="510"/>
      <c r="K63" s="510"/>
      <c r="L63" s="510"/>
      <c r="M63" s="512"/>
      <c r="N63" s="1147"/>
      <c r="O63" s="1147"/>
      <c r="P63" s="2678"/>
      <c r="Q63" s="502"/>
    </row>
    <row r="64" spans="1:29">
      <c r="A64" s="525" t="s">
        <v>2577</v>
      </c>
      <c r="B64" s="526" t="s">
        <v>2543</v>
      </c>
      <c r="C64" s="527">
        <f>C9</f>
        <v>0</v>
      </c>
      <c r="D64" s="528"/>
      <c r="E64" s="528"/>
      <c r="F64" s="528"/>
      <c r="G64" s="528"/>
      <c r="H64" s="528"/>
      <c r="I64" s="528"/>
      <c r="J64" s="528"/>
      <c r="K64" s="529"/>
      <c r="L64" s="530"/>
      <c r="M64" s="531"/>
      <c r="N64" s="1148"/>
      <c r="O64" s="1148"/>
      <c r="P64" s="2680"/>
      <c r="Q64" s="502"/>
    </row>
    <row r="65" spans="1:17" ht="15.75" thickBot="1">
      <c r="A65" s="532"/>
      <c r="B65" s="533"/>
      <c r="C65" s="534">
        <v>100</v>
      </c>
      <c r="D65" s="534"/>
      <c r="E65" s="534"/>
      <c r="F65" s="534"/>
      <c r="G65" s="534"/>
      <c r="H65" s="534"/>
      <c r="I65" s="534"/>
      <c r="J65" s="534"/>
      <c r="K65" s="534"/>
      <c r="L65" s="534"/>
      <c r="M65" s="535"/>
      <c r="N65" s="1149"/>
      <c r="O65" s="1149"/>
      <c r="P65" s="2680"/>
      <c r="Q65" s="502"/>
    </row>
    <row r="66" spans="1:17" ht="27.75" thickTop="1">
      <c r="A66" s="532"/>
      <c r="B66" s="536" t="s">
        <v>2546</v>
      </c>
      <c r="C66" s="537" t="s">
        <v>2578</v>
      </c>
      <c r="D66" s="537" t="s">
        <v>2579</v>
      </c>
      <c r="E66" s="537" t="s">
        <v>2580</v>
      </c>
      <c r="F66" s="537" t="s">
        <v>2581</v>
      </c>
      <c r="G66" s="537" t="s">
        <v>2582</v>
      </c>
      <c r="H66" s="537" t="s">
        <v>2583</v>
      </c>
      <c r="I66" s="537" t="s">
        <v>2584</v>
      </c>
      <c r="J66" s="537"/>
      <c r="K66" s="538"/>
      <c r="L66" s="539"/>
      <c r="M66" s="540"/>
      <c r="N66" s="1148"/>
      <c r="O66" s="1148"/>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80"/>
      <c r="Q67" s="502"/>
    </row>
    <row r="68" spans="1:17" ht="15.75" thickTop="1">
      <c r="A68" s="532"/>
      <c r="B68" s="544" t="s">
        <v>2547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80"/>
      <c r="Q68" s="502"/>
    </row>
    <row r="69" spans="1:17" ht="15">
      <c r="A69" s="532"/>
      <c r="B69" s="546"/>
      <c r="C69" s="547"/>
      <c r="D69" s="547"/>
      <c r="E69" s="547"/>
      <c r="F69" s="547"/>
      <c r="G69" s="547"/>
      <c r="H69" s="547"/>
      <c r="I69" s="547"/>
      <c r="J69" s="547"/>
      <c r="K69" s="548"/>
      <c r="L69" s="549"/>
      <c r="M69" s="550"/>
      <c r="N69" s="1148"/>
      <c r="O69" s="1148"/>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80"/>
      <c r="Q70" s="502"/>
    </row>
    <row r="71" spans="1:17" s="469" customFormat="1" ht="15.75" thickTop="1">
      <c r="A71" s="551"/>
      <c r="B71" s="536">
        <f>B12</f>
        <v>111</v>
      </c>
      <c r="C71" s="552"/>
      <c r="D71" s="552"/>
      <c r="E71" s="552"/>
      <c r="F71" s="552"/>
      <c r="G71" s="552"/>
      <c r="H71" s="553"/>
      <c r="I71" s="553"/>
      <c r="J71" s="553"/>
      <c r="K71" s="553"/>
      <c r="L71" s="554"/>
      <c r="M71" s="555"/>
      <c r="N71" s="1150"/>
      <c r="O71" s="1150"/>
      <c r="P71" s="2681"/>
      <c r="Q71" s="557"/>
    </row>
    <row r="72" spans="1:17" s="469" customFormat="1" ht="15.75" thickBot="1">
      <c r="A72" s="551"/>
      <c r="B72" s="541"/>
      <c r="C72" s="558"/>
      <c r="D72" s="534"/>
      <c r="E72" s="534"/>
      <c r="F72" s="534"/>
      <c r="G72" s="534"/>
      <c r="H72" s="534"/>
      <c r="I72" s="534"/>
      <c r="J72" s="534"/>
      <c r="K72" s="534"/>
      <c r="L72" s="534"/>
      <c r="M72" s="535"/>
      <c r="N72" s="1149"/>
      <c r="O72" s="1149"/>
      <c r="P72" s="2681"/>
      <c r="Q72" s="557"/>
    </row>
    <row r="73" spans="1:17" s="469" customFormat="1" ht="15.75" thickTop="1">
      <c r="A73" s="551"/>
      <c r="B73" s="536">
        <f>B13</f>
        <v>111</v>
      </c>
      <c r="C73" s="552"/>
      <c r="D73" s="552"/>
      <c r="E73" s="552"/>
      <c r="F73" s="552"/>
      <c r="G73" s="552"/>
      <c r="H73" s="553"/>
      <c r="I73" s="553"/>
      <c r="J73" s="553"/>
      <c r="K73" s="553"/>
      <c r="L73" s="554"/>
      <c r="M73" s="555"/>
      <c r="N73" s="1150"/>
      <c r="O73" s="1150"/>
      <c r="P73" s="2682"/>
      <c r="Q73" s="559"/>
    </row>
    <row r="74" spans="1:17" s="469" customFormat="1" ht="15.75" thickBot="1">
      <c r="A74" s="551"/>
      <c r="B74" s="541"/>
      <c r="C74" s="558"/>
      <c r="D74" s="558"/>
      <c r="E74" s="558"/>
      <c r="F74" s="558"/>
      <c r="G74" s="558"/>
      <c r="H74" s="560"/>
      <c r="I74" s="560"/>
      <c r="J74" s="560"/>
      <c r="K74" s="560"/>
      <c r="L74" s="560"/>
      <c r="M74" s="561"/>
      <c r="N74" s="1150"/>
      <c r="O74" s="1150"/>
      <c r="P74" s="2681"/>
      <c r="Q74" s="557"/>
    </row>
    <row r="75" spans="1:17" s="469" customFormat="1" ht="15.75" thickTop="1">
      <c r="A75" s="551"/>
      <c r="B75" s="544">
        <f>B14</f>
        <v>111</v>
      </c>
      <c r="C75" s="521"/>
      <c r="D75" s="521"/>
      <c r="E75" s="521"/>
      <c r="F75" s="521"/>
      <c r="G75" s="521"/>
      <c r="H75" s="562"/>
      <c r="I75" s="562"/>
      <c r="J75" s="562"/>
      <c r="K75" s="562"/>
      <c r="L75" s="563"/>
      <c r="M75" s="564"/>
      <c r="N75" s="1150"/>
      <c r="O75" s="1150"/>
      <c r="P75" s="2683"/>
      <c r="Q75" s="557"/>
    </row>
    <row r="76" spans="1:17" s="469" customFormat="1" ht="15.75" thickBot="1">
      <c r="A76" s="566"/>
      <c r="B76" s="567"/>
      <c r="C76" s="568"/>
      <c r="D76" s="568"/>
      <c r="E76" s="568"/>
      <c r="F76" s="568"/>
      <c r="G76" s="568"/>
      <c r="H76" s="569"/>
      <c r="I76" s="569"/>
      <c r="J76" s="569"/>
      <c r="K76" s="569"/>
      <c r="L76" s="569"/>
      <c r="M76" s="570"/>
      <c r="N76" s="1150"/>
      <c r="O76" s="1150"/>
      <c r="P76" s="2681"/>
      <c r="Q76" s="557"/>
    </row>
    <row r="77" spans="1:17">
      <c r="A77" s="525" t="s">
        <v>2548</v>
      </c>
      <c r="B77" s="526" t="s">
        <v>2686</v>
      </c>
      <c r="C77" s="571" t="s">
        <v>2586</v>
      </c>
      <c r="D77" s="571" t="s">
        <v>2587</v>
      </c>
      <c r="E77" s="571" t="s">
        <v>2588</v>
      </c>
      <c r="F77" s="571" t="s">
        <v>2589</v>
      </c>
      <c r="G77" s="571" t="s">
        <v>2590</v>
      </c>
      <c r="H77" s="527"/>
      <c r="I77" s="527"/>
      <c r="J77" s="527"/>
      <c r="K77" s="572"/>
      <c r="L77" s="573"/>
      <c r="M77" s="574"/>
      <c r="N77" s="1148"/>
      <c r="O77" s="1148"/>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80"/>
      <c r="Q78" s="502"/>
    </row>
    <row r="79" spans="1:17" ht="15.75" thickTop="1">
      <c r="A79" s="532"/>
      <c r="B79" s="536" t="s">
        <v>2591</v>
      </c>
      <c r="C79" s="576" t="s">
        <v>2586</v>
      </c>
      <c r="D79" s="576" t="s">
        <v>2587</v>
      </c>
      <c r="E79" s="576" t="s">
        <v>2588</v>
      </c>
      <c r="F79" s="576" t="s">
        <v>2589</v>
      </c>
      <c r="G79" s="576" t="s">
        <v>2590</v>
      </c>
      <c r="H79" s="537"/>
      <c r="I79" s="537"/>
      <c r="J79" s="537"/>
      <c r="K79" s="538"/>
      <c r="L79" s="539"/>
      <c r="M79" s="540"/>
      <c r="N79" s="1148"/>
      <c r="O79" s="1148"/>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80"/>
      <c r="Q80" s="502"/>
    </row>
    <row r="81" spans="1:17" ht="15.75" thickTop="1">
      <c r="A81" s="532"/>
      <c r="B81" s="536" t="s">
        <v>2592</v>
      </c>
      <c r="C81" s="576" t="s">
        <v>2586</v>
      </c>
      <c r="D81" s="576" t="s">
        <v>2587</v>
      </c>
      <c r="E81" s="576" t="s">
        <v>2588</v>
      </c>
      <c r="F81" s="576" t="s">
        <v>2589</v>
      </c>
      <c r="G81" s="576" t="s">
        <v>2590</v>
      </c>
      <c r="H81" s="537"/>
      <c r="I81" s="537"/>
      <c r="J81" s="537"/>
      <c r="K81" s="538"/>
      <c r="L81" s="539"/>
      <c r="M81" s="540"/>
      <c r="N81" s="1148"/>
      <c r="O81" s="1148"/>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80"/>
      <c r="Q82" s="502"/>
    </row>
    <row r="83" spans="1:17" ht="15.75" thickTop="1">
      <c r="A83" s="532"/>
      <c r="B83" s="544" t="s">
        <v>2678</v>
      </c>
      <c r="C83" s="658" t="s">
        <v>2664</v>
      </c>
      <c r="D83" s="658" t="s">
        <v>2665</v>
      </c>
      <c r="E83" s="658" t="s">
        <v>2666</v>
      </c>
      <c r="F83" s="658" t="s">
        <v>2667</v>
      </c>
      <c r="G83" s="658" t="s">
        <v>2668</v>
      </c>
      <c r="H83" s="537"/>
      <c r="I83" s="537"/>
      <c r="J83" s="537"/>
      <c r="K83" s="537"/>
      <c r="L83" s="537"/>
      <c r="M83" s="1378"/>
      <c r="N83" s="1149"/>
      <c r="O83" s="1149"/>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80"/>
      <c r="Q84" s="502"/>
    </row>
    <row r="85" spans="1:17" ht="15.75" thickTop="1">
      <c r="A85" s="532"/>
      <c r="B85" s="536" t="s">
        <v>2687</v>
      </c>
      <c r="C85" s="576" t="s">
        <v>2586</v>
      </c>
      <c r="D85" s="576" t="s">
        <v>2587</v>
      </c>
      <c r="E85" s="576" t="s">
        <v>2588</v>
      </c>
      <c r="F85" s="576" t="s">
        <v>2589</v>
      </c>
      <c r="G85" s="576" t="s">
        <v>2590</v>
      </c>
      <c r="H85" s="537"/>
      <c r="I85" s="537"/>
      <c r="J85" s="537"/>
      <c r="K85" s="538"/>
      <c r="L85" s="539"/>
      <c r="M85" s="540"/>
      <c r="N85" s="1148"/>
      <c r="O85" s="1148"/>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80"/>
      <c r="Q86" s="502"/>
    </row>
    <row r="87" spans="1:17" s="115" customFormat="1" ht="27.75" thickTop="1">
      <c r="A87" s="577"/>
      <c r="B87" s="536" t="s">
        <v>2688</v>
      </c>
      <c r="C87" s="552"/>
      <c r="D87" s="552"/>
      <c r="E87" s="552"/>
      <c r="F87" s="552"/>
      <c r="G87" s="552"/>
      <c r="H87" s="552"/>
      <c r="I87" s="552"/>
      <c r="J87" s="552"/>
      <c r="K87" s="552"/>
      <c r="L87" s="578"/>
      <c r="M87" s="579"/>
      <c r="N87" s="1147"/>
      <c r="O87" s="1147"/>
      <c r="P87" s="2680"/>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80"/>
      <c r="Q88" s="502"/>
    </row>
    <row r="89" spans="1:17" s="115" customFormat="1" ht="15.75" thickTop="1">
      <c r="A89" s="577"/>
      <c r="B89" s="536" t="str">
        <f>B27</f>
        <v>楼层</v>
      </c>
      <c r="C89" s="552"/>
      <c r="D89" s="552"/>
      <c r="E89" s="552"/>
      <c r="F89" s="2631"/>
      <c r="G89" s="552"/>
      <c r="H89" s="552"/>
      <c r="I89" s="552"/>
      <c r="J89" s="552"/>
      <c r="K89" s="552"/>
      <c r="L89" s="552"/>
      <c r="M89" s="579"/>
      <c r="N89" s="1147"/>
      <c r="O89" s="1147"/>
      <c r="P89" s="2680"/>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80"/>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1"/>
      <c r="Q92" s="557"/>
    </row>
    <row r="93" spans="1:17" ht="15.75" thickTop="1">
      <c r="A93" s="532"/>
      <c r="B93" s="536">
        <f>B29</f>
        <v>111</v>
      </c>
      <c r="C93" s="552"/>
      <c r="D93" s="552"/>
      <c r="E93" s="552"/>
      <c r="F93" s="552"/>
      <c r="G93" s="552"/>
      <c r="H93" s="552"/>
      <c r="I93" s="552"/>
      <c r="J93" s="552"/>
      <c r="K93" s="552"/>
      <c r="L93" s="578"/>
      <c r="M93" s="579"/>
      <c r="N93" s="1148"/>
      <c r="O93" s="1148"/>
      <c r="P93" s="2680"/>
      <c r="Q93" s="502"/>
    </row>
    <row r="94" spans="1:17" ht="15.75" thickBot="1">
      <c r="A94" s="532"/>
      <c r="B94" s="541"/>
      <c r="C94" s="558"/>
      <c r="D94" s="534"/>
      <c r="E94" s="534"/>
      <c r="F94" s="534"/>
      <c r="G94" s="534"/>
      <c r="H94" s="534"/>
      <c r="I94" s="534"/>
      <c r="J94" s="534"/>
      <c r="K94" s="534"/>
      <c r="L94" s="534"/>
      <c r="M94" s="535"/>
      <c r="N94" s="1149"/>
      <c r="O94" s="1149"/>
      <c r="P94" s="2680"/>
      <c r="Q94" s="502"/>
    </row>
    <row r="95" spans="1:17" ht="15.75" thickTop="1">
      <c r="A95" s="532"/>
      <c r="B95" s="536">
        <f>B30</f>
        <v>111</v>
      </c>
      <c r="C95" s="552"/>
      <c r="D95" s="552"/>
      <c r="E95" s="552"/>
      <c r="F95" s="552"/>
      <c r="G95" s="581"/>
      <c r="H95" s="581"/>
      <c r="I95" s="581"/>
      <c r="J95" s="581"/>
      <c r="K95" s="582"/>
      <c r="L95" s="583"/>
      <c r="M95" s="584"/>
      <c r="N95" s="1148"/>
      <c r="O95" s="1148"/>
      <c r="P95" s="2680"/>
      <c r="Q95" s="502"/>
    </row>
    <row r="96" spans="1:17" ht="15.75" thickBot="1">
      <c r="A96" s="532"/>
      <c r="B96" s="541"/>
      <c r="C96" s="558"/>
      <c r="D96" s="558"/>
      <c r="E96" s="558"/>
      <c r="F96" s="558"/>
      <c r="G96" s="534"/>
      <c r="H96" s="534"/>
      <c r="I96" s="534"/>
      <c r="J96" s="534"/>
      <c r="K96" s="534"/>
      <c r="L96" s="534"/>
      <c r="M96" s="535"/>
      <c r="N96" s="1149"/>
      <c r="O96" s="1149"/>
      <c r="P96" s="2680"/>
      <c r="Q96" s="502"/>
    </row>
    <row r="97" spans="1:17" ht="15.75" thickTop="1">
      <c r="A97" s="532"/>
      <c r="B97" s="536">
        <f>B31</f>
        <v>111</v>
      </c>
      <c r="C97" s="552"/>
      <c r="D97" s="552"/>
      <c r="E97" s="552"/>
      <c r="F97" s="552"/>
      <c r="G97" s="581"/>
      <c r="H97" s="581"/>
      <c r="I97" s="581"/>
      <c r="J97" s="581"/>
      <c r="K97" s="582"/>
      <c r="L97" s="583"/>
      <c r="M97" s="584"/>
      <c r="N97" s="1148"/>
      <c r="O97" s="1148"/>
      <c r="P97" s="2680"/>
      <c r="Q97" s="502"/>
    </row>
    <row r="98" spans="1:17" ht="15.75" thickBot="1">
      <c r="A98" s="532"/>
      <c r="B98" s="541"/>
      <c r="C98" s="558"/>
      <c r="D98" s="534"/>
      <c r="E98" s="534"/>
      <c r="F98" s="534"/>
      <c r="G98" s="534"/>
      <c r="H98" s="534"/>
      <c r="I98" s="534"/>
      <c r="J98" s="534"/>
      <c r="K98" s="534"/>
      <c r="L98" s="534"/>
      <c r="M98" s="535"/>
      <c r="N98" s="1149"/>
      <c r="O98" s="1149"/>
      <c r="P98" s="2680"/>
      <c r="Q98" s="502"/>
    </row>
    <row r="99" spans="1:17" ht="15.75" thickTop="1">
      <c r="A99" s="532"/>
      <c r="B99" s="544">
        <f>B32</f>
        <v>111</v>
      </c>
      <c r="C99" s="521"/>
      <c r="D99" s="521"/>
      <c r="E99" s="521"/>
      <c r="F99" s="521"/>
      <c r="G99" s="585"/>
      <c r="H99" s="585"/>
      <c r="I99" s="585"/>
      <c r="J99" s="585"/>
      <c r="K99" s="586"/>
      <c r="L99" s="587"/>
      <c r="M99" s="588"/>
      <c r="N99" s="1148"/>
      <c r="O99" s="1148"/>
      <c r="P99" s="2680"/>
      <c r="Q99" s="502"/>
    </row>
    <row r="100" spans="1:17" ht="15.75" thickBot="1">
      <c r="A100" s="2632"/>
      <c r="B100" s="567"/>
      <c r="C100" s="568"/>
      <c r="D100" s="568"/>
      <c r="E100" s="568"/>
      <c r="F100" s="568"/>
      <c r="G100" s="589"/>
      <c r="H100" s="589"/>
      <c r="I100" s="589"/>
      <c r="J100" s="589"/>
      <c r="K100" s="589"/>
      <c r="L100" s="589"/>
      <c r="M100" s="590"/>
      <c r="N100" s="1149"/>
      <c r="O100" s="1149"/>
      <c r="P100" s="2680"/>
      <c r="Q100" s="502"/>
    </row>
    <row r="101" spans="1:17">
      <c r="A101" s="525" t="s">
        <v>2552</v>
      </c>
      <c r="B101" s="526" t="s">
        <v>2601</v>
      </c>
      <c r="C101" s="528"/>
      <c r="D101" s="528"/>
      <c r="E101" s="528"/>
      <c r="F101" s="528"/>
      <c r="G101" s="528"/>
      <c r="H101" s="528"/>
      <c r="I101" s="528"/>
      <c r="J101" s="528"/>
      <c r="K101" s="529"/>
      <c r="L101" s="530"/>
      <c r="M101" s="531"/>
      <c r="N101" s="1148"/>
      <c r="O101" s="1148"/>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80"/>
      <c r="Q102" s="502"/>
    </row>
    <row r="103" spans="1:17" ht="15.75" thickTop="1">
      <c r="A103" s="532"/>
      <c r="B103" s="536" t="s">
        <v>2602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80"/>
      <c r="Q103" s="502"/>
    </row>
    <row r="104" spans="1:17" s="469" customFormat="1">
      <c r="A104" s="591"/>
      <c r="B104" s="592"/>
      <c r="C104" s="593"/>
      <c r="D104" s="593"/>
      <c r="E104" s="593"/>
      <c r="F104" s="593"/>
      <c r="G104" s="593"/>
      <c r="H104" s="593"/>
      <c r="I104" s="593"/>
      <c r="J104" s="594"/>
      <c r="K104" s="594"/>
      <c r="L104" s="595"/>
      <c r="M104" s="596"/>
      <c r="N104" s="1150"/>
      <c r="O104" s="1150"/>
      <c r="P104" s="2681"/>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1"/>
      <c r="Q105" s="557"/>
    </row>
    <row r="106" spans="1:17" ht="15" thickTop="1">
      <c r="A106" s="597"/>
      <c r="B106" s="536" t="s">
        <v>2603</v>
      </c>
      <c r="C106" s="552"/>
      <c r="D106" s="552"/>
      <c r="E106" s="581"/>
      <c r="F106" s="581"/>
      <c r="G106" s="581"/>
      <c r="H106" s="581"/>
      <c r="I106" s="581"/>
      <c r="J106" s="581"/>
      <c r="K106" s="582"/>
      <c r="L106" s="583"/>
      <c r="M106" s="584"/>
      <c r="N106" s="1148"/>
      <c r="O106" s="1148"/>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80"/>
      <c r="Q107" s="502"/>
    </row>
    <row r="108" spans="1:17" ht="15" thickTop="1">
      <c r="A108" s="597"/>
      <c r="B108" s="536" t="s">
        <v>2605</v>
      </c>
      <c r="C108" s="552"/>
      <c r="D108" s="552"/>
      <c r="E108" s="552"/>
      <c r="F108" s="581"/>
      <c r="G108" s="581"/>
      <c r="H108" s="581"/>
      <c r="I108" s="581"/>
      <c r="J108" s="581"/>
      <c r="K108" s="582"/>
      <c r="L108" s="583"/>
      <c r="M108" s="584"/>
      <c r="N108" s="1148"/>
      <c r="O108" s="1148"/>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80"/>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80"/>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80"/>
      <c r="Q112" s="502"/>
    </row>
    <row r="113" spans="1:17" s="469" customFormat="1" ht="15" thickTop="1">
      <c r="A113" s="591"/>
      <c r="B113" s="536" t="s">
        <v>2689</v>
      </c>
      <c r="C113" s="552"/>
      <c r="D113" s="552"/>
      <c r="E113" s="552"/>
      <c r="F113" s="552"/>
      <c r="G113" s="552"/>
      <c r="H113" s="581"/>
      <c r="I113" s="581"/>
      <c r="J113" s="581"/>
      <c r="K113" s="582"/>
      <c r="L113" s="583"/>
      <c r="M113" s="584"/>
      <c r="N113" s="1150"/>
      <c r="O113" s="1150"/>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1"/>
      <c r="Q114" s="557"/>
    </row>
    <row r="115" spans="1:17" ht="15" thickTop="1">
      <c r="A115" s="597"/>
      <c r="B115" s="536" t="s">
        <v>2606</v>
      </c>
      <c r="C115" s="552"/>
      <c r="D115" s="552"/>
      <c r="E115" s="581"/>
      <c r="F115" s="581"/>
      <c r="G115" s="581"/>
      <c r="H115" s="581"/>
      <c r="I115" s="581"/>
      <c r="J115" s="581"/>
      <c r="K115" s="582"/>
      <c r="L115" s="583"/>
      <c r="M115" s="584"/>
      <c r="N115" s="1148"/>
      <c r="O115" s="1148"/>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80"/>
      <c r="Q116" s="502"/>
    </row>
    <row r="117" spans="1:17" ht="15" thickTop="1">
      <c r="A117" s="597"/>
      <c r="B117" s="536" t="s">
        <v>2607</v>
      </c>
      <c r="C117" s="552"/>
      <c r="D117" s="552"/>
      <c r="E117" s="552"/>
      <c r="F117" s="552"/>
      <c r="G117" s="552"/>
      <c r="H117" s="581"/>
      <c r="I117" s="581"/>
      <c r="J117" s="581"/>
      <c r="K117" s="582"/>
      <c r="L117" s="583"/>
      <c r="M117" s="584"/>
      <c r="N117" s="1148"/>
      <c r="O117" s="1148"/>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80"/>
      <c r="Q118" s="502"/>
    </row>
    <row r="119" spans="1:17" ht="15" thickTop="1">
      <c r="A119" s="597"/>
      <c r="B119" s="634" t="s">
        <v>2690</v>
      </c>
      <c r="C119" s="581"/>
      <c r="D119" s="581"/>
      <c r="E119" s="581"/>
      <c r="F119" s="581"/>
      <c r="G119" s="581"/>
      <c r="H119" s="581"/>
      <c r="I119" s="581"/>
      <c r="J119" s="581"/>
      <c r="K119" s="581"/>
      <c r="L119" s="2685"/>
      <c r="M119" s="2686"/>
      <c r="N119" s="1149"/>
      <c r="O119" s="1149"/>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80"/>
      <c r="Q120" s="502"/>
    </row>
    <row r="121" spans="1:17" s="469" customFormat="1" ht="15" thickTop="1">
      <c r="A121" s="591"/>
      <c r="B121" s="536" t="s">
        <v>2673</v>
      </c>
      <c r="C121" s="552"/>
      <c r="D121" s="552"/>
      <c r="E121" s="552"/>
      <c r="F121" s="581"/>
      <c r="G121" s="553"/>
      <c r="H121" s="553"/>
      <c r="I121" s="553"/>
      <c r="J121" s="553"/>
      <c r="K121" s="553"/>
      <c r="L121" s="554"/>
      <c r="M121" s="555"/>
      <c r="N121" s="1150"/>
      <c r="O121" s="1150"/>
      <c r="P121" s="2681"/>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1"/>
      <c r="Q122" s="557"/>
    </row>
    <row r="123" spans="1:17" ht="15" thickTop="1">
      <c r="A123" s="597"/>
      <c r="B123" s="536" t="s">
        <v>2609</v>
      </c>
      <c r="C123" s="552"/>
      <c r="D123" s="552"/>
      <c r="E123" s="552"/>
      <c r="F123" s="581"/>
      <c r="G123" s="581"/>
      <c r="H123" s="581"/>
      <c r="I123" s="581"/>
      <c r="J123" s="581"/>
      <c r="K123" s="582"/>
      <c r="L123" s="583"/>
      <c r="M123" s="584"/>
      <c r="N123" s="1148"/>
      <c r="O123" s="1148"/>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80"/>
      <c r="Q124" s="502"/>
    </row>
    <row r="125" spans="1:17" ht="15" thickTop="1">
      <c r="A125" s="597"/>
      <c r="B125" s="536" t="s">
        <v>2610</v>
      </c>
      <c r="C125" s="576" t="s">
        <v>2586</v>
      </c>
      <c r="D125" s="576" t="s">
        <v>2587</v>
      </c>
      <c r="E125" s="576" t="s">
        <v>2588</v>
      </c>
      <c r="F125" s="576" t="s">
        <v>2589</v>
      </c>
      <c r="G125" s="576" t="s">
        <v>2590</v>
      </c>
      <c r="H125" s="537"/>
      <c r="I125" s="537"/>
      <c r="J125" s="537"/>
      <c r="K125" s="538"/>
      <c r="L125" s="539"/>
      <c r="M125" s="540"/>
      <c r="N125" s="1148"/>
      <c r="O125" s="1148"/>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80"/>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1"/>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1"/>
      <c r="Q128" s="557"/>
    </row>
    <row r="129" spans="1:17" ht="15" thickTop="1">
      <c r="A129" s="597"/>
      <c r="B129" s="536">
        <f>B46</f>
        <v>111</v>
      </c>
      <c r="C129" s="552"/>
      <c r="D129" s="552"/>
      <c r="E129" s="552"/>
      <c r="F129" s="552"/>
      <c r="G129" s="581"/>
      <c r="H129" s="581"/>
      <c r="I129" s="581"/>
      <c r="J129" s="581"/>
      <c r="K129" s="582"/>
      <c r="L129" s="583"/>
      <c r="M129" s="584"/>
      <c r="N129" s="1148"/>
      <c r="O129" s="1148"/>
      <c r="P129" s="2680"/>
      <c r="Q129" s="502"/>
    </row>
    <row r="130" spans="1:17" ht="15.75" thickBot="1">
      <c r="A130" s="532"/>
      <c r="B130" s="541"/>
      <c r="C130" s="558"/>
      <c r="D130" s="558"/>
      <c r="E130" s="558"/>
      <c r="F130" s="558"/>
      <c r="G130" s="534"/>
      <c r="H130" s="534"/>
      <c r="I130" s="534"/>
      <c r="J130" s="534"/>
      <c r="K130" s="534"/>
      <c r="L130" s="534"/>
      <c r="M130" s="535"/>
      <c r="N130" s="1149"/>
      <c r="O130" s="1149"/>
      <c r="P130" s="2680"/>
      <c r="Q130" s="502"/>
    </row>
    <row r="131" spans="1:17" ht="15" thickTop="1">
      <c r="A131" s="597"/>
      <c r="B131" s="544">
        <f>B47</f>
        <v>111</v>
      </c>
      <c r="C131" s="521"/>
      <c r="D131" s="521"/>
      <c r="E131" s="521"/>
      <c r="F131" s="521"/>
      <c r="G131" s="585"/>
      <c r="H131" s="585"/>
      <c r="I131" s="585"/>
      <c r="J131" s="585"/>
      <c r="K131" s="521"/>
      <c r="L131" s="522"/>
      <c r="M131" s="588"/>
      <c r="N131" s="1148"/>
      <c r="O131" s="1148"/>
      <c r="P131" s="2680"/>
      <c r="Q131" s="502"/>
    </row>
    <row r="132" spans="1:17" ht="15.75" thickBot="1">
      <c r="A132" s="2632"/>
      <c r="B132" s="567"/>
      <c r="C132" s="568"/>
      <c r="D132" s="568"/>
      <c r="E132" s="568"/>
      <c r="F132" s="568"/>
      <c r="G132" s="589"/>
      <c r="H132" s="589"/>
      <c r="I132" s="589"/>
      <c r="J132" s="589"/>
      <c r="K132" s="589"/>
      <c r="L132" s="589"/>
      <c r="M132" s="590"/>
      <c r="N132" s="1149"/>
      <c r="O132" s="1149"/>
      <c r="P132" s="268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2517</v>
      </c>
      <c r="B1" s="2665" t="s">
        <v>2691</v>
      </c>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2316</v>
      </c>
      <c r="B2" s="1414" t="e">
        <f ca="1">IF(C2="——",ROUND(C43*D3/10000,0),ROUND(C43*D3/10000,0)-D2)</f>
        <v>#DIV/0!</v>
      </c>
      <c r="C2" s="2582"/>
      <c r="D2" s="1120" t="e">
        <f ca="1">SUMIF(INDIRECT("'"&amp;F2&amp;"'"&amp;"!A:A"),"承租人权益价值",INDIRECT("'"&amp;F2&amp;"'"&amp;"!c:c"))</f>
        <v>#REF!</v>
      </c>
      <c r="E2" s="2583" t="s">
        <v>2317</v>
      </c>
      <c r="F2" s="2584"/>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2318</v>
      </c>
      <c r="B3" s="607" t="e">
        <f ca="1">IF(C2="——",C43,ROUND(B2*10000/D3,0))</f>
        <v>#DIV/0!</v>
      </c>
      <c r="C3" s="398" t="s">
        <v>2633</v>
      </c>
      <c r="D3" s="397">
        <f>IF(D1="",'数据-汇总表'!E3,SUMIF('数据-汇总表'!$C19:$C33,D1,'数据-汇总表'!$E19:$E33))</f>
        <v>28872.97</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2540</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0" si="3">D8/F8</f>
        <v>#DIV/0!</v>
      </c>
      <c r="AB8" s="771" t="e">
        <f t="shared" ref="AB8:AB40" si="4">D8/H8</f>
        <v>#DIV/0!</v>
      </c>
      <c r="AC8" s="771" t="e">
        <f t="shared" ref="AC8:AC40" si="5">D8/J8</f>
        <v>#DIV/0!</v>
      </c>
    </row>
    <row r="9" spans="1:29" s="115" customFormat="1">
      <c r="A9" s="413" t="s">
        <v>2542</v>
      </c>
      <c r="B9" s="71" t="s">
        <v>2543</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281"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281"/>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420" t="s">
        <v>2547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281"/>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134">
        <f>SUMIF(64:64,E12,65:65)-SUMIF(64:64,C12,65:65)+100</f>
        <v>100</v>
      </c>
      <c r="G12" s="2688"/>
      <c r="H12" s="134">
        <f>SUMIF(64:64,G12,65:65)-SUMIF(64:64,C12,65:65)+100</f>
        <v>100</v>
      </c>
      <c r="I12" s="467"/>
      <c r="J12" s="134">
        <f>SUMIF(64:64,I12,65:65)-SUMIF(64:64,C12,65:65)+100</f>
        <v>100</v>
      </c>
      <c r="K12" s="611"/>
      <c r="L12" s="1128"/>
      <c r="M12" s="1129"/>
      <c r="N12" s="1129"/>
      <c r="O12" s="1130"/>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6"/>
      <c r="B13" s="2596">
        <v>111</v>
      </c>
      <c r="C13" s="432"/>
      <c r="D13" s="433">
        <v>100</v>
      </c>
      <c r="E13" s="432"/>
      <c r="F13" s="134">
        <f>SUMIF(66:66,E13,67:67)-SUMIF(66:66,C13,67:67)+100</f>
        <v>100</v>
      </c>
      <c r="G13" s="2688"/>
      <c r="H13" s="433">
        <f>SUMIF(66:66,G13,67:67)-SUMIF(66:66,C13,67:67)+100</f>
        <v>100</v>
      </c>
      <c r="I13" s="467"/>
      <c r="J13" s="433">
        <f>SUMIF(66:66,I13,67:67)-SUMIF(66:66,C13,67:67)+100</f>
        <v>100</v>
      </c>
      <c r="K13" s="611"/>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6"/>
      <c r="M14" s="1127"/>
      <c r="N14" s="1127"/>
      <c r="O14" s="1135"/>
      <c r="P14" s="3281"/>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15">
      <c r="A15" s="438" t="s">
        <v>2548</v>
      </c>
      <c r="B15" s="69" t="s">
        <v>2692</v>
      </c>
      <c r="C15" s="2689">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283" t="s">
        <v>2549</v>
      </c>
      <c r="Q15" s="1806" t="str">
        <f t="shared" si="6"/>
        <v>产业集聚程度</v>
      </c>
      <c r="R15" s="772" t="s">
        <v>17</v>
      </c>
      <c r="S15" s="773">
        <f t="shared" si="0"/>
        <v>100</v>
      </c>
      <c r="T15" s="772" t="s">
        <v>17</v>
      </c>
      <c r="U15" s="773">
        <f t="shared" si="1"/>
        <v>100</v>
      </c>
      <c r="V15" s="772" t="s">
        <v>17</v>
      </c>
      <c r="W15" s="773">
        <f t="shared" si="2"/>
        <v>100</v>
      </c>
      <c r="X15" s="1809"/>
      <c r="Y15" s="3283" t="s">
        <v>2549</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6"/>
      <c r="B17" s="449" t="s">
        <v>2091</v>
      </c>
      <c r="C17" s="2603">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284"/>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6"/>
      <c r="B18" s="454"/>
      <c r="C18" s="2604"/>
      <c r="D18" s="448"/>
      <c r="E18" s="2606"/>
      <c r="F18" s="451"/>
      <c r="G18" s="2605"/>
      <c r="H18" s="446"/>
      <c r="I18" s="2606"/>
      <c r="J18" s="446"/>
      <c r="K18" s="613"/>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6"/>
      <c r="B19" s="449" t="s">
        <v>2677</v>
      </c>
      <c r="C19" s="2603">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284"/>
      <c r="Q19" s="1806" t="str">
        <f>B19</f>
        <v>公共配套设施</v>
      </c>
      <c r="R19" s="772" t="s">
        <v>17</v>
      </c>
      <c r="S19" s="773">
        <f>F19</f>
        <v>100</v>
      </c>
      <c r="T19" s="772" t="s">
        <v>17</v>
      </c>
      <c r="U19" s="773">
        <f>H19</f>
        <v>100</v>
      </c>
      <c r="V19" s="772" t="s">
        <v>17</v>
      </c>
      <c r="W19" s="773">
        <f>J19</f>
        <v>100</v>
      </c>
      <c r="X19" s="1809"/>
      <c r="Y19" s="3284"/>
      <c r="Z19" s="1810" t="str">
        <f>Q19</f>
        <v>公共配套设施</v>
      </c>
      <c r="AA19" s="1807">
        <f t="shared" si="3"/>
        <v>1</v>
      </c>
      <c r="AB19" s="1807">
        <f t="shared" si="4"/>
        <v>1</v>
      </c>
      <c r="AC19" s="1807">
        <f t="shared" si="5"/>
        <v>1</v>
      </c>
    </row>
    <row r="20" spans="1:29" ht="15">
      <c r="A20" s="426"/>
      <c r="B20" s="454"/>
      <c r="C20" s="445"/>
      <c r="D20" s="446"/>
      <c r="E20" s="2601"/>
      <c r="F20" s="447"/>
      <c r="G20" s="2600"/>
      <c r="H20" s="446"/>
      <c r="I20" s="2601"/>
      <c r="J20" s="446"/>
      <c r="K20" s="613"/>
      <c r="L20" s="1136"/>
      <c r="M20" s="1127"/>
      <c r="N20" s="1127"/>
      <c r="O20" s="1135"/>
      <c r="P20" s="3284"/>
      <c r="Q20" s="1806"/>
      <c r="R20" s="772"/>
      <c r="S20" s="773"/>
      <c r="T20" s="772"/>
      <c r="U20" s="773"/>
      <c r="V20" s="772"/>
      <c r="W20" s="773"/>
      <c r="X20" s="1809"/>
      <c r="Y20" s="3284"/>
      <c r="Z20" s="1810"/>
      <c r="AA20" s="1807">
        <v>1</v>
      </c>
      <c r="AB20" s="1807">
        <v>1</v>
      </c>
      <c r="AC20" s="1807">
        <v>1</v>
      </c>
    </row>
    <row r="21" spans="1:29" ht="15">
      <c r="A21" s="426"/>
      <c r="B21" s="1380" t="s">
        <v>2678</v>
      </c>
      <c r="C21" s="2603">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284"/>
      <c r="Q21" s="1806" t="str">
        <f>B21</f>
        <v>基础设施水平</v>
      </c>
      <c r="R21" s="772" t="s">
        <v>17</v>
      </c>
      <c r="S21" s="773">
        <f>F21</f>
        <v>100</v>
      </c>
      <c r="T21" s="772" t="s">
        <v>17</v>
      </c>
      <c r="U21" s="773">
        <f>H21</f>
        <v>100</v>
      </c>
      <c r="V21" s="772" t="s">
        <v>17</v>
      </c>
      <c r="W21" s="773">
        <f>J21</f>
        <v>100</v>
      </c>
      <c r="X21" s="1809"/>
      <c r="Y21" s="3284"/>
      <c r="Z21" s="1810" t="str">
        <f>Q21</f>
        <v>基础设施水平</v>
      </c>
      <c r="AA21" s="1807">
        <f t="shared" ref="AA21" si="8">D21/F21</f>
        <v>1</v>
      </c>
      <c r="AB21" s="1807">
        <f t="shared" ref="AB21" si="9">D21/H21</f>
        <v>1</v>
      </c>
      <c r="AC21" s="1807">
        <f t="shared" ref="AC21" si="10">D21/J21</f>
        <v>1</v>
      </c>
    </row>
    <row r="22" spans="1:29" ht="15">
      <c r="A22" s="426"/>
      <c r="B22" s="1380"/>
      <c r="C22" s="2604"/>
      <c r="D22" s="446"/>
      <c r="E22" s="445"/>
      <c r="F22" s="447"/>
      <c r="G22" s="445"/>
      <c r="H22" s="446"/>
      <c r="I22" s="445"/>
      <c r="J22" s="446"/>
      <c r="K22" s="1379"/>
      <c r="L22" s="1136"/>
      <c r="M22" s="1127"/>
      <c r="N22" s="1127"/>
      <c r="O22" s="1135"/>
      <c r="P22" s="3284"/>
      <c r="Q22" s="1806"/>
      <c r="R22" s="772"/>
      <c r="S22" s="773"/>
      <c r="T22" s="772"/>
      <c r="U22" s="773"/>
      <c r="V22" s="772"/>
      <c r="W22" s="773"/>
      <c r="X22" s="1809"/>
      <c r="Y22" s="3284"/>
      <c r="Z22" s="1810"/>
      <c r="AA22" s="1807">
        <v>1</v>
      </c>
      <c r="AB22" s="1807">
        <v>1</v>
      </c>
      <c r="AC22" s="1807">
        <v>1</v>
      </c>
    </row>
    <row r="23" spans="1:29" ht="15">
      <c r="A23" s="426"/>
      <c r="B23" s="449" t="s">
        <v>2679</v>
      </c>
      <c r="C23" s="2603">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284"/>
      <c r="Q23" s="1806" t="str">
        <f>B23</f>
        <v>环境质量</v>
      </c>
      <c r="R23" s="772" t="s">
        <v>17</v>
      </c>
      <c r="S23" s="773">
        <f>F23</f>
        <v>100</v>
      </c>
      <c r="T23" s="772" t="s">
        <v>17</v>
      </c>
      <c r="U23" s="773">
        <f>H23</f>
        <v>100</v>
      </c>
      <c r="V23" s="772" t="s">
        <v>17</v>
      </c>
      <c r="W23" s="773">
        <f>J23</f>
        <v>100</v>
      </c>
      <c r="X23" s="1809"/>
      <c r="Y23" s="3284"/>
      <c r="Z23" s="1810" t="str">
        <f>Q23</f>
        <v>环境质量</v>
      </c>
      <c r="AA23" s="1807">
        <f t="shared" si="3"/>
        <v>1</v>
      </c>
      <c r="AB23" s="1807">
        <f t="shared" si="4"/>
        <v>1</v>
      </c>
      <c r="AC23" s="1807">
        <f t="shared" si="5"/>
        <v>1</v>
      </c>
    </row>
    <row r="24" spans="1:29" ht="15">
      <c r="A24" s="426"/>
      <c r="B24" s="1380"/>
      <c r="C24" s="445"/>
      <c r="D24" s="446"/>
      <c r="E24" s="2601"/>
      <c r="F24" s="447"/>
      <c r="G24" s="2600"/>
      <c r="H24" s="446"/>
      <c r="I24" s="2601"/>
      <c r="J24" s="446"/>
      <c r="K24" s="613"/>
      <c r="L24" s="1136"/>
      <c r="M24" s="1127"/>
      <c r="N24" s="1127"/>
      <c r="O24" s="1135"/>
      <c r="P24" s="3284"/>
      <c r="Q24" s="1806"/>
      <c r="R24" s="772"/>
      <c r="S24" s="773"/>
      <c r="T24" s="772"/>
      <c r="U24" s="773"/>
      <c r="V24" s="772"/>
      <c r="W24" s="773"/>
      <c r="X24" s="1809"/>
      <c r="Y24" s="3284"/>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284"/>
      <c r="Q25" s="1806">
        <f>B25</f>
        <v>111</v>
      </c>
      <c r="R25" s="772" t="s">
        <v>17</v>
      </c>
      <c r="S25" s="773">
        <f>F25</f>
        <v>100</v>
      </c>
      <c r="T25" s="772" t="s">
        <v>17</v>
      </c>
      <c r="U25" s="773">
        <f>H25</f>
        <v>100</v>
      </c>
      <c r="V25" s="772" t="s">
        <v>17</v>
      </c>
      <c r="W25" s="773">
        <f>J25</f>
        <v>100</v>
      </c>
      <c r="X25" s="1809"/>
      <c r="Y25" s="3284"/>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284"/>
      <c r="Q26" s="1806">
        <f t="shared" ref="Q26:Q40" si="11">B26</f>
        <v>111</v>
      </c>
      <c r="R26" s="772" t="s">
        <v>17</v>
      </c>
      <c r="S26" s="773">
        <f>F26</f>
        <v>100</v>
      </c>
      <c r="T26" s="772" t="s">
        <v>17</v>
      </c>
      <c r="U26" s="773">
        <f>H26</f>
        <v>100</v>
      </c>
      <c r="V26" s="772" t="s">
        <v>17</v>
      </c>
      <c r="W26" s="773">
        <f>J26</f>
        <v>100</v>
      </c>
      <c r="X26" s="1809"/>
      <c r="Y26" s="3284"/>
      <c r="Z26" s="1810">
        <f>Q26</f>
        <v>111</v>
      </c>
      <c r="AA26" s="1807">
        <f t="shared" si="3"/>
        <v>1</v>
      </c>
      <c r="AB26" s="1807">
        <f t="shared" si="4"/>
        <v>1</v>
      </c>
      <c r="AC26" s="1807">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284"/>
      <c r="Q27" s="1791">
        <f t="shared" si="11"/>
        <v>111</v>
      </c>
      <c r="R27" s="768" t="s">
        <v>17</v>
      </c>
      <c r="S27" s="769">
        <f>F27</f>
        <v>100</v>
      </c>
      <c r="T27" s="768" t="s">
        <v>17</v>
      </c>
      <c r="U27" s="769">
        <f>H27</f>
        <v>100</v>
      </c>
      <c r="V27" s="768" t="s">
        <v>17</v>
      </c>
      <c r="W27" s="769">
        <f>J27</f>
        <v>100</v>
      </c>
      <c r="X27" s="770"/>
      <c r="Y27" s="3284"/>
      <c r="Z27" s="55">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284"/>
      <c r="Q28" s="1806">
        <f t="shared" si="11"/>
        <v>111</v>
      </c>
      <c r="R28" s="772" t="s">
        <v>17</v>
      </c>
      <c r="S28" s="773">
        <f t="shared" ref="S28:S40" si="12">F28</f>
        <v>100</v>
      </c>
      <c r="T28" s="772" t="s">
        <v>17</v>
      </c>
      <c r="U28" s="773">
        <f t="shared" ref="U28:U40" si="13">H28</f>
        <v>100</v>
      </c>
      <c r="V28" s="772" t="s">
        <v>17</v>
      </c>
      <c r="W28" s="773">
        <f t="shared" ref="W28:W40" si="14">J28</f>
        <v>100</v>
      </c>
      <c r="X28" s="1809"/>
      <c r="Y28" s="3284"/>
      <c r="Z28" s="1810">
        <f t="shared" ref="Z28:Z40" si="15">Q28</f>
        <v>111</v>
      </c>
      <c r="AA28" s="1807">
        <f t="shared" si="3"/>
        <v>1</v>
      </c>
      <c r="AB28" s="1807">
        <f t="shared" si="4"/>
        <v>1</v>
      </c>
      <c r="AC28" s="1807">
        <f t="shared" si="5"/>
        <v>1</v>
      </c>
    </row>
    <row r="29" spans="1:29" ht="28.5">
      <c r="A29" s="464" t="s">
        <v>2552</v>
      </c>
      <c r="B29" s="71" t="s">
        <v>2682</v>
      </c>
      <c r="C29" s="2675"/>
      <c r="D29" s="465">
        <v>100</v>
      </c>
      <c r="E29" s="2675"/>
      <c r="F29" s="459">
        <f>SUMIF(88:88,E29,89:89)-SUMIF(88:88,C29,89:89)+100</f>
        <v>100</v>
      </c>
      <c r="G29" s="2675"/>
      <c r="H29" s="433">
        <f>SUMIF(88:88,G29,89:89)-SUMIF(88:88,C29,89:89)+100</f>
        <v>100</v>
      </c>
      <c r="I29" s="2675"/>
      <c r="J29" s="465">
        <f>SUMIF(88:88,I29,89:89)-SUMIF(88:88,C29,89:89)+100</f>
        <v>100</v>
      </c>
      <c r="K29" s="610"/>
      <c r="L29" s="1136"/>
      <c r="M29" s="1127"/>
      <c r="N29" s="1127"/>
      <c r="O29" s="1135"/>
      <c r="P29" s="3339" t="s">
        <v>2554</v>
      </c>
      <c r="Q29" s="1806" t="str">
        <f t="shared" si="11"/>
        <v>建筑类型</v>
      </c>
      <c r="R29" s="772" t="s">
        <v>17</v>
      </c>
      <c r="S29" s="773">
        <f t="shared" si="12"/>
        <v>100</v>
      </c>
      <c r="T29" s="772" t="s">
        <v>17</v>
      </c>
      <c r="U29" s="773">
        <f t="shared" si="13"/>
        <v>100</v>
      </c>
      <c r="V29" s="772" t="s">
        <v>17</v>
      </c>
      <c r="W29" s="773">
        <f t="shared" si="14"/>
        <v>100</v>
      </c>
      <c r="X29" s="1809"/>
      <c r="Y29" s="3288" t="s">
        <v>2554</v>
      </c>
      <c r="Z29" s="1810" t="str">
        <f t="shared" si="15"/>
        <v>建筑类型</v>
      </c>
      <c r="AA29" s="1807">
        <f t="shared" si="3"/>
        <v>1</v>
      </c>
      <c r="AB29" s="1807">
        <f t="shared" si="4"/>
        <v>1</v>
      </c>
      <c r="AC29" s="1807">
        <f t="shared" si="5"/>
        <v>1</v>
      </c>
    </row>
    <row r="30" spans="1:29" s="469" customFormat="1" ht="15">
      <c r="A30" s="466"/>
      <c r="B30" s="420" t="s">
        <v>2555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288"/>
      <c r="Q30" s="774" t="str">
        <f t="shared" si="11"/>
        <v>项目建筑规模</v>
      </c>
      <c r="R30" s="775" t="s">
        <v>17</v>
      </c>
      <c r="S30" s="776" t="e">
        <f t="shared" si="12"/>
        <v>#N/A</v>
      </c>
      <c r="T30" s="775" t="s">
        <v>17</v>
      </c>
      <c r="U30" s="776" t="e">
        <f t="shared" si="13"/>
        <v>#N/A</v>
      </c>
      <c r="V30" s="775" t="s">
        <v>17</v>
      </c>
      <c r="W30" s="776" t="e">
        <f t="shared" si="14"/>
        <v>#N/A</v>
      </c>
      <c r="X30" s="777"/>
      <c r="Y30" s="3288"/>
      <c r="Z30" s="778" t="str">
        <f t="shared" si="15"/>
        <v>项目建筑规模</v>
      </c>
      <c r="AA30" s="1807" t="e">
        <f t="shared" si="3"/>
        <v>#N/A</v>
      </c>
      <c r="AB30" s="1807" t="e">
        <f t="shared" si="4"/>
        <v>#N/A</v>
      </c>
      <c r="AC30" s="1807" t="e">
        <f t="shared" si="5"/>
        <v>#N/A</v>
      </c>
    </row>
    <row r="31" spans="1:29" ht="15">
      <c r="A31" s="470"/>
      <c r="B31" s="420" t="s">
        <v>2556</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288"/>
      <c r="Q31" s="1806" t="str">
        <f t="shared" si="11"/>
        <v>建筑结构</v>
      </c>
      <c r="R31" s="772" t="s">
        <v>17</v>
      </c>
      <c r="S31" s="773">
        <f t="shared" si="12"/>
        <v>100</v>
      </c>
      <c r="T31" s="772" t="s">
        <v>17</v>
      </c>
      <c r="U31" s="773">
        <f t="shared" si="13"/>
        <v>100</v>
      </c>
      <c r="V31" s="772" t="s">
        <v>17</v>
      </c>
      <c r="W31" s="773">
        <f t="shared" si="14"/>
        <v>100</v>
      </c>
      <c r="X31" s="1809"/>
      <c r="Y31" s="3288"/>
      <c r="Z31" s="1810" t="str">
        <f t="shared" si="15"/>
        <v>建筑结构</v>
      </c>
      <c r="AA31" s="1807">
        <f t="shared" si="3"/>
        <v>1</v>
      </c>
      <c r="AB31" s="1807">
        <f t="shared" si="4"/>
        <v>1</v>
      </c>
      <c r="AC31" s="1807">
        <f t="shared" si="5"/>
        <v>1</v>
      </c>
    </row>
    <row r="32" spans="1:29" ht="15">
      <c r="A32" s="470"/>
      <c r="B32" s="420" t="s">
        <v>2650</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288"/>
      <c r="Q32" s="1806" t="str">
        <f t="shared" si="11"/>
        <v>公共部分装修</v>
      </c>
      <c r="R32" s="772" t="s">
        <v>17</v>
      </c>
      <c r="S32" s="773">
        <f t="shared" si="12"/>
        <v>100</v>
      </c>
      <c r="T32" s="772" t="s">
        <v>17</v>
      </c>
      <c r="U32" s="773">
        <f t="shared" si="13"/>
        <v>100</v>
      </c>
      <c r="V32" s="772" t="s">
        <v>17</v>
      </c>
      <c r="W32" s="773">
        <f t="shared" si="14"/>
        <v>100</v>
      </c>
      <c r="X32" s="1809"/>
      <c r="Y32" s="3288"/>
      <c r="Z32" s="1810" t="str">
        <f t="shared" si="15"/>
        <v>公共部分装修</v>
      </c>
      <c r="AA32" s="1807">
        <f t="shared" si="3"/>
        <v>1</v>
      </c>
      <c r="AB32" s="1807">
        <f t="shared" si="4"/>
        <v>1</v>
      </c>
      <c r="AC32" s="1807">
        <f t="shared" si="5"/>
        <v>1</v>
      </c>
    </row>
    <row r="33" spans="1:29" ht="15">
      <c r="A33" s="470"/>
      <c r="B33" s="420" t="s">
        <v>2651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288"/>
      <c r="Q33" s="1806" t="str">
        <f t="shared" si="11"/>
        <v>成新度</v>
      </c>
      <c r="R33" s="772" t="s">
        <v>17</v>
      </c>
      <c r="S33" s="773" t="e">
        <f t="shared" si="12"/>
        <v>#N/A</v>
      </c>
      <c r="T33" s="772" t="s">
        <v>17</v>
      </c>
      <c r="U33" s="773" t="e">
        <f t="shared" si="13"/>
        <v>#N/A</v>
      </c>
      <c r="V33" s="772" t="s">
        <v>17</v>
      </c>
      <c r="W33" s="773" t="e">
        <f t="shared" si="14"/>
        <v>#N/A</v>
      </c>
      <c r="X33" s="1809"/>
      <c r="Y33" s="3288"/>
      <c r="Z33" s="1810" t="str">
        <f t="shared" si="15"/>
        <v>成新度</v>
      </c>
      <c r="AA33" s="1807" t="e">
        <f t="shared" si="3"/>
        <v>#N/A</v>
      </c>
      <c r="AB33" s="1807" t="e">
        <f t="shared" si="4"/>
        <v>#N/A</v>
      </c>
      <c r="AC33" s="1807" t="e">
        <f t="shared" si="5"/>
        <v>#N/A</v>
      </c>
    </row>
    <row r="34" spans="1:29" s="115" customFormat="1" ht="15">
      <c r="A34" s="471"/>
      <c r="B34" s="420" t="s">
        <v>2684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288"/>
      <c r="Q34" s="1791" t="str">
        <f t="shared" si="11"/>
        <v>物业管理</v>
      </c>
      <c r="R34" s="768" t="s">
        <v>17</v>
      </c>
      <c r="S34" s="769">
        <f t="shared" si="12"/>
        <v>100</v>
      </c>
      <c r="T34" s="768" t="s">
        <v>17</v>
      </c>
      <c r="U34" s="769">
        <f t="shared" si="13"/>
        <v>100</v>
      </c>
      <c r="V34" s="768" t="s">
        <v>17</v>
      </c>
      <c r="W34" s="769">
        <f t="shared" si="14"/>
        <v>100</v>
      </c>
      <c r="X34" s="770"/>
      <c r="Y34" s="3288"/>
      <c r="Z34" s="55" t="str">
        <f t="shared" si="15"/>
        <v>物业管理</v>
      </c>
      <c r="AA34" s="771">
        <f t="shared" si="3"/>
        <v>1</v>
      </c>
      <c r="AB34" s="771">
        <f t="shared" si="4"/>
        <v>1</v>
      </c>
      <c r="AC34" s="771">
        <f t="shared" si="5"/>
        <v>1</v>
      </c>
    </row>
    <row r="35" spans="1:29" ht="15">
      <c r="A35" s="470"/>
      <c r="B35" s="420" t="s">
        <v>2652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288" t="s">
        <v>2554</v>
      </c>
      <c r="Q35" s="1806" t="str">
        <f t="shared" si="11"/>
        <v>市政基础设施</v>
      </c>
      <c r="R35" s="772" t="s">
        <v>17</v>
      </c>
      <c r="S35" s="773">
        <f t="shared" si="12"/>
        <v>100</v>
      </c>
      <c r="T35" s="772" t="s">
        <v>17</v>
      </c>
      <c r="U35" s="773">
        <f t="shared" si="13"/>
        <v>100</v>
      </c>
      <c r="V35" s="772" t="s">
        <v>17</v>
      </c>
      <c r="W35" s="773">
        <f t="shared" si="14"/>
        <v>100</v>
      </c>
      <c r="X35" s="1809"/>
      <c r="Y35" s="3288" t="s">
        <v>2554</v>
      </c>
      <c r="Z35" s="1810" t="str">
        <f t="shared" si="15"/>
        <v>市政基础设施</v>
      </c>
      <c r="AA35" s="1807">
        <f t="shared" si="3"/>
        <v>1</v>
      </c>
      <c r="AB35" s="1807">
        <f t="shared" si="4"/>
        <v>1</v>
      </c>
      <c r="AC35" s="1807">
        <f t="shared" si="5"/>
        <v>1</v>
      </c>
    </row>
    <row r="36" spans="1:29" ht="15">
      <c r="A36" s="470"/>
      <c r="B36" s="420" t="s">
        <v>2657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288"/>
      <c r="Q36" s="1806" t="str">
        <f t="shared" si="11"/>
        <v>内部装修</v>
      </c>
      <c r="R36" s="772" t="s">
        <v>17</v>
      </c>
      <c r="S36" s="773">
        <f t="shared" si="12"/>
        <v>100</v>
      </c>
      <c r="T36" s="772" t="s">
        <v>17</v>
      </c>
      <c r="U36" s="773">
        <f t="shared" si="13"/>
        <v>100</v>
      </c>
      <c r="V36" s="772" t="s">
        <v>17</v>
      </c>
      <c r="W36" s="773">
        <f t="shared" si="14"/>
        <v>100</v>
      </c>
      <c r="X36" s="1809"/>
      <c r="Y36" s="3288"/>
      <c r="Z36" s="1810" t="str">
        <f t="shared" si="15"/>
        <v>内部装修</v>
      </c>
      <c r="AA36" s="1807">
        <f t="shared" si="3"/>
        <v>1</v>
      </c>
      <c r="AB36" s="1807">
        <f t="shared" si="4"/>
        <v>1</v>
      </c>
      <c r="AC36" s="1807">
        <f t="shared" si="5"/>
        <v>1</v>
      </c>
    </row>
    <row r="37" spans="1:29" ht="15">
      <c r="A37" s="470"/>
      <c r="B37" s="420" t="s">
        <v>2693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288"/>
      <c r="Q37" s="1806" t="str">
        <f t="shared" si="11"/>
        <v>内部装修状况</v>
      </c>
      <c r="R37" s="772" t="s">
        <v>17</v>
      </c>
      <c r="S37" s="773">
        <f t="shared" si="12"/>
        <v>100</v>
      </c>
      <c r="T37" s="772" t="s">
        <v>17</v>
      </c>
      <c r="U37" s="773">
        <f t="shared" si="13"/>
        <v>100</v>
      </c>
      <c r="V37" s="772" t="s">
        <v>17</v>
      </c>
      <c r="W37" s="773">
        <f t="shared" si="14"/>
        <v>100</v>
      </c>
      <c r="X37" s="1809"/>
      <c r="Y37" s="3288"/>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288"/>
      <c r="Q38" s="774">
        <f t="shared" si="11"/>
        <v>111</v>
      </c>
      <c r="R38" s="775" t="s">
        <v>17</v>
      </c>
      <c r="S38" s="776">
        <f t="shared" si="12"/>
        <v>100</v>
      </c>
      <c r="T38" s="775" t="s">
        <v>17</v>
      </c>
      <c r="U38" s="776">
        <f t="shared" si="13"/>
        <v>100</v>
      </c>
      <c r="V38" s="775" t="s">
        <v>17</v>
      </c>
      <c r="W38" s="776">
        <f t="shared" si="14"/>
        <v>100</v>
      </c>
      <c r="X38" s="777"/>
      <c r="Y38" s="3288"/>
      <c r="Z38" s="778">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288"/>
      <c r="Q39" s="1806">
        <f t="shared" si="11"/>
        <v>111</v>
      </c>
      <c r="R39" s="772" t="s">
        <v>17</v>
      </c>
      <c r="S39" s="773">
        <f t="shared" si="12"/>
        <v>100</v>
      </c>
      <c r="T39" s="772" t="s">
        <v>17</v>
      </c>
      <c r="U39" s="773">
        <f t="shared" si="13"/>
        <v>100</v>
      </c>
      <c r="V39" s="772" t="s">
        <v>17</v>
      </c>
      <c r="W39" s="773">
        <f t="shared" si="14"/>
        <v>100</v>
      </c>
      <c r="X39" s="1809"/>
      <c r="Y39" s="3288"/>
      <c r="Z39" s="1810">
        <f t="shared" si="15"/>
        <v>111</v>
      </c>
      <c r="AA39" s="1807">
        <f t="shared" si="3"/>
        <v>1</v>
      </c>
      <c r="AB39" s="1807">
        <f t="shared" si="4"/>
        <v>1</v>
      </c>
      <c r="AC39" s="1807">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289"/>
      <c r="Q40" s="1806">
        <f t="shared" si="11"/>
        <v>111</v>
      </c>
      <c r="R40" s="772" t="s">
        <v>17</v>
      </c>
      <c r="S40" s="773">
        <f t="shared" si="12"/>
        <v>100</v>
      </c>
      <c r="T40" s="772" t="s">
        <v>17</v>
      </c>
      <c r="U40" s="773">
        <f t="shared" si="13"/>
        <v>100</v>
      </c>
      <c r="V40" s="772" t="s">
        <v>17</v>
      </c>
      <c r="W40" s="773">
        <f t="shared" si="14"/>
        <v>100</v>
      </c>
      <c r="X40" s="1809"/>
      <c r="Y40" s="3289"/>
      <c r="Z40" s="1810">
        <f t="shared" si="15"/>
        <v>111</v>
      </c>
      <c r="AA40" s="1807">
        <f t="shared" si="3"/>
        <v>1</v>
      </c>
      <c r="AB40" s="1807">
        <f t="shared" si="4"/>
        <v>1</v>
      </c>
      <c r="AC40" s="1807">
        <f t="shared" si="5"/>
        <v>1</v>
      </c>
    </row>
    <row r="41" spans="1:29" ht="15">
      <c r="A41" s="477" t="s">
        <v>2566</v>
      </c>
      <c r="B41" s="478"/>
      <c r="C41" s="1403" t="s">
        <v>1</v>
      </c>
      <c r="D41" s="1404"/>
      <c r="E41" s="1405"/>
      <c r="F41" s="1406"/>
      <c r="G41" s="1407"/>
      <c r="H41" s="1408"/>
      <c r="I41" s="1405"/>
      <c r="J41" s="1408"/>
      <c r="K41" s="781"/>
      <c r="L41" s="1139"/>
      <c r="M41" s="1140"/>
      <c r="N41" s="1127"/>
      <c r="O41" s="1140"/>
      <c r="P41" s="3281" t="str">
        <f>A41</f>
        <v>成交单价（元/平方米）</v>
      </c>
      <c r="Q41" s="3281"/>
      <c r="R41" s="3282">
        <f>E41</f>
        <v>0</v>
      </c>
      <c r="S41" s="3282"/>
      <c r="T41" s="3282">
        <f>G41</f>
        <v>0</v>
      </c>
      <c r="U41" s="3282"/>
      <c r="V41" s="3282">
        <f>I41</f>
        <v>0</v>
      </c>
      <c r="W41" s="3282"/>
      <c r="X41" s="757"/>
      <c r="Y41" s="779"/>
      <c r="Z41" s="757"/>
      <c r="AA41" s="757"/>
      <c r="AB41" s="757"/>
      <c r="AC41" s="757"/>
    </row>
    <row r="42" spans="1:29" ht="15.75" thickBot="1">
      <c r="A42" s="484" t="s">
        <v>2658</v>
      </c>
      <c r="B42" s="485"/>
      <c r="C42" s="1409" t="e">
        <f>R43</f>
        <v>#DIV/0!</v>
      </c>
      <c r="D42" s="1410"/>
      <c r="E42" s="1411" t="e">
        <f>R42</f>
        <v>#DIV/0!</v>
      </c>
      <c r="F42" s="1411"/>
      <c r="G42" s="1409" t="e">
        <f>T42</f>
        <v>#DIV/0!</v>
      </c>
      <c r="H42" s="1410"/>
      <c r="I42" s="1411" t="e">
        <f>V42</f>
        <v>#DIV/0!</v>
      </c>
      <c r="J42" s="1410"/>
      <c r="K42" s="782"/>
      <c r="L42" s="1139"/>
      <c r="M42" s="1140"/>
      <c r="N42" s="1127"/>
      <c r="O42" s="1140"/>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7"/>
      <c r="Y42" s="757"/>
      <c r="Z42" s="757"/>
      <c r="AA42" s="757"/>
      <c r="AB42" s="757"/>
      <c r="AC42" s="757"/>
    </row>
    <row r="43" spans="1:29" ht="15.75" thickBot="1">
      <c r="A43" s="490" t="s">
        <v>2659</v>
      </c>
      <c r="B43" s="491"/>
      <c r="C43" s="1413" t="e">
        <f>R43</f>
        <v>#DIV/0!</v>
      </c>
      <c r="D43" s="1413"/>
      <c r="E43" s="1413"/>
      <c r="F43" s="1413"/>
      <c r="G43" s="1413"/>
      <c r="H43" s="1413"/>
      <c r="I43" s="1413"/>
      <c r="J43" s="1413"/>
      <c r="K43" s="783"/>
      <c r="L43" s="1139"/>
      <c r="M43" s="1140"/>
      <c r="N43" s="1140"/>
      <c r="O43" s="1140"/>
      <c r="P43" s="3278" t="str">
        <f>A43</f>
        <v>估价对象XX用房的比较价值（楼面单价，元/平方米）</v>
      </c>
      <c r="Q43" s="3279"/>
      <c r="R43" s="3280" t="e">
        <f>IF(F1="售价",ROUND(AVERAGE(R42:V42),0),ROUND(AVERAGE(R42:V42),1))</f>
        <v>#DIV/0!</v>
      </c>
      <c r="S43" s="3280"/>
      <c r="T43" s="3280"/>
      <c r="U43" s="3280"/>
      <c r="V43" s="3280"/>
      <c r="W43" s="3280"/>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2663</v>
      </c>
      <c r="B51" s="757"/>
      <c r="C51" s="762"/>
      <c r="D51" s="762"/>
      <c r="E51" s="762"/>
      <c r="F51" s="763"/>
      <c r="G51" s="763"/>
      <c r="H51" s="762"/>
      <c r="I51" s="762"/>
      <c r="J51" s="762"/>
      <c r="K51" s="1156"/>
      <c r="L51" s="1157"/>
      <c r="M51" s="1155"/>
      <c r="N51" s="1155"/>
      <c r="O51" s="1155"/>
      <c r="P51" s="501"/>
      <c r="Q51" s="502"/>
    </row>
    <row r="52" spans="1:17" s="506" customFormat="1" ht="15">
      <c r="A52" s="503" t="s">
        <v>2537</v>
      </c>
      <c r="B52" s="504"/>
      <c r="C52" s="1570" t="str">
        <f>YEAR(C7)&amp;"-"&amp;MONTH(C7)</f>
        <v>2019-4</v>
      </c>
      <c r="D52" s="1571">
        <f>EDATE(C52,-1)</f>
        <v>43525</v>
      </c>
      <c r="E52" s="1571">
        <f t="shared" ref="E52:O52" si="16">EDATE(D52,-1)</f>
        <v>43497</v>
      </c>
      <c r="F52" s="1571">
        <f t="shared" si="16"/>
        <v>43466</v>
      </c>
      <c r="G52" s="1571">
        <f t="shared" si="16"/>
        <v>43435</v>
      </c>
      <c r="H52" s="1571">
        <f t="shared" si="16"/>
        <v>43405</v>
      </c>
      <c r="I52" s="1571">
        <f t="shared" si="16"/>
        <v>43374</v>
      </c>
      <c r="J52" s="1571">
        <f t="shared" si="16"/>
        <v>43344</v>
      </c>
      <c r="K52" s="1571">
        <f t="shared" si="16"/>
        <v>43313</v>
      </c>
      <c r="L52" s="1571">
        <f t="shared" si="16"/>
        <v>43282</v>
      </c>
      <c r="M52" s="1571">
        <f t="shared" si="16"/>
        <v>43252</v>
      </c>
      <c r="N52" s="1571">
        <f t="shared" si="16"/>
        <v>43221</v>
      </c>
      <c r="O52" s="1571">
        <f t="shared" si="16"/>
        <v>43191</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2574</v>
      </c>
      <c r="B54" s="514"/>
      <c r="C54" s="515"/>
      <c r="D54" s="516"/>
      <c r="E54" s="516"/>
      <c r="F54" s="516"/>
      <c r="G54" s="516"/>
      <c r="H54" s="516"/>
      <c r="I54" s="516"/>
      <c r="J54" s="516"/>
      <c r="K54" s="516"/>
      <c r="L54" s="516"/>
      <c r="M54" s="517"/>
      <c r="N54" s="516"/>
      <c r="O54" s="518"/>
      <c r="P54" s="502"/>
      <c r="Q54" s="502"/>
    </row>
    <row r="55" spans="1:17" s="115" customFormat="1" ht="15">
      <c r="A55" s="519" t="s">
        <v>2539</v>
      </c>
      <c r="B55" s="508"/>
      <c r="C55" s="520" t="s">
        <v>2641</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2577</v>
      </c>
      <c r="B57" s="526" t="s">
        <v>2543</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2546</v>
      </c>
      <c r="C59" s="537" t="s">
        <v>2578</v>
      </c>
      <c r="D59" s="537" t="s">
        <v>2579</v>
      </c>
      <c r="E59" s="537" t="s">
        <v>2580</v>
      </c>
      <c r="F59" s="537" t="s">
        <v>2581</v>
      </c>
      <c r="G59" s="537" t="s">
        <v>2582</v>
      </c>
      <c r="H59" s="537" t="s">
        <v>2583</v>
      </c>
      <c r="I59" s="537" t="s">
        <v>2584</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2548</v>
      </c>
      <c r="B70" s="526" t="s">
        <v>2694</v>
      </c>
      <c r="C70" s="571" t="s">
        <v>2586</v>
      </c>
      <c r="D70" s="571" t="s">
        <v>2587</v>
      </c>
      <c r="E70" s="571" t="s">
        <v>2588</v>
      </c>
      <c r="F70" s="571" t="s">
        <v>2589</v>
      </c>
      <c r="G70" s="571" t="s">
        <v>2590</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2591</v>
      </c>
      <c r="C72" s="576" t="s">
        <v>2586</v>
      </c>
      <c r="D72" s="576" t="s">
        <v>2587</v>
      </c>
      <c r="E72" s="576" t="s">
        <v>2588</v>
      </c>
      <c r="F72" s="576" t="s">
        <v>2589</v>
      </c>
      <c r="G72" s="576" t="s">
        <v>2590</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2592</v>
      </c>
      <c r="C74" s="576" t="s">
        <v>2586</v>
      </c>
      <c r="D74" s="576" t="s">
        <v>2587</v>
      </c>
      <c r="E74" s="576" t="s">
        <v>2588</v>
      </c>
      <c r="F74" s="576" t="s">
        <v>2589</v>
      </c>
      <c r="G74" s="576" t="s">
        <v>2590</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2678</v>
      </c>
      <c r="C76" s="658" t="s">
        <v>2664</v>
      </c>
      <c r="D76" s="658" t="s">
        <v>2665</v>
      </c>
      <c r="E76" s="658" t="s">
        <v>2666</v>
      </c>
      <c r="F76" s="658" t="s">
        <v>2667</v>
      </c>
      <c r="G76" s="658" t="s">
        <v>2668</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2687</v>
      </c>
      <c r="C78" s="576" t="s">
        <v>2586</v>
      </c>
      <c r="D78" s="576" t="s">
        <v>2587</v>
      </c>
      <c r="E78" s="576" t="s">
        <v>2588</v>
      </c>
      <c r="F78" s="576" t="s">
        <v>2589</v>
      </c>
      <c r="G78" s="576" t="s">
        <v>2590</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2"/>
      <c r="B87" s="567"/>
      <c r="C87" s="568"/>
      <c r="D87" s="568"/>
      <c r="E87" s="568"/>
      <c r="F87" s="568"/>
      <c r="G87" s="589"/>
      <c r="H87" s="589"/>
      <c r="I87" s="589"/>
      <c r="J87" s="589"/>
      <c r="K87" s="589"/>
      <c r="L87" s="589"/>
      <c r="M87" s="590"/>
      <c r="N87" s="1149"/>
      <c r="O87" s="1149"/>
      <c r="P87" s="45"/>
      <c r="Q87" s="502"/>
    </row>
    <row r="88" spans="1:17">
      <c r="A88" s="525" t="s">
        <v>2552</v>
      </c>
      <c r="B88" s="526" t="s">
        <v>2601</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2602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2603</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2605</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2606</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2607</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2609</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2695</v>
      </c>
      <c r="C106" s="576" t="s">
        <v>2586</v>
      </c>
      <c r="D106" s="576" t="s">
        <v>2587</v>
      </c>
      <c r="E106" s="576" t="s">
        <v>2588</v>
      </c>
      <c r="F106" s="576" t="s">
        <v>2589</v>
      </c>
      <c r="G106" s="576" t="s">
        <v>2590</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2"/>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2696</v>
      </c>
      <c r="B1" s="1615"/>
      <c r="C1" s="1616" t="s">
        <v>2519</v>
      </c>
      <c r="D1" s="1617"/>
      <c r="E1" s="1618"/>
      <c r="F1" s="2580"/>
      <c r="G1" s="1619" t="s">
        <v>2632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2316</v>
      </c>
      <c r="B2" s="1414" t="e">
        <f ca="1">IF(C2="——",IF(B37="元/平方米",ROUND(C39*D3/10000,0),ROUND(F3*C39/10000,0)),IF(B37="元/平方米",ROUND(C39*D3/10000,0),ROUND(F3*C39/10000,0))-D2)</f>
        <v>#DIV/0!</v>
      </c>
      <c r="C2" s="2582"/>
      <c r="D2" s="1120" t="e">
        <f ca="1">SUMIF(INDIRECT("'"&amp;F2&amp;"'"&amp;"!A:A"),"承租人权益价值",INDIRECT("'"&amp;F2&amp;"'"&amp;"!c:c"))</f>
        <v>#REF!</v>
      </c>
      <c r="E2" s="2583" t="s">
        <v>2317</v>
      </c>
      <c r="F2" s="2584"/>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2318</v>
      </c>
      <c r="B3" s="607" t="e">
        <f ca="1">IF(AND(C2="——",B37="元/平方米"),C39,ROUND(B2*10000/D3,0))</f>
        <v>#DIV/0!</v>
      </c>
      <c r="C3" s="398" t="s">
        <v>2633</v>
      </c>
      <c r="D3" s="397">
        <f>SUMIF('数据-汇总表'!$C19:$C33,D1,'数据-汇总表'!$E19:$E33)</f>
        <v>0</v>
      </c>
      <c r="E3" s="398" t="s">
        <v>2697</v>
      </c>
      <c r="F3" s="397">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SUMIF(48:48,YEAR(E7)&amp;"-"&amp;MONTH(E7),49:49)</f>
        <v>0</v>
      </c>
      <c r="G7" s="410"/>
      <c r="H7" s="409">
        <f>SUMIF(48:48,YEAR(G7)&amp;"-"&amp;MONTH(G7),49:49)</f>
        <v>0</v>
      </c>
      <c r="I7" s="410"/>
      <c r="J7" s="409">
        <f>SUMIF(48:48,YEAR(I7)&amp;"-"&amp;MONTH(I7),49:49)</f>
        <v>0</v>
      </c>
      <c r="K7" s="609"/>
      <c r="L7" s="1128"/>
      <c r="M7" s="1129"/>
      <c r="N7" s="1129"/>
      <c r="O7" s="1129"/>
      <c r="P7" s="3317" t="s">
        <v>2538</v>
      </c>
      <c r="Q7" s="3319"/>
      <c r="R7" s="768" t="s">
        <v>17</v>
      </c>
      <c r="S7" s="769">
        <f t="shared" ref="S7:S14" si="0">F7</f>
        <v>0</v>
      </c>
      <c r="T7" s="768" t="s">
        <v>17</v>
      </c>
      <c r="U7" s="769">
        <f t="shared" ref="U7:U14" si="1">H7</f>
        <v>0</v>
      </c>
      <c r="V7" s="768" t="s">
        <v>17</v>
      </c>
      <c r="W7" s="769">
        <f t="shared" ref="W7:W14" si="2">J7</f>
        <v>0</v>
      </c>
      <c r="X7" s="770"/>
      <c r="Y7" s="3317" t="s">
        <v>2538</v>
      </c>
      <c r="Z7" s="3318"/>
      <c r="AA7" s="771" t="e">
        <f>D7/F7</f>
        <v>#DIV/0!</v>
      </c>
      <c r="AB7" s="771" t="e">
        <f>D7/H7</f>
        <v>#DIV/0!</v>
      </c>
      <c r="AC7" s="771" t="e">
        <f>D7/J7</f>
        <v>#DIV/0!</v>
      </c>
    </row>
    <row r="8" spans="1:29" s="115" customFormat="1" ht="15.75" thickBot="1">
      <c r="A8" s="406" t="s">
        <v>2539</v>
      </c>
      <c r="B8" s="407"/>
      <c r="C8" s="412" t="s">
        <v>2641</v>
      </c>
      <c r="D8" s="409">
        <v>100</v>
      </c>
      <c r="E8" s="412"/>
      <c r="F8" s="411">
        <f>SUMIF(51:51,E8,52:52)-SUMIF(51:51,C8,52:52)+100</f>
        <v>0</v>
      </c>
      <c r="G8" s="412"/>
      <c r="H8" s="409">
        <f>SUMIF(51:51,G8,52:52)-SUMIF(51:51,C8,52:52)+100</f>
        <v>0</v>
      </c>
      <c r="I8" s="412"/>
      <c r="J8" s="409">
        <f>SUMIF(51:51,I8,52:52)-SUMIF(51:51,C8,52:52)+100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36" si="3">D8/F8</f>
        <v>#DIV/0!</v>
      </c>
      <c r="AB8" s="771" t="e">
        <f t="shared" ref="AB8:AB36" si="4">D8/H8</f>
        <v>#DIV/0!</v>
      </c>
      <c r="AC8" s="771" t="e">
        <f t="shared" ref="AC8:AC36" si="5">D8/J8</f>
        <v>#DIV/0!</v>
      </c>
    </row>
    <row r="9" spans="1:29" s="115" customFormat="1">
      <c r="A9" s="68" t="s">
        <v>2542</v>
      </c>
      <c r="B9" s="638" t="s">
        <v>2543</v>
      </c>
      <c r="C9" s="414"/>
      <c r="D9" s="133">
        <v>100</v>
      </c>
      <c r="E9" s="417"/>
      <c r="F9" s="133">
        <f>SUMIF(53:53,E9,54:54)-SUMIF(53:53,C9,54:54)+100</f>
        <v>100</v>
      </c>
      <c r="G9" s="415"/>
      <c r="H9" s="133">
        <f>SUMIF(53:53,G9,54:54)-SUMIF(53:53,C9,54:54)+100</f>
        <v>100</v>
      </c>
      <c r="I9" s="415"/>
      <c r="J9" s="133">
        <f>SUMIF(53:53,I9,54:54)-SUMIF(53:53,C9,54:54)+100</f>
        <v>100</v>
      </c>
      <c r="K9" s="609"/>
      <c r="L9" s="1128"/>
      <c r="M9" s="1129"/>
      <c r="N9" s="1129"/>
      <c r="O9" s="1129"/>
      <c r="P9" s="3281" t="s">
        <v>2544</v>
      </c>
      <c r="Q9" s="1791" t="str">
        <f t="shared" ref="Q9:Q14" si="6">B9</f>
        <v>用途</v>
      </c>
      <c r="R9" s="768" t="s">
        <v>17</v>
      </c>
      <c r="S9" s="769">
        <f t="shared" si="0"/>
        <v>100</v>
      </c>
      <c r="T9" s="768" t="s">
        <v>17</v>
      </c>
      <c r="U9" s="769">
        <f t="shared" si="1"/>
        <v>100</v>
      </c>
      <c r="V9" s="768" t="s">
        <v>17</v>
      </c>
      <c r="W9" s="769">
        <f t="shared" si="2"/>
        <v>100</v>
      </c>
      <c r="X9" s="770"/>
      <c r="Y9" s="3082" t="s">
        <v>2545</v>
      </c>
      <c r="Z9" s="55" t="str">
        <f t="shared" ref="Z9:Z14" si="7">Q9</f>
        <v>用途</v>
      </c>
      <c r="AA9" s="771">
        <f t="shared" si="3"/>
        <v>1</v>
      </c>
      <c r="AB9" s="771">
        <f t="shared" si="4"/>
        <v>1</v>
      </c>
      <c r="AC9" s="771">
        <f t="shared" si="5"/>
        <v>1</v>
      </c>
    </row>
    <row r="10" spans="1:29" s="425" customFormat="1" ht="27">
      <c r="A10" s="639"/>
      <c r="B10" s="640" t="s">
        <v>2546</v>
      </c>
      <c r="C10" s="421"/>
      <c r="D10" s="134">
        <v>100</v>
      </c>
      <c r="E10" s="421"/>
      <c r="F10" s="134">
        <f>SUMIF(55:55,E10,56:56)-SUMIF(55:55,C10,56:56)+100</f>
        <v>100</v>
      </c>
      <c r="G10" s="422"/>
      <c r="H10" s="134">
        <f>SUMIF(55:55,G10,56:56)-SUMIF(55:55,C10,56:56)+100</f>
        <v>100</v>
      </c>
      <c r="I10" s="421"/>
      <c r="J10" s="134">
        <f>SUMIF(55:55,I10,56:56)-SUMIF(55:55,C10,56:56)+100</f>
        <v>100</v>
      </c>
      <c r="K10" s="610"/>
      <c r="L10" s="1131"/>
      <c r="M10" s="1132"/>
      <c r="N10" s="1132"/>
      <c r="O10" s="1132"/>
      <c r="P10" s="3281"/>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281"/>
      <c r="Q11" s="1791">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
      <c r="A14" s="399" t="s">
        <v>2548</v>
      </c>
      <c r="B14" s="627" t="s">
        <v>2698</v>
      </c>
      <c r="C14" s="2689">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6"/>
      <c r="M14" s="1127"/>
      <c r="N14" s="1127"/>
      <c r="O14" s="1127"/>
      <c r="P14" s="3283" t="s">
        <v>2549</v>
      </c>
      <c r="Q14" s="1806" t="str">
        <f t="shared" si="6"/>
        <v>交通便捷度</v>
      </c>
      <c r="R14" s="772" t="s">
        <v>17</v>
      </c>
      <c r="S14" s="773">
        <f t="shared" si="0"/>
        <v>100</v>
      </c>
      <c r="T14" s="772" t="s">
        <v>17</v>
      </c>
      <c r="U14" s="773">
        <f t="shared" si="1"/>
        <v>100</v>
      </c>
      <c r="V14" s="772" t="s">
        <v>17</v>
      </c>
      <c r="W14" s="773">
        <f t="shared" si="2"/>
        <v>100</v>
      </c>
      <c r="X14" s="1809"/>
      <c r="Y14" s="3283" t="s">
        <v>2549</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6"/>
      <c r="M15" s="1127"/>
      <c r="N15" s="1127"/>
      <c r="O15" s="1127"/>
      <c r="P15" s="3284"/>
      <c r="Q15" s="1806"/>
      <c r="R15" s="772"/>
      <c r="S15" s="773"/>
      <c r="T15" s="772"/>
      <c r="U15" s="773"/>
      <c r="V15" s="772"/>
      <c r="W15" s="773"/>
      <c r="X15" s="1809"/>
      <c r="Y15" s="3284"/>
      <c r="Z15" s="1810"/>
      <c r="AA15" s="1807">
        <v>1</v>
      </c>
      <c r="AB15" s="1807">
        <v>1</v>
      </c>
      <c r="AC15" s="1807">
        <v>1</v>
      </c>
    </row>
    <row r="16" spans="1:29" ht="15">
      <c r="A16" s="402"/>
      <c r="B16" s="629" t="s">
        <v>2677</v>
      </c>
      <c r="C16" s="2603">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6"/>
      <c r="M16" s="1127"/>
      <c r="N16" s="1127"/>
      <c r="O16" s="1127"/>
      <c r="P16" s="3284"/>
      <c r="Q16" s="1806" t="str">
        <f>B16</f>
        <v>公共配套设施</v>
      </c>
      <c r="R16" s="772" t="s">
        <v>17</v>
      </c>
      <c r="S16" s="773">
        <f>F16</f>
        <v>100</v>
      </c>
      <c r="T16" s="772" t="s">
        <v>17</v>
      </c>
      <c r="U16" s="773">
        <f>H16</f>
        <v>100</v>
      </c>
      <c r="V16" s="772" t="s">
        <v>17</v>
      </c>
      <c r="W16" s="773">
        <f>J16</f>
        <v>100</v>
      </c>
      <c r="X16" s="1809"/>
      <c r="Y16" s="3284"/>
      <c r="Z16" s="1810" t="str">
        <f>Q16</f>
        <v>公共配套设施</v>
      </c>
      <c r="AA16" s="1807">
        <f t="shared" si="3"/>
        <v>1</v>
      </c>
      <c r="AB16" s="1807">
        <f t="shared" si="4"/>
        <v>1</v>
      </c>
      <c r="AC16" s="1807">
        <f t="shared" si="5"/>
        <v>1</v>
      </c>
    </row>
    <row r="17" spans="1:29" ht="15">
      <c r="A17" s="402"/>
      <c r="B17" s="630"/>
      <c r="C17" s="2604"/>
      <c r="D17" s="446"/>
      <c r="E17" s="445"/>
      <c r="F17" s="447"/>
      <c r="G17" s="445"/>
      <c r="H17" s="446"/>
      <c r="I17" s="445"/>
      <c r="J17" s="446"/>
      <c r="K17" s="613"/>
      <c r="L17" s="1136"/>
      <c r="M17" s="1127"/>
      <c r="N17" s="1127"/>
      <c r="O17" s="1127"/>
      <c r="P17" s="3284"/>
      <c r="Q17" s="1806"/>
      <c r="R17" s="772"/>
      <c r="S17" s="773"/>
      <c r="T17" s="772"/>
      <c r="U17" s="773"/>
      <c r="V17" s="772"/>
      <c r="W17" s="773"/>
      <c r="X17" s="1809"/>
      <c r="Y17" s="3284"/>
      <c r="Z17" s="1810"/>
      <c r="AA17" s="1807">
        <v>1</v>
      </c>
      <c r="AB17" s="1807">
        <v>1</v>
      </c>
      <c r="AC17" s="1807">
        <v>1</v>
      </c>
    </row>
    <row r="18" spans="1:29" ht="15">
      <c r="A18" s="402"/>
      <c r="B18" s="631" t="s">
        <v>2678</v>
      </c>
      <c r="C18" s="2603">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6"/>
      <c r="M18" s="1127"/>
      <c r="N18" s="1127"/>
      <c r="O18" s="1127"/>
      <c r="P18" s="3284"/>
      <c r="Q18" s="1806" t="str">
        <f>B18</f>
        <v>基础设施水平</v>
      </c>
      <c r="R18" s="772" t="s">
        <v>17</v>
      </c>
      <c r="S18" s="773">
        <f>F18</f>
        <v>100</v>
      </c>
      <c r="T18" s="772" t="s">
        <v>17</v>
      </c>
      <c r="U18" s="773">
        <f>H18</f>
        <v>100</v>
      </c>
      <c r="V18" s="772" t="s">
        <v>17</v>
      </c>
      <c r="W18" s="773">
        <f>J18</f>
        <v>100</v>
      </c>
      <c r="X18" s="1809"/>
      <c r="Y18" s="3284"/>
      <c r="Z18" s="1810" t="str">
        <f>Q18</f>
        <v>基础设施水平</v>
      </c>
      <c r="AA18" s="1807">
        <f t="shared" ref="AA18" si="8">D18/F18</f>
        <v>1</v>
      </c>
      <c r="AB18" s="1807">
        <f t="shared" ref="AB18" si="9">D18/H18</f>
        <v>1</v>
      </c>
      <c r="AC18" s="1807">
        <f t="shared" ref="AC18" si="10">D18/J18</f>
        <v>1</v>
      </c>
    </row>
    <row r="19" spans="1:29" ht="15">
      <c r="A19" s="402"/>
      <c r="B19" s="631"/>
      <c r="C19" s="2604"/>
      <c r="D19" s="448"/>
      <c r="E19" s="2604"/>
      <c r="F19" s="451"/>
      <c r="G19" s="2604"/>
      <c r="H19" s="446"/>
      <c r="I19" s="445"/>
      <c r="J19" s="446"/>
      <c r="K19" s="1379"/>
      <c r="L19" s="1136"/>
      <c r="M19" s="1127"/>
      <c r="N19" s="1127"/>
      <c r="O19" s="1127"/>
      <c r="P19" s="3284"/>
      <c r="Q19" s="1806"/>
      <c r="R19" s="772"/>
      <c r="S19" s="773"/>
      <c r="T19" s="772"/>
      <c r="U19" s="773"/>
      <c r="V19" s="772"/>
      <c r="W19" s="773"/>
      <c r="X19" s="1809"/>
      <c r="Y19" s="3284"/>
      <c r="Z19" s="1810"/>
      <c r="AA19" s="1807">
        <v>1</v>
      </c>
      <c r="AB19" s="1807">
        <v>1</v>
      </c>
      <c r="AC19" s="1807">
        <v>1</v>
      </c>
    </row>
    <row r="20" spans="1:29" ht="15">
      <c r="A20" s="402"/>
      <c r="B20" s="629" t="s">
        <v>2699</v>
      </c>
      <c r="C20" s="2603">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6"/>
      <c r="M20" s="1127"/>
      <c r="N20" s="1127"/>
      <c r="O20" s="1127"/>
      <c r="P20" s="3284"/>
      <c r="Q20" s="1806" t="str">
        <f>B20</f>
        <v>自然及人文环境</v>
      </c>
      <c r="R20" s="772" t="s">
        <v>17</v>
      </c>
      <c r="S20" s="773">
        <f>F20</f>
        <v>100</v>
      </c>
      <c r="T20" s="772" t="s">
        <v>17</v>
      </c>
      <c r="U20" s="773">
        <f>H20</f>
        <v>100</v>
      </c>
      <c r="V20" s="772" t="s">
        <v>17</v>
      </c>
      <c r="W20" s="773">
        <f>J20</f>
        <v>100</v>
      </c>
      <c r="X20" s="1809"/>
      <c r="Y20" s="3284"/>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6"/>
      <c r="M21" s="1127"/>
      <c r="N21" s="1127"/>
      <c r="O21" s="1127"/>
      <c r="P21" s="3284"/>
      <c r="Q21" s="1806"/>
      <c r="R21" s="772"/>
      <c r="S21" s="773"/>
      <c r="T21" s="772"/>
      <c r="U21" s="773"/>
      <c r="V21" s="772"/>
      <c r="W21" s="773"/>
      <c r="X21" s="1809"/>
      <c r="Y21" s="3284"/>
      <c r="Z21" s="1810"/>
      <c r="AA21" s="1807">
        <v>1</v>
      </c>
      <c r="AB21" s="1807">
        <v>1</v>
      </c>
      <c r="AC21" s="1807">
        <v>1</v>
      </c>
    </row>
    <row r="22" spans="1:29" ht="15">
      <c r="A22" s="402"/>
      <c r="B22" s="629" t="s">
        <v>2700</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284"/>
      <c r="Q22" s="1806" t="str">
        <f>B22</f>
        <v>楼层</v>
      </c>
      <c r="R22" s="772" t="s">
        <v>17</v>
      </c>
      <c r="S22" s="773">
        <f>F22</f>
        <v>100</v>
      </c>
      <c r="T22" s="772" t="s">
        <v>17</v>
      </c>
      <c r="U22" s="773">
        <f>H22</f>
        <v>100</v>
      </c>
      <c r="V22" s="772" t="s">
        <v>17</v>
      </c>
      <c r="W22" s="773">
        <f>J22</f>
        <v>100</v>
      </c>
      <c r="X22" s="1809"/>
      <c r="Y22" s="3284"/>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284"/>
      <c r="Q23" s="1806">
        <f>B23</f>
        <v>111</v>
      </c>
      <c r="R23" s="772" t="s">
        <v>17</v>
      </c>
      <c r="S23" s="773">
        <f>F23</f>
        <v>100</v>
      </c>
      <c r="T23" s="772" t="s">
        <v>17</v>
      </c>
      <c r="U23" s="773">
        <f>H23</f>
        <v>100</v>
      </c>
      <c r="V23" s="772" t="s">
        <v>17</v>
      </c>
      <c r="W23" s="773">
        <f>J23</f>
        <v>100</v>
      </c>
      <c r="X23" s="1809"/>
      <c r="Y23" s="3284"/>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284"/>
      <c r="Q24" s="1806">
        <f t="shared" ref="Q24:Q36" si="11">B24</f>
        <v>111</v>
      </c>
      <c r="R24" s="772" t="s">
        <v>17</v>
      </c>
      <c r="S24" s="773">
        <f>F24</f>
        <v>100</v>
      </c>
      <c r="T24" s="772" t="s">
        <v>17</v>
      </c>
      <c r="U24" s="773">
        <f>H24</f>
        <v>100</v>
      </c>
      <c r="V24" s="772" t="s">
        <v>17</v>
      </c>
      <c r="W24" s="773">
        <f>J24</f>
        <v>100</v>
      </c>
      <c r="X24" s="1809"/>
      <c r="Y24" s="3284"/>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284"/>
      <c r="Q25" s="1791">
        <f t="shared" si="11"/>
        <v>111</v>
      </c>
      <c r="R25" s="768" t="s">
        <v>17</v>
      </c>
      <c r="S25" s="769">
        <f>F25</f>
        <v>100</v>
      </c>
      <c r="T25" s="768" t="s">
        <v>17</v>
      </c>
      <c r="U25" s="769">
        <f>H25</f>
        <v>100</v>
      </c>
      <c r="V25" s="768" t="s">
        <v>17</v>
      </c>
      <c r="W25" s="769">
        <f>J25</f>
        <v>100</v>
      </c>
      <c r="X25" s="770"/>
      <c r="Y25" s="3284"/>
      <c r="Z25" s="55">
        <f>Q25</f>
        <v>111</v>
      </c>
      <c r="AA25" s="1807">
        <f>D25/F25</f>
        <v>1</v>
      </c>
      <c r="AB25" s="1807">
        <f>D25/H25</f>
        <v>1</v>
      </c>
      <c r="AC25" s="1807">
        <f>D25/J25</f>
        <v>1</v>
      </c>
    </row>
    <row r="26" spans="1:29" ht="28.5">
      <c r="A26" s="650" t="s">
        <v>2552</v>
      </c>
      <c r="B26" s="70" t="s">
        <v>2701</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6"/>
      <c r="M26" s="1127"/>
      <c r="N26" s="1127"/>
      <c r="O26" s="1127"/>
      <c r="P26" s="3339" t="s">
        <v>2554</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88" t="s">
        <v>2554</v>
      </c>
      <c r="Z26" s="1810" t="str">
        <f t="shared" ref="Z26:Z36" si="15">Q26</f>
        <v>配套类型</v>
      </c>
      <c r="AA26" s="1807">
        <f t="shared" si="3"/>
        <v>1</v>
      </c>
      <c r="AB26" s="1807">
        <f t="shared" si="4"/>
        <v>1</v>
      </c>
      <c r="AC26" s="1807">
        <f t="shared" si="5"/>
        <v>1</v>
      </c>
    </row>
    <row r="27" spans="1:29" s="469" customFormat="1" ht="15">
      <c r="A27" s="651"/>
      <c r="B27" s="652" t="s">
        <v>2702</v>
      </c>
      <c r="C27" s="653"/>
      <c r="D27" s="134">
        <v>100</v>
      </c>
      <c r="E27" s="653"/>
      <c r="F27" s="459">
        <f>SUMIF(81:81,E27,82:82)-SUMIF(81:81,C27,82:82)+100</f>
        <v>100</v>
      </c>
      <c r="G27" s="653"/>
      <c r="H27" s="433">
        <f>SUMIF(81:81,G27,82:82)-SUMIF(81:81,C27,82:82)+100</f>
        <v>100</v>
      </c>
      <c r="I27" s="653"/>
      <c r="J27" s="433">
        <f>SUMIF(81:81,I27,82:82)-SUMIF(81:81,C27,82:82)+100</f>
        <v>100</v>
      </c>
      <c r="K27" s="611"/>
      <c r="L27" s="1134"/>
      <c r="M27" s="1137"/>
      <c r="N27" s="1137"/>
      <c r="O27" s="1137"/>
      <c r="P27" s="3288"/>
      <c r="Q27" s="774" t="str">
        <f t="shared" si="11"/>
        <v>项目停车位配比</v>
      </c>
      <c r="R27" s="775" t="s">
        <v>17</v>
      </c>
      <c r="S27" s="776">
        <f t="shared" si="12"/>
        <v>100</v>
      </c>
      <c r="T27" s="775" t="s">
        <v>17</v>
      </c>
      <c r="U27" s="776">
        <f t="shared" si="13"/>
        <v>100</v>
      </c>
      <c r="V27" s="775" t="s">
        <v>17</v>
      </c>
      <c r="W27" s="776">
        <f t="shared" si="14"/>
        <v>100</v>
      </c>
      <c r="X27" s="777"/>
      <c r="Y27" s="3288"/>
      <c r="Z27" s="778" t="str">
        <f t="shared" si="15"/>
        <v>项目停车位配比</v>
      </c>
      <c r="AA27" s="1807">
        <f t="shared" si="3"/>
        <v>1</v>
      </c>
      <c r="AB27" s="1807">
        <f t="shared" si="4"/>
        <v>1</v>
      </c>
      <c r="AC27" s="1807">
        <f t="shared" si="5"/>
        <v>1</v>
      </c>
    </row>
    <row r="28" spans="1:29" ht="15">
      <c r="A28" s="654"/>
      <c r="B28" s="652" t="s">
        <v>2703</v>
      </c>
      <c r="C28" s="458"/>
      <c r="D28" s="433">
        <v>100</v>
      </c>
      <c r="E28" s="458"/>
      <c r="F28" s="459">
        <f>SUMIF(83:83,E28,84:84)-SUMIF(83:83,C28,84:84)+100</f>
        <v>100</v>
      </c>
      <c r="G28" s="458"/>
      <c r="H28" s="433">
        <f>SUMIF(83:83,G28,84:84)-SUMIF(83:83,C28,84:84)+100</f>
        <v>100</v>
      </c>
      <c r="I28" s="458"/>
      <c r="J28" s="433">
        <f>SUMIF(83:83,I28,84:84)-SUMIF(83:83,C28,84:84)+100</f>
        <v>100</v>
      </c>
      <c r="K28" s="610"/>
      <c r="L28" s="1136"/>
      <c r="M28" s="1127"/>
      <c r="N28" s="1127"/>
      <c r="O28" s="1127"/>
      <c r="P28" s="3288"/>
      <c r="Q28" s="1806" t="str">
        <f t="shared" si="11"/>
        <v>公共部分装修</v>
      </c>
      <c r="R28" s="772" t="s">
        <v>17</v>
      </c>
      <c r="S28" s="773">
        <f t="shared" si="12"/>
        <v>100</v>
      </c>
      <c r="T28" s="772" t="s">
        <v>17</v>
      </c>
      <c r="U28" s="773">
        <f t="shared" si="13"/>
        <v>100</v>
      </c>
      <c r="V28" s="772" t="s">
        <v>17</v>
      </c>
      <c r="W28" s="773">
        <f t="shared" si="14"/>
        <v>100</v>
      </c>
      <c r="X28" s="1809"/>
      <c r="Y28" s="3288"/>
      <c r="Z28" s="1810" t="str">
        <f t="shared" si="15"/>
        <v>公共部分装修</v>
      </c>
      <c r="AA28" s="1807">
        <f t="shared" si="3"/>
        <v>1</v>
      </c>
      <c r="AB28" s="1807">
        <f t="shared" si="4"/>
        <v>1</v>
      </c>
      <c r="AC28" s="1807">
        <f t="shared" si="5"/>
        <v>1</v>
      </c>
    </row>
    <row r="29" spans="1:29" ht="15">
      <c r="A29" s="654"/>
      <c r="B29" s="652" t="s">
        <v>2704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6"/>
      <c r="M29" s="1127"/>
      <c r="N29" s="1127"/>
      <c r="O29" s="1127"/>
      <c r="P29" s="3288"/>
      <c r="Q29" s="1806" t="str">
        <f t="shared" si="11"/>
        <v>成新率</v>
      </c>
      <c r="R29" s="772" t="s">
        <v>17</v>
      </c>
      <c r="S29" s="773" t="e">
        <f t="shared" si="12"/>
        <v>#N/A</v>
      </c>
      <c r="T29" s="772" t="s">
        <v>17</v>
      </c>
      <c r="U29" s="773" t="e">
        <f t="shared" si="13"/>
        <v>#N/A</v>
      </c>
      <c r="V29" s="772" t="s">
        <v>17</v>
      </c>
      <c r="W29" s="773" t="e">
        <f t="shared" si="14"/>
        <v>#N/A</v>
      </c>
      <c r="X29" s="1809"/>
      <c r="Y29" s="3288"/>
      <c r="Z29" s="1810" t="str">
        <f t="shared" si="15"/>
        <v>成新率</v>
      </c>
      <c r="AA29" s="1807" t="e">
        <f t="shared" si="3"/>
        <v>#N/A</v>
      </c>
      <c r="AB29" s="1807" t="e">
        <f t="shared" si="4"/>
        <v>#N/A</v>
      </c>
      <c r="AC29" s="1807" t="e">
        <f t="shared" si="5"/>
        <v>#N/A</v>
      </c>
    </row>
    <row r="30" spans="1:29" ht="15">
      <c r="A30" s="654"/>
      <c r="B30" s="652" t="s">
        <v>2705</v>
      </c>
      <c r="C30" s="655"/>
      <c r="D30" s="433">
        <v>100</v>
      </c>
      <c r="E30" s="655"/>
      <c r="F30" s="459">
        <f>SUMIF(88:88,E30,89:89)-SUMIF(88:88,C30,89:89)+100</f>
        <v>100</v>
      </c>
      <c r="G30" s="655"/>
      <c r="H30" s="433">
        <f>SUMIF(88:88,E30,89:89)-SUMIF(88:88,C30,89:89)+100</f>
        <v>100</v>
      </c>
      <c r="I30" s="655"/>
      <c r="J30" s="433">
        <f>SUMIF(88:88,E30,89:89)-SUMIF(88:88,C30,89:89)+100</f>
        <v>100</v>
      </c>
      <c r="K30" s="610"/>
      <c r="L30" s="1136"/>
      <c r="M30" s="1127"/>
      <c r="N30" s="1127"/>
      <c r="O30" s="1127"/>
      <c r="P30" s="3288"/>
      <c r="Q30" s="1806" t="str">
        <f t="shared" si="11"/>
        <v>物业等级</v>
      </c>
      <c r="R30" s="772" t="s">
        <v>17</v>
      </c>
      <c r="S30" s="773">
        <f t="shared" si="12"/>
        <v>100</v>
      </c>
      <c r="T30" s="772" t="s">
        <v>17</v>
      </c>
      <c r="U30" s="773">
        <f t="shared" si="13"/>
        <v>100</v>
      </c>
      <c r="V30" s="772" t="s">
        <v>17</v>
      </c>
      <c r="W30" s="773">
        <f t="shared" si="14"/>
        <v>100</v>
      </c>
      <c r="X30" s="1809"/>
      <c r="Y30" s="3288"/>
      <c r="Z30" s="1810" t="str">
        <f t="shared" si="15"/>
        <v>物业等级</v>
      </c>
      <c r="AA30" s="1807">
        <f t="shared" si="3"/>
        <v>1</v>
      </c>
      <c r="AB30" s="1807">
        <f t="shared" si="4"/>
        <v>1</v>
      </c>
      <c r="AC30" s="1807">
        <f t="shared" si="5"/>
        <v>1</v>
      </c>
    </row>
    <row r="31" spans="1:29" s="115" customFormat="1" ht="15">
      <c r="A31" s="656"/>
      <c r="B31" s="652" t="s">
        <v>2706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8"/>
      <c r="M31" s="1129"/>
      <c r="N31" s="1129"/>
      <c r="O31" s="1129"/>
      <c r="P31" s="3288"/>
      <c r="Q31" s="1791" t="str">
        <f t="shared" si="11"/>
        <v>停车位面积</v>
      </c>
      <c r="R31" s="768" t="s">
        <v>17</v>
      </c>
      <c r="S31" s="769" t="e">
        <f t="shared" si="12"/>
        <v>#N/A</v>
      </c>
      <c r="T31" s="768" t="s">
        <v>17</v>
      </c>
      <c r="U31" s="769" t="e">
        <f t="shared" si="13"/>
        <v>#N/A</v>
      </c>
      <c r="V31" s="768" t="s">
        <v>17</v>
      </c>
      <c r="W31" s="769" t="e">
        <f t="shared" si="14"/>
        <v>#N/A</v>
      </c>
      <c r="X31" s="770"/>
      <c r="Y31" s="3288"/>
      <c r="Z31" s="55" t="str">
        <f t="shared" si="15"/>
        <v>停车位面积</v>
      </c>
      <c r="AA31" s="771" t="e">
        <f t="shared" si="3"/>
        <v>#N/A</v>
      </c>
      <c r="AB31" s="771" t="e">
        <f t="shared" si="4"/>
        <v>#N/A</v>
      </c>
      <c r="AC31" s="771" t="e">
        <f t="shared" si="5"/>
        <v>#N/A</v>
      </c>
    </row>
    <row r="32" spans="1:29" ht="15">
      <c r="A32" s="654"/>
      <c r="B32" s="652" t="s">
        <v>2707</v>
      </c>
      <c r="C32" s="458"/>
      <c r="D32" s="433">
        <v>100</v>
      </c>
      <c r="E32" s="458"/>
      <c r="F32" s="459">
        <f>SUMIF(93:93,E32,94:94)-SUMIF(93:93,C32,94:94)+100</f>
        <v>100</v>
      </c>
      <c r="G32" s="458"/>
      <c r="H32" s="433">
        <f>SUMIF(93:93,G32,94:94)-SUMIF(93:93,C32,94:94)+100</f>
        <v>100</v>
      </c>
      <c r="I32" s="458"/>
      <c r="J32" s="433">
        <f>SUMIF(93:93,I32,94:94)-SUMIF(93:93,C32,94:94)+100</f>
        <v>100</v>
      </c>
      <c r="K32" s="610"/>
      <c r="L32" s="1136"/>
      <c r="M32" s="1127"/>
      <c r="N32" s="1127"/>
      <c r="O32" s="1127"/>
      <c r="P32" s="3288" t="s">
        <v>2554</v>
      </c>
      <c r="Q32" s="1806" t="str">
        <f t="shared" si="11"/>
        <v>车位类型</v>
      </c>
      <c r="R32" s="772" t="s">
        <v>17</v>
      </c>
      <c r="S32" s="773">
        <f t="shared" si="12"/>
        <v>100</v>
      </c>
      <c r="T32" s="772" t="s">
        <v>17</v>
      </c>
      <c r="U32" s="773">
        <f t="shared" si="13"/>
        <v>100</v>
      </c>
      <c r="V32" s="772" t="s">
        <v>17</v>
      </c>
      <c r="W32" s="773">
        <f t="shared" si="14"/>
        <v>100</v>
      </c>
      <c r="X32" s="1809"/>
      <c r="Y32" s="3288" t="s">
        <v>2554</v>
      </c>
      <c r="Z32" s="1810" t="str">
        <f t="shared" si="15"/>
        <v>车位类型</v>
      </c>
      <c r="AA32" s="1807">
        <f t="shared" si="3"/>
        <v>1</v>
      </c>
      <c r="AB32" s="1807">
        <f t="shared" si="4"/>
        <v>1</v>
      </c>
      <c r="AC32" s="1807">
        <f t="shared" si="5"/>
        <v>1</v>
      </c>
    </row>
    <row r="33" spans="1:29" ht="15">
      <c r="A33" s="654"/>
      <c r="B33" s="652" t="s">
        <v>2708</v>
      </c>
      <c r="C33" s="458"/>
      <c r="D33" s="433">
        <v>100</v>
      </c>
      <c r="E33" s="458"/>
      <c r="F33" s="459">
        <f>SUMIF(95:95,E33,96:96)-SUMIF(95:95,C33,96:96)+100</f>
        <v>100</v>
      </c>
      <c r="G33" s="458"/>
      <c r="H33" s="433">
        <f>SUMIF(95:95,G33,96:96)-SUMIF(95:95,C33,96:96)+100</f>
        <v>100</v>
      </c>
      <c r="I33" s="458"/>
      <c r="J33" s="433">
        <f>SUMIF(95:95,I33,96:96)-SUMIF(95:95,C33,96:96)+100</f>
        <v>100</v>
      </c>
      <c r="K33" s="610"/>
      <c r="L33" s="1136"/>
      <c r="M33" s="1127"/>
      <c r="N33" s="1127"/>
      <c r="O33" s="1127"/>
      <c r="P33" s="3288"/>
      <c r="Q33" s="1806" t="str">
        <f t="shared" si="11"/>
        <v>是否直接入户</v>
      </c>
      <c r="R33" s="772" t="s">
        <v>17</v>
      </c>
      <c r="S33" s="773">
        <f t="shared" si="12"/>
        <v>100</v>
      </c>
      <c r="T33" s="772" t="s">
        <v>17</v>
      </c>
      <c r="U33" s="773">
        <f t="shared" si="13"/>
        <v>100</v>
      </c>
      <c r="V33" s="772" t="s">
        <v>17</v>
      </c>
      <c r="W33" s="773">
        <f t="shared" si="14"/>
        <v>100</v>
      </c>
      <c r="X33" s="1809"/>
      <c r="Y33" s="3288"/>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288"/>
      <c r="Q34" s="1806">
        <f t="shared" si="11"/>
        <v>111</v>
      </c>
      <c r="R34" s="772" t="s">
        <v>17</v>
      </c>
      <c r="S34" s="773">
        <f t="shared" si="12"/>
        <v>100</v>
      </c>
      <c r="T34" s="772" t="s">
        <v>17</v>
      </c>
      <c r="U34" s="773">
        <f t="shared" si="13"/>
        <v>100</v>
      </c>
      <c r="V34" s="772" t="s">
        <v>17</v>
      </c>
      <c r="W34" s="773">
        <f t="shared" si="14"/>
        <v>100</v>
      </c>
      <c r="X34" s="1809"/>
      <c r="Y34" s="3288"/>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288"/>
      <c r="Q35" s="774">
        <f t="shared" si="11"/>
        <v>111</v>
      </c>
      <c r="R35" s="775" t="s">
        <v>17</v>
      </c>
      <c r="S35" s="776">
        <f t="shared" si="12"/>
        <v>100</v>
      </c>
      <c r="T35" s="775" t="s">
        <v>17</v>
      </c>
      <c r="U35" s="776">
        <f t="shared" si="13"/>
        <v>100</v>
      </c>
      <c r="V35" s="775" t="s">
        <v>17</v>
      </c>
      <c r="W35" s="776">
        <f t="shared" si="14"/>
        <v>100</v>
      </c>
      <c r="X35" s="777"/>
      <c r="Y35" s="3288"/>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288"/>
      <c r="Q36" s="1806">
        <f t="shared" si="11"/>
        <v>111</v>
      </c>
      <c r="R36" s="772" t="s">
        <v>17</v>
      </c>
      <c r="S36" s="773">
        <f t="shared" si="12"/>
        <v>100</v>
      </c>
      <c r="T36" s="772" t="s">
        <v>17</v>
      </c>
      <c r="U36" s="773">
        <f t="shared" si="13"/>
        <v>100</v>
      </c>
      <c r="V36" s="772" t="s">
        <v>17</v>
      </c>
      <c r="W36" s="773">
        <f t="shared" si="14"/>
        <v>100</v>
      </c>
      <c r="X36" s="1809"/>
      <c r="Y36" s="3288"/>
      <c r="Z36" s="1810">
        <f t="shared" si="15"/>
        <v>111</v>
      </c>
      <c r="AA36" s="1807">
        <f t="shared" si="3"/>
        <v>1</v>
      </c>
      <c r="AB36" s="1807">
        <f t="shared" si="4"/>
        <v>1</v>
      </c>
      <c r="AC36" s="1807">
        <f t="shared" si="5"/>
        <v>1</v>
      </c>
    </row>
    <row r="37" spans="1:29" ht="15">
      <c r="A37" s="477" t="s">
        <v>2709</v>
      </c>
      <c r="B37" s="2691" t="s">
        <v>2710</v>
      </c>
      <c r="C37" s="1403" t="s">
        <v>1</v>
      </c>
      <c r="D37" s="1404"/>
      <c r="E37" s="1405"/>
      <c r="F37" s="1406"/>
      <c r="G37" s="1407"/>
      <c r="H37" s="1408"/>
      <c r="I37" s="1405"/>
      <c r="J37" s="1408"/>
      <c r="K37" s="617"/>
      <c r="L37" s="1139"/>
      <c r="M37" s="1140"/>
      <c r="N37" s="1127"/>
      <c r="O37" s="1140"/>
      <c r="P37" s="3281" t="str">
        <f>A37</f>
        <v>成交单价</v>
      </c>
      <c r="Q37" s="3281"/>
      <c r="R37" s="3282">
        <f>E37</f>
        <v>0</v>
      </c>
      <c r="S37" s="3282"/>
      <c r="T37" s="3282">
        <f>G37</f>
        <v>0</v>
      </c>
      <c r="U37" s="3282"/>
      <c r="V37" s="3282">
        <f>I37</f>
        <v>0</v>
      </c>
      <c r="W37" s="3282"/>
      <c r="X37" s="757"/>
      <c r="Y37" s="779"/>
      <c r="Z37" s="757"/>
      <c r="AA37" s="757"/>
      <c r="AB37" s="757"/>
      <c r="AC37" s="757"/>
    </row>
    <row r="38" spans="1:29" ht="15.75" thickBot="1">
      <c r="A38" s="484" t="s">
        <v>2711</v>
      </c>
      <c r="B38" s="485" t="str">
        <f>B37</f>
        <v>元/车位</v>
      </c>
      <c r="C38" s="1409" t="e">
        <f>R39</f>
        <v>#DIV/0!</v>
      </c>
      <c r="D38" s="1410"/>
      <c r="E38" s="1411" t="e">
        <f>R38</f>
        <v>#DIV/0!</v>
      </c>
      <c r="F38" s="1411"/>
      <c r="G38" s="1409" t="e">
        <f>T38</f>
        <v>#DIV/0!</v>
      </c>
      <c r="H38" s="1410"/>
      <c r="I38" s="1411" t="e">
        <f>V38</f>
        <v>#DIV/0!</v>
      </c>
      <c r="J38" s="1410"/>
      <c r="K38" s="618"/>
      <c r="L38" s="1139"/>
      <c r="M38" s="1140"/>
      <c r="N38" s="1140"/>
      <c r="O38" s="1140"/>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7"/>
      <c r="Y38" s="757"/>
      <c r="Z38" s="757"/>
      <c r="AA38" s="757"/>
      <c r="AB38" s="757"/>
      <c r="AC38" s="757"/>
    </row>
    <row r="39" spans="1:29" ht="15.75" thickBot="1">
      <c r="A39" s="490" t="s">
        <v>2712</v>
      </c>
      <c r="B39" s="491"/>
      <c r="C39" s="1413" t="e">
        <f>R39</f>
        <v>#DIV/0!</v>
      </c>
      <c r="D39" s="1413"/>
      <c r="E39" s="1413"/>
      <c r="F39" s="1413"/>
      <c r="G39" s="1413"/>
      <c r="H39" s="1413"/>
      <c r="I39" s="1413"/>
      <c r="J39" s="1413"/>
      <c r="K39" s="619"/>
      <c r="L39" s="1139"/>
      <c r="M39" s="1140"/>
      <c r="N39" s="1140"/>
      <c r="O39" s="1140"/>
      <c r="P39" s="3278" t="str">
        <f>A39</f>
        <v>估价对象XX用房的比较价值（楼面单价，元/平方米）</v>
      </c>
      <c r="Q39" s="3279"/>
      <c r="R39" s="3280" t="e">
        <f>IF(F1="售价",ROUND(AVERAGE(R38:V38),0),ROUND(AVERAGE(R38:V38),1))</f>
        <v>#DIV/0!</v>
      </c>
      <c r="S39" s="3280"/>
      <c r="T39" s="3280"/>
      <c r="U39" s="3280"/>
      <c r="V39" s="3280"/>
      <c r="W39" s="3280"/>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2713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2714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2715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2717</v>
      </c>
      <c r="B48" s="504"/>
      <c r="C48" s="1570" t="str">
        <f>YEAR(C7)&amp;"-"&amp;MONTH(C7)</f>
        <v>2019-4</v>
      </c>
      <c r="D48" s="1571">
        <f>EDATE(C48,-1)</f>
        <v>43525</v>
      </c>
      <c r="E48" s="1571">
        <f t="shared" ref="E48:O48" si="16">EDATE(D48,-1)</f>
        <v>43497</v>
      </c>
      <c r="F48" s="1571">
        <f t="shared" si="16"/>
        <v>43466</v>
      </c>
      <c r="G48" s="1571">
        <f t="shared" si="16"/>
        <v>43435</v>
      </c>
      <c r="H48" s="1571">
        <f t="shared" si="16"/>
        <v>43405</v>
      </c>
      <c r="I48" s="1571">
        <f t="shared" si="16"/>
        <v>43374</v>
      </c>
      <c r="J48" s="1571">
        <f t="shared" si="16"/>
        <v>43344</v>
      </c>
      <c r="K48" s="1571">
        <f t="shared" si="16"/>
        <v>43313</v>
      </c>
      <c r="L48" s="1571">
        <f t="shared" si="16"/>
        <v>43282</v>
      </c>
      <c r="M48" s="1571">
        <f t="shared" si="16"/>
        <v>43252</v>
      </c>
      <c r="N48" s="1571">
        <f t="shared" si="16"/>
        <v>43221</v>
      </c>
      <c r="O48" s="1571">
        <f t="shared" si="16"/>
        <v>43191</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2574</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2539</v>
      </c>
      <c r="B51" s="508"/>
      <c r="C51" s="520" t="s">
        <v>2641</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2577</v>
      </c>
      <c r="B53" s="526" t="s">
        <v>2543</v>
      </c>
      <c r="C53" s="527">
        <f>C9</f>
        <v>0</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2546</v>
      </c>
      <c r="C55" s="537" t="s">
        <v>2578</v>
      </c>
      <c r="D55" s="537" t="s">
        <v>2579</v>
      </c>
      <c r="E55" s="537" t="s">
        <v>2580</v>
      </c>
      <c r="F55" s="537" t="s">
        <v>2581</v>
      </c>
      <c r="G55" s="537" t="s">
        <v>2582</v>
      </c>
      <c r="H55" s="537" t="s">
        <v>2583</v>
      </c>
      <c r="I55" s="537" t="s">
        <v>2584</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2548</v>
      </c>
      <c r="B63" s="526" t="s">
        <v>2591</v>
      </c>
      <c r="C63" s="571" t="s">
        <v>2586</v>
      </c>
      <c r="D63" s="571" t="s">
        <v>2587</v>
      </c>
      <c r="E63" s="571" t="s">
        <v>2588</v>
      </c>
      <c r="F63" s="571" t="s">
        <v>2589</v>
      </c>
      <c r="G63" s="571" t="s">
        <v>2590</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2592</v>
      </c>
      <c r="C65" s="576" t="s">
        <v>2586</v>
      </c>
      <c r="D65" s="576" t="s">
        <v>2587</v>
      </c>
      <c r="E65" s="576" t="s">
        <v>2588</v>
      </c>
      <c r="F65" s="576" t="s">
        <v>2589</v>
      </c>
      <c r="G65" s="576" t="s">
        <v>2590</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2678</v>
      </c>
      <c r="C67" s="658" t="s">
        <v>2664</v>
      </c>
      <c r="D67" s="658" t="s">
        <v>2665</v>
      </c>
      <c r="E67" s="658" t="s">
        <v>2666</v>
      </c>
      <c r="F67" s="658" t="s">
        <v>2667</v>
      </c>
      <c r="G67" s="658" t="s">
        <v>2668</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2598</v>
      </c>
      <c r="C69" s="576" t="s">
        <v>2586</v>
      </c>
      <c r="D69" s="576" t="s">
        <v>2587</v>
      </c>
      <c r="E69" s="576" t="s">
        <v>2588</v>
      </c>
      <c r="F69" s="576" t="s">
        <v>2589</v>
      </c>
      <c r="G69" s="576" t="s">
        <v>2590</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2718</v>
      </c>
      <c r="C71" s="552"/>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2552</v>
      </c>
      <c r="B79" s="526" t="s">
        <v>2719</v>
      </c>
      <c r="C79" s="527">
        <f>C26</f>
        <v>0</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2720</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2605</v>
      </c>
      <c r="C83" s="552"/>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2721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2722</v>
      </c>
      <c r="C88" s="528"/>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2723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2724</v>
      </c>
      <c r="C93" s="552"/>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2725</v>
      </c>
      <c r="C95" s="528"/>
      <c r="D95" s="528"/>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f>B34</f>
        <v>111</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2696</v>
      </c>
      <c r="B1" s="1615"/>
      <c r="C1" s="1616" t="s">
        <v>2519</v>
      </c>
      <c r="D1" s="1617"/>
      <c r="E1" s="1626"/>
      <c r="F1" s="2580"/>
      <c r="G1" s="1627" t="s">
        <v>2632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2316</v>
      </c>
      <c r="B2" s="1414" t="e">
        <f ca="1">IF(C2="——",ROUND(C37*D3/10000,0),ROUND(C37*D3/10000,0)-D2)</f>
        <v>#DIV/0!</v>
      </c>
      <c r="C2" s="2582"/>
      <c r="D2" s="1120" t="e">
        <f ca="1">SUMIF(INDIRECT("'"&amp;F2&amp;"'"&amp;"!A:A"),"承租人权益价值",INDIRECT("'"&amp;F2&amp;"'"&amp;"!c:c"))</f>
        <v>#REF!</v>
      </c>
      <c r="E2" s="2583" t="s">
        <v>2317</v>
      </c>
      <c r="F2" s="2584"/>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 ca="1">IF(C2="——",C37,ROUND(B2*10000/D3,0))</f>
        <v>#DIV/0!</v>
      </c>
      <c r="C3" s="398" t="s">
        <v>2633</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SUMIF(46:46,YEAR(E7)&amp;"-"&amp;MONTH(E7),47:47)</f>
        <v>0</v>
      </c>
      <c r="G7" s="2692"/>
      <c r="H7" s="409">
        <f>SUMIF(46:46,YEAR(G7)&amp;"-"&amp;MONTH(G7),47:47)</f>
        <v>0</v>
      </c>
      <c r="I7" s="410"/>
      <c r="J7" s="409">
        <f>SUMIF(46:46,YEAR(I7)&amp;"-"&amp;MONTH(I7),47:47)</f>
        <v>0</v>
      </c>
      <c r="K7" s="609"/>
      <c r="L7" s="1128"/>
      <c r="M7" s="1129"/>
      <c r="N7" s="1129"/>
      <c r="O7" s="1129"/>
      <c r="P7" s="3317" t="s">
        <v>2538</v>
      </c>
      <c r="Q7" s="3319"/>
      <c r="R7" s="768" t="s">
        <v>17</v>
      </c>
      <c r="S7" s="769">
        <f t="shared" ref="S7:S14" si="0">F7</f>
        <v>0</v>
      </c>
      <c r="T7" s="768" t="s">
        <v>17</v>
      </c>
      <c r="U7" s="769">
        <f t="shared" ref="U7:U14" si="1">H7</f>
        <v>0</v>
      </c>
      <c r="V7" s="768" t="s">
        <v>17</v>
      </c>
      <c r="W7" s="769">
        <f t="shared" ref="W7:W14" si="2">J7</f>
        <v>0</v>
      </c>
      <c r="X7" s="770"/>
      <c r="Y7" s="3317" t="s">
        <v>2538</v>
      </c>
      <c r="Z7" s="3318"/>
      <c r="AA7" s="771" t="e">
        <f>D7/F7</f>
        <v>#DIV/0!</v>
      </c>
      <c r="AB7" s="771" t="e">
        <f>D7/H7</f>
        <v>#DIV/0!</v>
      </c>
      <c r="AC7" s="771" t="e">
        <f>D7/J7</f>
        <v>#DIV/0!</v>
      </c>
    </row>
    <row r="8" spans="1:29" s="115" customFormat="1" ht="15.75" thickBot="1">
      <c r="A8" s="406" t="s">
        <v>2539</v>
      </c>
      <c r="B8" s="407"/>
      <c r="C8" s="412" t="s">
        <v>2641</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34" si="3">D8/F8</f>
        <v>#DIV/0!</v>
      </c>
      <c r="AB8" s="771" t="e">
        <f t="shared" ref="AB8:AB34" si="4">D8/H8</f>
        <v>#DIV/0!</v>
      </c>
      <c r="AC8" s="771" t="e">
        <f t="shared" ref="AC8:AC34" si="5">D8/J8</f>
        <v>#DIV/0!</v>
      </c>
    </row>
    <row r="9" spans="1:29" s="115" customFormat="1">
      <c r="A9" s="413" t="s">
        <v>2542</v>
      </c>
      <c r="B9" s="71" t="s">
        <v>2543</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281" t="s">
        <v>2544</v>
      </c>
      <c r="Q9" s="1791" t="str">
        <f t="shared" ref="Q9:Q14" si="6">B9</f>
        <v>用途</v>
      </c>
      <c r="R9" s="768" t="s">
        <v>17</v>
      </c>
      <c r="S9" s="769">
        <f t="shared" si="0"/>
        <v>100</v>
      </c>
      <c r="T9" s="768" t="s">
        <v>17</v>
      </c>
      <c r="U9" s="769">
        <f t="shared" si="1"/>
        <v>100</v>
      </c>
      <c r="V9" s="768" t="s">
        <v>17</v>
      </c>
      <c r="W9" s="769">
        <f t="shared" si="2"/>
        <v>100</v>
      </c>
      <c r="X9" s="770"/>
      <c r="Y9" s="3082" t="s">
        <v>2545</v>
      </c>
      <c r="Z9" s="55" t="str">
        <f t="shared" ref="Z9:Z14" si="7">Q9</f>
        <v>用途</v>
      </c>
      <c r="AA9" s="771">
        <f t="shared" si="3"/>
        <v>1</v>
      </c>
      <c r="AB9" s="771">
        <f t="shared" si="4"/>
        <v>1</v>
      </c>
      <c r="AC9" s="771">
        <f t="shared" si="5"/>
        <v>1</v>
      </c>
    </row>
    <row r="10" spans="1:29" s="425" customFormat="1" ht="27">
      <c r="A10" s="419"/>
      <c r="B10" s="420" t="s">
        <v>2546</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281"/>
      <c r="Q10" s="1791" t="str">
        <f t="shared" si="6"/>
        <v>土地使用年限（年）</v>
      </c>
      <c r="R10" s="768" t="s">
        <v>17</v>
      </c>
      <c r="S10" s="769">
        <f t="shared" si="0"/>
        <v>100</v>
      </c>
      <c r="T10" s="768" t="s">
        <v>17</v>
      </c>
      <c r="U10" s="769">
        <f t="shared" si="1"/>
        <v>100</v>
      </c>
      <c r="V10" s="768" t="s">
        <v>17</v>
      </c>
      <c r="W10" s="769">
        <f t="shared" si="2"/>
        <v>100</v>
      </c>
      <c r="X10" s="770"/>
      <c r="Y10" s="3082"/>
      <c r="Z10" s="55" t="str">
        <f t="shared" si="7"/>
        <v>土地使用年限（年）</v>
      </c>
      <c r="AA10" s="771">
        <f t="shared" si="3"/>
        <v>1</v>
      </c>
      <c r="AB10" s="771">
        <f t="shared" si="4"/>
        <v>1</v>
      </c>
      <c r="AC10" s="771">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281"/>
      <c r="Q11" s="1791">
        <f t="shared" si="6"/>
        <v>111</v>
      </c>
      <c r="R11" s="768" t="s">
        <v>17</v>
      </c>
      <c r="S11" s="769">
        <f t="shared" si="0"/>
        <v>100</v>
      </c>
      <c r="T11" s="768" t="s">
        <v>17</v>
      </c>
      <c r="U11" s="769">
        <f t="shared" si="1"/>
        <v>100</v>
      </c>
      <c r="V11" s="768" t="s">
        <v>17</v>
      </c>
      <c r="W11" s="769">
        <f t="shared" si="2"/>
        <v>100</v>
      </c>
      <c r="X11" s="770"/>
      <c r="Y11" s="3082"/>
      <c r="Z11" s="55">
        <f t="shared" si="7"/>
        <v>111</v>
      </c>
      <c r="AA11" s="771">
        <f t="shared" si="3"/>
        <v>1</v>
      </c>
      <c r="AB11" s="771">
        <f t="shared" si="4"/>
        <v>1</v>
      </c>
      <c r="AC11" s="771">
        <f t="shared" si="5"/>
        <v>1</v>
      </c>
    </row>
    <row r="12" spans="1:29" s="115"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
      <c r="A14" s="438" t="s">
        <v>2548</v>
      </c>
      <c r="B14" s="69" t="s">
        <v>2698</v>
      </c>
      <c r="C14" s="2689">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283" t="s">
        <v>2549</v>
      </c>
      <c r="Q14" s="1806" t="str">
        <f t="shared" si="6"/>
        <v>交通便捷度</v>
      </c>
      <c r="R14" s="772" t="s">
        <v>17</v>
      </c>
      <c r="S14" s="773">
        <f t="shared" si="0"/>
        <v>100</v>
      </c>
      <c r="T14" s="772" t="s">
        <v>17</v>
      </c>
      <c r="U14" s="773">
        <f t="shared" si="1"/>
        <v>100</v>
      </c>
      <c r="V14" s="772" t="s">
        <v>17</v>
      </c>
      <c r="W14" s="773">
        <f t="shared" si="2"/>
        <v>100</v>
      </c>
      <c r="X14" s="1809"/>
      <c r="Y14" s="3283" t="s">
        <v>2549</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6"/>
      <c r="M15" s="1127"/>
      <c r="N15" s="1127"/>
      <c r="O15" s="1135"/>
      <c r="P15" s="3284"/>
      <c r="Q15" s="1806"/>
      <c r="R15" s="772"/>
      <c r="S15" s="773"/>
      <c r="T15" s="772"/>
      <c r="U15" s="773"/>
      <c r="V15" s="772"/>
      <c r="W15" s="773"/>
      <c r="X15" s="1809"/>
      <c r="Y15" s="3284"/>
      <c r="Z15" s="1810"/>
      <c r="AA15" s="1807">
        <v>1</v>
      </c>
      <c r="AB15" s="1807">
        <v>1</v>
      </c>
      <c r="AC15" s="1807">
        <v>1</v>
      </c>
    </row>
    <row r="16" spans="1:29" ht="15">
      <c r="A16" s="426"/>
      <c r="B16" s="449" t="s">
        <v>2677</v>
      </c>
      <c r="C16" s="2603">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284"/>
      <c r="Q16" s="1806" t="str">
        <f>B16</f>
        <v>公共配套设施</v>
      </c>
      <c r="R16" s="772" t="s">
        <v>17</v>
      </c>
      <c r="S16" s="773">
        <f>F16</f>
        <v>100</v>
      </c>
      <c r="T16" s="772" t="s">
        <v>17</v>
      </c>
      <c r="U16" s="773">
        <f>H16</f>
        <v>100</v>
      </c>
      <c r="V16" s="772" t="s">
        <v>17</v>
      </c>
      <c r="W16" s="773">
        <f>J16</f>
        <v>100</v>
      </c>
      <c r="X16" s="1809"/>
      <c r="Y16" s="3284"/>
      <c r="Z16" s="1810" t="str">
        <f>Q16</f>
        <v>公共配套设施</v>
      </c>
      <c r="AA16" s="1807">
        <f t="shared" si="3"/>
        <v>1</v>
      </c>
      <c r="AB16" s="1807">
        <f t="shared" si="4"/>
        <v>1</v>
      </c>
      <c r="AC16" s="1807">
        <f t="shared" si="5"/>
        <v>1</v>
      </c>
    </row>
    <row r="17" spans="1:29" ht="15">
      <c r="A17" s="426"/>
      <c r="B17" s="454"/>
      <c r="C17" s="2604"/>
      <c r="D17" s="446"/>
      <c r="E17" s="445"/>
      <c r="F17" s="447"/>
      <c r="G17" s="445"/>
      <c r="H17" s="446"/>
      <c r="I17" s="445"/>
      <c r="J17" s="446"/>
      <c r="K17" s="613"/>
      <c r="L17" s="1136"/>
      <c r="M17" s="1127"/>
      <c r="N17" s="1127"/>
      <c r="O17" s="1135"/>
      <c r="P17" s="3284"/>
      <c r="Q17" s="1806"/>
      <c r="R17" s="772"/>
      <c r="S17" s="773"/>
      <c r="T17" s="772"/>
      <c r="U17" s="773"/>
      <c r="V17" s="772"/>
      <c r="W17" s="773"/>
      <c r="X17" s="1809"/>
      <c r="Y17" s="3284"/>
      <c r="Z17" s="1810"/>
      <c r="AA17" s="1807">
        <v>1</v>
      </c>
      <c r="AB17" s="1807">
        <v>1</v>
      </c>
      <c r="AC17" s="1807">
        <v>1</v>
      </c>
    </row>
    <row r="18" spans="1:29" ht="15">
      <c r="A18" s="426"/>
      <c r="B18" s="1380" t="s">
        <v>2678</v>
      </c>
      <c r="C18" s="2603">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284"/>
      <c r="Q18" s="1806" t="str">
        <f>B18</f>
        <v>基础设施水平</v>
      </c>
      <c r="R18" s="772" t="s">
        <v>17</v>
      </c>
      <c r="S18" s="773">
        <f>F18</f>
        <v>100</v>
      </c>
      <c r="T18" s="772" t="s">
        <v>17</v>
      </c>
      <c r="U18" s="773">
        <f>H18</f>
        <v>100</v>
      </c>
      <c r="V18" s="772" t="s">
        <v>17</v>
      </c>
      <c r="W18" s="773">
        <f>J18</f>
        <v>100</v>
      </c>
      <c r="X18" s="1809"/>
      <c r="Y18" s="3284"/>
      <c r="Z18" s="1810" t="str">
        <f>Q18</f>
        <v>基础设施水平</v>
      </c>
      <c r="AA18" s="1807">
        <f t="shared" ref="AA18" si="8">D18/F18</f>
        <v>1</v>
      </c>
      <c r="AB18" s="1807">
        <f t="shared" ref="AB18" si="9">D18/H18</f>
        <v>1</v>
      </c>
      <c r="AC18" s="1807">
        <f t="shared" ref="AC18" si="10">D18/J18</f>
        <v>1</v>
      </c>
    </row>
    <row r="19" spans="1:29" ht="15">
      <c r="A19" s="426"/>
      <c r="B19" s="1380"/>
      <c r="C19" s="2604"/>
      <c r="D19" s="448"/>
      <c r="E19" s="2604"/>
      <c r="F19" s="451"/>
      <c r="G19" s="2604"/>
      <c r="H19" s="446"/>
      <c r="I19" s="445"/>
      <c r="J19" s="446"/>
      <c r="K19" s="1379"/>
      <c r="L19" s="1136"/>
      <c r="M19" s="1127"/>
      <c r="N19" s="1127"/>
      <c r="O19" s="1135"/>
      <c r="P19" s="3284"/>
      <c r="Q19" s="1806"/>
      <c r="R19" s="772"/>
      <c r="S19" s="773"/>
      <c r="T19" s="772"/>
      <c r="U19" s="773"/>
      <c r="V19" s="772"/>
      <c r="W19" s="773"/>
      <c r="X19" s="1809"/>
      <c r="Y19" s="3284"/>
      <c r="Z19" s="1810"/>
      <c r="AA19" s="1807">
        <v>1</v>
      </c>
      <c r="AB19" s="1807">
        <v>1</v>
      </c>
      <c r="AC19" s="1807">
        <v>1</v>
      </c>
    </row>
    <row r="20" spans="1:29" ht="15">
      <c r="A20" s="426"/>
      <c r="B20" s="449" t="s">
        <v>2699</v>
      </c>
      <c r="C20" s="2603">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284"/>
      <c r="Q20" s="1806" t="str">
        <f>B20</f>
        <v>自然及人文环境</v>
      </c>
      <c r="R20" s="772" t="s">
        <v>17</v>
      </c>
      <c r="S20" s="773">
        <f>F20</f>
        <v>100</v>
      </c>
      <c r="T20" s="772" t="s">
        <v>17</v>
      </c>
      <c r="U20" s="773">
        <f>H20</f>
        <v>100</v>
      </c>
      <c r="V20" s="772" t="s">
        <v>17</v>
      </c>
      <c r="W20" s="773">
        <f>J20</f>
        <v>100</v>
      </c>
      <c r="X20" s="1809"/>
      <c r="Y20" s="3284"/>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6"/>
      <c r="M21" s="1127"/>
      <c r="N21" s="1127"/>
      <c r="O21" s="1135"/>
      <c r="P21" s="3284"/>
      <c r="Q21" s="1806"/>
      <c r="R21" s="772"/>
      <c r="S21" s="773"/>
      <c r="T21" s="772"/>
      <c r="U21" s="773"/>
      <c r="V21" s="772"/>
      <c r="W21" s="773"/>
      <c r="X21" s="1809"/>
      <c r="Y21" s="3284"/>
      <c r="Z21" s="1810"/>
      <c r="AA21" s="1807">
        <v>1</v>
      </c>
      <c r="AB21" s="1807">
        <v>1</v>
      </c>
      <c r="AC21" s="1807">
        <v>1</v>
      </c>
    </row>
    <row r="22" spans="1:29" ht="15">
      <c r="A22" s="426"/>
      <c r="B22" s="449" t="s">
        <v>2700</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284"/>
      <c r="Q22" s="1806" t="str">
        <f>B22</f>
        <v>楼层</v>
      </c>
      <c r="R22" s="772" t="s">
        <v>17</v>
      </c>
      <c r="S22" s="773">
        <f>F22</f>
        <v>100</v>
      </c>
      <c r="T22" s="772" t="s">
        <v>17</v>
      </c>
      <c r="U22" s="773">
        <f>H22</f>
        <v>100</v>
      </c>
      <c r="V22" s="772" t="s">
        <v>17</v>
      </c>
      <c r="W22" s="773">
        <f>J22</f>
        <v>100</v>
      </c>
      <c r="X22" s="1809"/>
      <c r="Y22" s="3284"/>
      <c r="Z22" s="1810" t="str">
        <f>Q22</f>
        <v>楼层</v>
      </c>
      <c r="AA22" s="1807">
        <f t="shared" si="3"/>
        <v>1</v>
      </c>
      <c r="AB22" s="1807">
        <f t="shared" si="4"/>
        <v>1</v>
      </c>
      <c r="AC22" s="1807">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284"/>
      <c r="Q23" s="1806">
        <f>B23</f>
        <v>111</v>
      </c>
      <c r="R23" s="772" t="s">
        <v>17</v>
      </c>
      <c r="S23" s="773">
        <f>F23</f>
        <v>100</v>
      </c>
      <c r="T23" s="772" t="s">
        <v>17</v>
      </c>
      <c r="U23" s="773">
        <f>H23</f>
        <v>100</v>
      </c>
      <c r="V23" s="772" t="s">
        <v>17</v>
      </c>
      <c r="W23" s="773">
        <f>J23</f>
        <v>100</v>
      </c>
      <c r="X23" s="1809"/>
      <c r="Y23" s="3284"/>
      <c r="Z23" s="1810">
        <f>Q23</f>
        <v>111</v>
      </c>
      <c r="AA23" s="1807">
        <f t="shared" si="3"/>
        <v>1</v>
      </c>
      <c r="AB23" s="1807">
        <f t="shared" si="4"/>
        <v>1</v>
      </c>
      <c r="AC23" s="1807">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284"/>
      <c r="Q24" s="1806">
        <f t="shared" ref="Q24:Q34" si="11">B24</f>
        <v>111</v>
      </c>
      <c r="R24" s="772" t="s">
        <v>17</v>
      </c>
      <c r="S24" s="773">
        <f>F24</f>
        <v>100</v>
      </c>
      <c r="T24" s="772" t="s">
        <v>17</v>
      </c>
      <c r="U24" s="773">
        <f>H24</f>
        <v>100</v>
      </c>
      <c r="V24" s="772" t="s">
        <v>17</v>
      </c>
      <c r="W24" s="773">
        <f>J24</f>
        <v>100</v>
      </c>
      <c r="X24" s="1809"/>
      <c r="Y24" s="3284"/>
      <c r="Z24" s="1810">
        <f>Q24</f>
        <v>111</v>
      </c>
      <c r="AA24" s="1807">
        <f t="shared" si="3"/>
        <v>1</v>
      </c>
      <c r="AB24" s="1807">
        <f t="shared" si="4"/>
        <v>1</v>
      </c>
      <c r="AC24" s="1807">
        <f t="shared" si="5"/>
        <v>1</v>
      </c>
    </row>
    <row r="25" spans="1:29" s="115" customFormat="1" ht="15.75" thickBot="1">
      <c r="A25" s="429"/>
      <c r="B25" s="2596">
        <v>111</v>
      </c>
      <c r="C25" s="2694"/>
      <c r="D25" s="663">
        <v>100</v>
      </c>
      <c r="E25" s="2694"/>
      <c r="F25" s="664">
        <f>SUMIF(75:75,E25,76:76)-SUMIF(75:75,C25,76:76)+100</f>
        <v>100</v>
      </c>
      <c r="G25" s="2694"/>
      <c r="H25" s="663">
        <f>SUMIF(75:75,G25,76:76)-SUMIF(75:75,C25,76:76)+100</f>
        <v>100</v>
      </c>
      <c r="I25" s="2694"/>
      <c r="J25" s="663">
        <f>SUMIF(75:75,I25,76:76)-SUMIF(75:75,C25,76:76)+100</f>
        <v>100</v>
      </c>
      <c r="K25" s="611"/>
      <c r="L25" s="1128"/>
      <c r="M25" s="1129"/>
      <c r="N25" s="1129"/>
      <c r="O25" s="1130"/>
      <c r="P25" s="3284"/>
      <c r="Q25" s="1791">
        <f t="shared" si="11"/>
        <v>111</v>
      </c>
      <c r="R25" s="768" t="s">
        <v>17</v>
      </c>
      <c r="S25" s="769">
        <f>F25</f>
        <v>100</v>
      </c>
      <c r="T25" s="768" t="s">
        <v>17</v>
      </c>
      <c r="U25" s="769">
        <f>H25</f>
        <v>100</v>
      </c>
      <c r="V25" s="768" t="s">
        <v>17</v>
      </c>
      <c r="W25" s="769">
        <f>J25</f>
        <v>100</v>
      </c>
      <c r="X25" s="770"/>
      <c r="Y25" s="3284"/>
      <c r="Z25" s="55">
        <f>Q25</f>
        <v>111</v>
      </c>
      <c r="AA25" s="1807">
        <f>D25/F25</f>
        <v>1</v>
      </c>
      <c r="AB25" s="1807">
        <f>D25/H25</f>
        <v>1</v>
      </c>
      <c r="AC25" s="1807">
        <f>D25/J25</f>
        <v>1</v>
      </c>
    </row>
    <row r="26" spans="1:29" ht="28.5">
      <c r="A26" s="464" t="s">
        <v>2552</v>
      </c>
      <c r="B26" s="71" t="s">
        <v>2703</v>
      </c>
      <c r="C26" s="2675"/>
      <c r="D26" s="465">
        <v>100</v>
      </c>
      <c r="E26" s="2675"/>
      <c r="F26" s="665">
        <f>SUMIF(77:77,E26,78:78)-SUMIF(77:77,C26,78:78)+100</f>
        <v>100</v>
      </c>
      <c r="G26" s="2675"/>
      <c r="H26" s="465">
        <f>SUMIF(77:77,G26,78:78)-SUMIF(77:77,C26,78:78)+100</f>
        <v>100</v>
      </c>
      <c r="I26" s="2675"/>
      <c r="J26" s="465">
        <f>SUMIF(77:77,I26,78:78)-SUMIF(77:77,C26,78:78)+100</f>
        <v>100</v>
      </c>
      <c r="K26" s="610"/>
      <c r="L26" s="1136"/>
      <c r="M26" s="1127"/>
      <c r="N26" s="1127"/>
      <c r="O26" s="1135"/>
      <c r="P26" s="3339" t="s">
        <v>2554</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8" t="s">
        <v>2554</v>
      </c>
      <c r="Z26" s="1810" t="str">
        <f t="shared" ref="Z26:Z34" si="15">Q26</f>
        <v>公共部分装修</v>
      </c>
      <c r="AA26" s="1807">
        <f t="shared" si="3"/>
        <v>1</v>
      </c>
      <c r="AB26" s="1807">
        <f t="shared" si="4"/>
        <v>1</v>
      </c>
      <c r="AC26" s="1807">
        <f t="shared" si="5"/>
        <v>1</v>
      </c>
    </row>
    <row r="27" spans="1:29" s="469" customFormat="1" ht="15">
      <c r="A27" s="466"/>
      <c r="B27" s="420" t="s">
        <v>2704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288"/>
      <c r="Q27" s="774" t="str">
        <f t="shared" si="11"/>
        <v>成新率</v>
      </c>
      <c r="R27" s="775" t="s">
        <v>17</v>
      </c>
      <c r="S27" s="776" t="e">
        <f t="shared" si="12"/>
        <v>#N/A</v>
      </c>
      <c r="T27" s="775" t="s">
        <v>17</v>
      </c>
      <c r="U27" s="776" t="e">
        <f t="shared" si="13"/>
        <v>#N/A</v>
      </c>
      <c r="V27" s="775" t="s">
        <v>17</v>
      </c>
      <c r="W27" s="776" t="e">
        <f t="shared" si="14"/>
        <v>#N/A</v>
      </c>
      <c r="X27" s="777"/>
      <c r="Y27" s="3288"/>
      <c r="Z27" s="778" t="str">
        <f t="shared" si="15"/>
        <v>成新率</v>
      </c>
      <c r="AA27" s="1807" t="e">
        <f t="shared" si="3"/>
        <v>#N/A</v>
      </c>
      <c r="AB27" s="1807" t="e">
        <f t="shared" si="4"/>
        <v>#N/A</v>
      </c>
      <c r="AC27" s="1807" t="e">
        <f t="shared" si="5"/>
        <v>#N/A</v>
      </c>
    </row>
    <row r="28" spans="1:29" ht="15">
      <c r="A28" s="470"/>
      <c r="B28" s="420" t="s">
        <v>2705</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288"/>
      <c r="Q28" s="1806" t="str">
        <f t="shared" si="11"/>
        <v>物业等级</v>
      </c>
      <c r="R28" s="772" t="s">
        <v>17</v>
      </c>
      <c r="S28" s="773">
        <f t="shared" si="12"/>
        <v>100</v>
      </c>
      <c r="T28" s="772" t="s">
        <v>17</v>
      </c>
      <c r="U28" s="773">
        <f t="shared" si="13"/>
        <v>100</v>
      </c>
      <c r="V28" s="772" t="s">
        <v>17</v>
      </c>
      <c r="W28" s="773">
        <f t="shared" si="14"/>
        <v>100</v>
      </c>
      <c r="X28" s="1809"/>
      <c r="Y28" s="3288"/>
      <c r="Z28" s="1810" t="str">
        <f t="shared" si="15"/>
        <v>物业等级</v>
      </c>
      <c r="AA28" s="1807">
        <f t="shared" si="3"/>
        <v>1</v>
      </c>
      <c r="AB28" s="1807">
        <f t="shared" si="4"/>
        <v>1</v>
      </c>
      <c r="AC28" s="1807">
        <f t="shared" si="5"/>
        <v>1</v>
      </c>
    </row>
    <row r="29" spans="1:29" ht="15">
      <c r="A29" s="470"/>
      <c r="B29" s="420" t="s">
        <v>2726</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288"/>
      <c r="Q29" s="1806" t="str">
        <f t="shared" si="11"/>
        <v>有无电梯</v>
      </c>
      <c r="R29" s="772" t="s">
        <v>17</v>
      </c>
      <c r="S29" s="773">
        <f t="shared" si="12"/>
        <v>100</v>
      </c>
      <c r="T29" s="772" t="s">
        <v>17</v>
      </c>
      <c r="U29" s="773">
        <f t="shared" si="13"/>
        <v>100</v>
      </c>
      <c r="V29" s="772" t="s">
        <v>17</v>
      </c>
      <c r="W29" s="773">
        <f t="shared" si="14"/>
        <v>100</v>
      </c>
      <c r="X29" s="1809"/>
      <c r="Y29" s="3288"/>
      <c r="Z29" s="1810" t="str">
        <f t="shared" si="15"/>
        <v>有无电梯</v>
      </c>
      <c r="AA29" s="1807">
        <f t="shared" si="3"/>
        <v>1</v>
      </c>
      <c r="AB29" s="1807">
        <f t="shared" si="4"/>
        <v>1</v>
      </c>
      <c r="AC29" s="1807">
        <f t="shared" si="5"/>
        <v>1</v>
      </c>
    </row>
    <row r="30" spans="1:29" ht="15">
      <c r="A30" s="470"/>
      <c r="B30" s="420" t="s">
        <v>2727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288"/>
      <c r="Q30" s="1806" t="str">
        <f t="shared" si="11"/>
        <v>建筑面积</v>
      </c>
      <c r="R30" s="772" t="s">
        <v>17</v>
      </c>
      <c r="S30" s="773" t="e">
        <f t="shared" si="12"/>
        <v>#N/A</v>
      </c>
      <c r="T30" s="772" t="s">
        <v>17</v>
      </c>
      <c r="U30" s="773" t="e">
        <f t="shared" si="13"/>
        <v>#N/A</v>
      </c>
      <c r="V30" s="772" t="s">
        <v>17</v>
      </c>
      <c r="W30" s="773" t="e">
        <f t="shared" si="14"/>
        <v>#N/A</v>
      </c>
      <c r="X30" s="1809"/>
      <c r="Y30" s="3288"/>
      <c r="Z30" s="1810" t="str">
        <f t="shared" si="15"/>
        <v>建筑面积</v>
      </c>
      <c r="AA30" s="1807" t="e">
        <f t="shared" si="3"/>
        <v>#N/A</v>
      </c>
      <c r="AB30" s="1807" t="e">
        <f t="shared" si="4"/>
        <v>#N/A</v>
      </c>
      <c r="AC30" s="1807" t="e">
        <f t="shared" si="5"/>
        <v>#N/A</v>
      </c>
    </row>
    <row r="31" spans="1:29" s="115" customFormat="1" ht="15">
      <c r="A31" s="471"/>
      <c r="B31" s="420" t="s">
        <v>2728</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288"/>
      <c r="Q31" s="1791" t="str">
        <f t="shared" si="11"/>
        <v>是否封闭</v>
      </c>
      <c r="R31" s="768" t="s">
        <v>17</v>
      </c>
      <c r="S31" s="769">
        <f t="shared" si="12"/>
        <v>100</v>
      </c>
      <c r="T31" s="768" t="s">
        <v>17</v>
      </c>
      <c r="U31" s="769">
        <f t="shared" si="13"/>
        <v>100</v>
      </c>
      <c r="V31" s="768" t="s">
        <v>17</v>
      </c>
      <c r="W31" s="769">
        <f t="shared" si="14"/>
        <v>100</v>
      </c>
      <c r="X31" s="770"/>
      <c r="Y31" s="3288"/>
      <c r="Z31" s="55" t="str">
        <f t="shared" si="15"/>
        <v>是否封闭</v>
      </c>
      <c r="AA31" s="771">
        <f t="shared" si="3"/>
        <v>1</v>
      </c>
      <c r="AB31" s="771">
        <f t="shared" si="4"/>
        <v>1</v>
      </c>
      <c r="AC31" s="771">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288" t="s">
        <v>2554</v>
      </c>
      <c r="Q32" s="1806">
        <f t="shared" si="11"/>
        <v>111</v>
      </c>
      <c r="R32" s="772" t="s">
        <v>17</v>
      </c>
      <c r="S32" s="773">
        <f t="shared" si="12"/>
        <v>100</v>
      </c>
      <c r="T32" s="772" t="s">
        <v>17</v>
      </c>
      <c r="U32" s="773">
        <f t="shared" si="13"/>
        <v>100</v>
      </c>
      <c r="V32" s="772" t="s">
        <v>17</v>
      </c>
      <c r="W32" s="773">
        <f t="shared" si="14"/>
        <v>100</v>
      </c>
      <c r="X32" s="1809"/>
      <c r="Y32" s="3288" t="s">
        <v>2554</v>
      </c>
      <c r="Z32" s="1810">
        <f t="shared" si="15"/>
        <v>111</v>
      </c>
      <c r="AA32" s="1807">
        <f t="shared" si="3"/>
        <v>1</v>
      </c>
      <c r="AB32" s="1807">
        <f t="shared" si="4"/>
        <v>1</v>
      </c>
      <c r="AC32" s="1807">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288"/>
      <c r="Q33" s="1806">
        <f t="shared" si="11"/>
        <v>111</v>
      </c>
      <c r="R33" s="772" t="s">
        <v>17</v>
      </c>
      <c r="S33" s="773">
        <f t="shared" si="12"/>
        <v>100</v>
      </c>
      <c r="T33" s="772" t="s">
        <v>17</v>
      </c>
      <c r="U33" s="773">
        <f t="shared" si="13"/>
        <v>100</v>
      </c>
      <c r="V33" s="772" t="s">
        <v>17</v>
      </c>
      <c r="W33" s="773">
        <f t="shared" si="14"/>
        <v>100</v>
      </c>
      <c r="X33" s="1809"/>
      <c r="Y33" s="3288"/>
      <c r="Z33" s="1810">
        <f t="shared" si="15"/>
        <v>111</v>
      </c>
      <c r="AA33" s="1807">
        <f t="shared" si="3"/>
        <v>1</v>
      </c>
      <c r="AB33" s="1807">
        <f t="shared" si="4"/>
        <v>1</v>
      </c>
      <c r="AC33" s="1807">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6"/>
      <c r="M34" s="1127"/>
      <c r="N34" s="1127"/>
      <c r="O34" s="1135"/>
      <c r="P34" s="3288"/>
      <c r="Q34" s="1806">
        <f t="shared" si="11"/>
        <v>111</v>
      </c>
      <c r="R34" s="772" t="s">
        <v>17</v>
      </c>
      <c r="S34" s="773">
        <f t="shared" si="12"/>
        <v>100</v>
      </c>
      <c r="T34" s="772" t="s">
        <v>17</v>
      </c>
      <c r="U34" s="773">
        <f t="shared" si="13"/>
        <v>100</v>
      </c>
      <c r="V34" s="772" t="s">
        <v>17</v>
      </c>
      <c r="W34" s="773">
        <f t="shared" si="14"/>
        <v>100</v>
      </c>
      <c r="X34" s="1809"/>
      <c r="Y34" s="3288"/>
      <c r="Z34" s="1810">
        <f t="shared" si="15"/>
        <v>111</v>
      </c>
      <c r="AA34" s="1807">
        <f t="shared" si="3"/>
        <v>1</v>
      </c>
      <c r="AB34" s="1807">
        <f t="shared" si="4"/>
        <v>1</v>
      </c>
      <c r="AC34" s="1807">
        <f t="shared" si="5"/>
        <v>1</v>
      </c>
    </row>
    <row r="35" spans="1:29" ht="15">
      <c r="A35" s="477" t="s">
        <v>2566</v>
      </c>
      <c r="B35" s="478"/>
      <c r="C35" s="1403" t="s">
        <v>1</v>
      </c>
      <c r="D35" s="1404"/>
      <c r="E35" s="1405"/>
      <c r="F35" s="1406"/>
      <c r="G35" s="1407"/>
      <c r="H35" s="1408"/>
      <c r="I35" s="1405"/>
      <c r="J35" s="1408"/>
      <c r="K35" s="781"/>
      <c r="L35" s="1139"/>
      <c r="M35" s="1140"/>
      <c r="N35" s="1127"/>
      <c r="O35" s="1140"/>
      <c r="P35" s="3281" t="str">
        <f>A35</f>
        <v>成交单价（元/平方米）</v>
      </c>
      <c r="Q35" s="3281"/>
      <c r="R35" s="3282">
        <f>E35</f>
        <v>0</v>
      </c>
      <c r="S35" s="3282"/>
      <c r="T35" s="3282">
        <f>G35</f>
        <v>0</v>
      </c>
      <c r="U35" s="3282"/>
      <c r="V35" s="3282">
        <f>I35</f>
        <v>0</v>
      </c>
      <c r="W35" s="3282"/>
      <c r="X35" s="757"/>
      <c r="Y35" s="779"/>
      <c r="Z35" s="757"/>
      <c r="AA35" s="757"/>
      <c r="AB35" s="757"/>
      <c r="AC35" s="757"/>
    </row>
    <row r="36" spans="1:29" ht="15.75" thickBot="1">
      <c r="A36" s="484" t="s">
        <v>2658</v>
      </c>
      <c r="B36" s="485"/>
      <c r="C36" s="1409" t="e">
        <f>R37</f>
        <v>#DIV/0!</v>
      </c>
      <c r="D36" s="1410"/>
      <c r="E36" s="1411" t="e">
        <f>R36</f>
        <v>#DIV/0!</v>
      </c>
      <c r="F36" s="1411"/>
      <c r="G36" s="1409" t="e">
        <f>T36</f>
        <v>#DIV/0!</v>
      </c>
      <c r="H36" s="1410"/>
      <c r="I36" s="1411" t="e">
        <f>V36</f>
        <v>#DIV/0!</v>
      </c>
      <c r="J36" s="1410"/>
      <c r="K36" s="782"/>
      <c r="L36" s="1139"/>
      <c r="M36" s="1140"/>
      <c r="N36" s="1127"/>
      <c r="O36" s="1140"/>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7"/>
      <c r="Y36" s="757"/>
      <c r="Z36" s="757"/>
      <c r="AA36" s="757"/>
      <c r="AB36" s="757"/>
      <c r="AC36" s="757"/>
    </row>
    <row r="37" spans="1:29" ht="15.75" thickBot="1">
      <c r="A37" s="490" t="s">
        <v>2659</v>
      </c>
      <c r="B37" s="491"/>
      <c r="C37" s="1413" t="e">
        <f>R37</f>
        <v>#DIV/0!</v>
      </c>
      <c r="D37" s="1413"/>
      <c r="E37" s="1413"/>
      <c r="F37" s="1413"/>
      <c r="G37" s="1413"/>
      <c r="H37" s="1413"/>
      <c r="I37" s="1413"/>
      <c r="J37" s="1413"/>
      <c r="K37" s="783"/>
      <c r="L37" s="1139"/>
      <c r="M37" s="1140"/>
      <c r="N37" s="1140"/>
      <c r="O37" s="1140"/>
      <c r="P37" s="3278" t="str">
        <f>A37</f>
        <v>估价对象XX用房的比较价值（楼面单价，元/平方米）</v>
      </c>
      <c r="Q37" s="3279"/>
      <c r="R37" s="3280" t="e">
        <f>IF(F1="售价",ROUND(AVERAGE(R36:V36),0),ROUND(AVERAGE(R36:V36),1))</f>
        <v>#DIV/0!</v>
      </c>
      <c r="S37" s="3280"/>
      <c r="T37" s="3280"/>
      <c r="U37" s="3280"/>
      <c r="V37" s="3280"/>
      <c r="W37" s="3280"/>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2660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2661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2662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2663</v>
      </c>
      <c r="B45" s="757"/>
      <c r="C45" s="762"/>
      <c r="D45" s="762"/>
      <c r="E45" s="762"/>
      <c r="F45" s="763"/>
      <c r="G45" s="763"/>
      <c r="H45" s="762"/>
      <c r="I45" s="762"/>
      <c r="J45" s="762"/>
      <c r="K45" s="764"/>
      <c r="L45" s="765"/>
      <c r="M45" s="762"/>
      <c r="N45" s="762"/>
      <c r="O45" s="762"/>
      <c r="P45" s="501"/>
      <c r="Q45" s="502"/>
    </row>
    <row r="46" spans="1:29" s="506" customFormat="1" ht="15">
      <c r="A46" s="503" t="s">
        <v>2537</v>
      </c>
      <c r="B46" s="504"/>
      <c r="C46" s="1570" t="str">
        <f>YEAR(C7)&amp;"-"&amp;MONTH(C7)</f>
        <v>2019-4</v>
      </c>
      <c r="D46" s="1571">
        <f>EDATE(C46,-1)</f>
        <v>43525</v>
      </c>
      <c r="E46" s="1571">
        <f t="shared" ref="E46:O46" si="16">EDATE(D46,-1)</f>
        <v>43497</v>
      </c>
      <c r="F46" s="1571">
        <f t="shared" si="16"/>
        <v>43466</v>
      </c>
      <c r="G46" s="1571">
        <f t="shared" si="16"/>
        <v>43435</v>
      </c>
      <c r="H46" s="1571">
        <f t="shared" si="16"/>
        <v>43405</v>
      </c>
      <c r="I46" s="1571">
        <f t="shared" si="16"/>
        <v>43374</v>
      </c>
      <c r="J46" s="1571">
        <f t="shared" si="16"/>
        <v>43344</v>
      </c>
      <c r="K46" s="1571">
        <f t="shared" si="16"/>
        <v>43313</v>
      </c>
      <c r="L46" s="1571">
        <f t="shared" si="16"/>
        <v>43282</v>
      </c>
      <c r="M46" s="1571">
        <f t="shared" si="16"/>
        <v>43252</v>
      </c>
      <c r="N46" s="1571">
        <f t="shared" si="16"/>
        <v>43221</v>
      </c>
      <c r="O46" s="1571">
        <f t="shared" si="16"/>
        <v>43191</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2574</v>
      </c>
      <c r="B48" s="514"/>
      <c r="C48" s="515"/>
      <c r="D48" s="516"/>
      <c r="E48" s="516"/>
      <c r="F48" s="516"/>
      <c r="G48" s="516"/>
      <c r="H48" s="516"/>
      <c r="I48" s="516"/>
      <c r="J48" s="516"/>
      <c r="K48" s="516"/>
      <c r="L48" s="516"/>
      <c r="M48" s="517"/>
      <c r="N48" s="516"/>
      <c r="O48" s="518"/>
      <c r="P48" s="502"/>
      <c r="Q48" s="502"/>
    </row>
    <row r="49" spans="1:17" s="115" customFormat="1" ht="15">
      <c r="A49" s="519" t="s">
        <v>2539</v>
      </c>
      <c r="B49" s="508"/>
      <c r="C49" s="520" t="s">
        <v>2641</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2577</v>
      </c>
      <c r="B51" s="526" t="s">
        <v>2543</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2546</v>
      </c>
      <c r="C53" s="537" t="s">
        <v>2578</v>
      </c>
      <c r="D53" s="537" t="s">
        <v>2579</v>
      </c>
      <c r="E53" s="537" t="s">
        <v>2580</v>
      </c>
      <c r="F53" s="537" t="s">
        <v>2581</v>
      </c>
      <c r="G53" s="537" t="s">
        <v>2582</v>
      </c>
      <c r="H53" s="537" t="s">
        <v>2583</v>
      </c>
      <c r="I53" s="537" t="s">
        <v>2584</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2548</v>
      </c>
      <c r="B61" s="526" t="s">
        <v>2591</v>
      </c>
      <c r="C61" s="571" t="s">
        <v>2586</v>
      </c>
      <c r="D61" s="571" t="s">
        <v>2587</v>
      </c>
      <c r="E61" s="571" t="s">
        <v>2588</v>
      </c>
      <c r="F61" s="571" t="s">
        <v>2589</v>
      </c>
      <c r="G61" s="571" t="s">
        <v>2590</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2729</v>
      </c>
      <c r="C63" s="576" t="s">
        <v>2586</v>
      </c>
      <c r="D63" s="576" t="s">
        <v>2587</v>
      </c>
      <c r="E63" s="576" t="s">
        <v>2588</v>
      </c>
      <c r="F63" s="576" t="s">
        <v>2589</v>
      </c>
      <c r="G63" s="576" t="s">
        <v>2590</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2678</v>
      </c>
      <c r="C65" s="658" t="s">
        <v>2664</v>
      </c>
      <c r="D65" s="658" t="s">
        <v>2665</v>
      </c>
      <c r="E65" s="658" t="s">
        <v>2666</v>
      </c>
      <c r="F65" s="658" t="s">
        <v>2667</v>
      </c>
      <c r="G65" s="658" t="s">
        <v>2668</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2598</v>
      </c>
      <c r="C67" s="576" t="s">
        <v>2586</v>
      </c>
      <c r="D67" s="576" t="s">
        <v>2587</v>
      </c>
      <c r="E67" s="576" t="s">
        <v>2588</v>
      </c>
      <c r="F67" s="576" t="s">
        <v>2589</v>
      </c>
      <c r="G67" s="576" t="s">
        <v>2590</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2718</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2552</v>
      </c>
      <c r="B77" s="526" t="s">
        <v>2605</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2721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2722</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2730</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2731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2732</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2733</v>
      </c>
      <c r="B1" s="393"/>
      <c r="C1" s="394" t="s">
        <v>2734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2316</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2318</v>
      </c>
      <c r="B3" s="607" t="e">
        <f>ROUND(IF(D3="",B2*10000/'数据-汇总表'!E3,B2*10000/D3),0)</f>
        <v>#DIV/0!</v>
      </c>
      <c r="C3" s="245" t="s">
        <v>2735</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30"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30" ht="15.75" thickBot="1">
      <c r="A6" s="404"/>
      <c r="B6" s="405"/>
      <c r="C6" s="3313" t="s">
        <v>2535</v>
      </c>
      <c r="D6" s="3314"/>
      <c r="E6" s="3320" t="s">
        <v>2535</v>
      </c>
      <c r="F6" s="3321"/>
      <c r="G6" s="3313" t="s">
        <v>2535</v>
      </c>
      <c r="H6" s="3314"/>
      <c r="I6" s="3313" t="s">
        <v>2535</v>
      </c>
      <c r="J6" s="3314"/>
      <c r="K6" s="608" t="s">
        <v>2536</v>
      </c>
      <c r="L6" s="1126"/>
      <c r="M6" s="1127"/>
      <c r="N6" s="1127"/>
      <c r="O6" s="1127"/>
      <c r="P6" s="3304"/>
      <c r="Q6" s="3305"/>
      <c r="R6" s="3308"/>
      <c r="S6" s="3309"/>
      <c r="T6" s="3310"/>
      <c r="U6" s="3311"/>
      <c r="V6" s="3312"/>
      <c r="W6" s="3312"/>
      <c r="X6" s="1809"/>
      <c r="Y6" s="3310"/>
      <c r="Z6" s="3311"/>
      <c r="AA6" s="3295"/>
      <c r="AB6" s="3295"/>
      <c r="AC6" s="3295"/>
    </row>
    <row r="7" spans="1:30" s="115" customFormat="1" ht="15.75" thickBot="1">
      <c r="A7" s="406" t="s">
        <v>2537</v>
      </c>
      <c r="B7" s="407"/>
      <c r="C7" s="408">
        <f>'数据-取费表'!B2</f>
        <v>43566</v>
      </c>
      <c r="D7" s="409">
        <v>100</v>
      </c>
      <c r="E7" s="410">
        <v>42309</v>
      </c>
      <c r="F7" s="411">
        <f>SUMIF(70:70,YEAR(E7)&amp;"-"&amp;INT((MONTH(E7)+2)/3),71:71)</f>
        <v>0</v>
      </c>
      <c r="G7" s="2692">
        <v>42309</v>
      </c>
      <c r="H7" s="409">
        <f>SUMIF(70:70,YEAR(G7)&amp;"-"&amp;INT((MONTH(G7)+2)/3),71:71)</f>
        <v>0</v>
      </c>
      <c r="I7" s="2692">
        <v>42036</v>
      </c>
      <c r="J7" s="409">
        <f>SUMIF(70:70,YEAR(I7)&amp;"-"&amp;INT((MONTH(I7)+2)/3),71:71)</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30" s="115" customFormat="1" ht="15.75" thickBot="1">
      <c r="A8" s="406" t="s">
        <v>2539</v>
      </c>
      <c r="B8" s="407"/>
      <c r="C8" s="412" t="s">
        <v>2540</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5" si="3">D8/F8</f>
        <v>#DIV/0!</v>
      </c>
      <c r="AB8" s="771" t="e">
        <f t="shared" ref="AB8:AB45" si="4">D8/H8</f>
        <v>#DIV/0!</v>
      </c>
      <c r="AC8" s="771" t="e">
        <f t="shared" ref="AC8:AC45" si="5">D8/J8</f>
        <v>#DIV/0!</v>
      </c>
    </row>
    <row r="9" spans="1:30" s="115" customFormat="1">
      <c r="A9" s="413" t="s">
        <v>2542</v>
      </c>
      <c r="B9" s="71" t="s">
        <v>2543</v>
      </c>
      <c r="C9" s="2695"/>
      <c r="D9" s="133">
        <v>100</v>
      </c>
      <c r="E9" s="2695"/>
      <c r="F9" s="133">
        <f>SUMIF(75:75,E9,76:76)-SUMIF(75:75,C9,76:76)+100</f>
        <v>100</v>
      </c>
      <c r="G9" s="2695"/>
      <c r="H9" s="133">
        <f>SUMIF(75:75,G9,76:76)-SUMIF(75:75,C9,76:76)+100</f>
        <v>100</v>
      </c>
      <c r="I9" s="2695"/>
      <c r="J9" s="133">
        <f>SUMIF(75:75,I9,76:76)-SUMIF(75:75,C9,76:76)+100</f>
        <v>100</v>
      </c>
      <c r="K9" s="609"/>
      <c r="L9" s="1128"/>
      <c r="M9" s="1129"/>
      <c r="N9" s="1129"/>
      <c r="O9" s="1130"/>
      <c r="P9" s="3281"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30" s="425" customFormat="1" ht="27">
      <c r="A10" s="419"/>
      <c r="B10" s="420" t="s">
        <v>2546</v>
      </c>
      <c r="C10" s="430"/>
      <c r="D10" s="134">
        <v>100</v>
      </c>
      <c r="E10" s="463"/>
      <c r="F10" s="134">
        <f>ROUND(100/'数据-取费表'!G16,0)</f>
        <v>114</v>
      </c>
      <c r="G10" s="461"/>
      <c r="H10" s="134">
        <f>ROUND(100/'数据-取费表'!G16,0)</f>
        <v>114</v>
      </c>
      <c r="I10" s="461"/>
      <c r="J10" s="134">
        <f>ROUND(100/'数据-取费表'!G16,0)</f>
        <v>114</v>
      </c>
      <c r="K10" s="670"/>
      <c r="L10" s="1131"/>
      <c r="M10" s="1132"/>
      <c r="N10" s="1132"/>
      <c r="O10" s="1133"/>
      <c r="P10" s="3281"/>
      <c r="Q10" s="1791" t="str">
        <f t="shared" si="6"/>
        <v>土地使用年限（年）</v>
      </c>
      <c r="R10" s="768" t="s">
        <v>17</v>
      </c>
      <c r="S10" s="769">
        <f t="shared" si="0"/>
        <v>114</v>
      </c>
      <c r="T10" s="768" t="s">
        <v>17</v>
      </c>
      <c r="U10" s="769">
        <f t="shared" si="1"/>
        <v>114</v>
      </c>
      <c r="V10" s="768" t="s">
        <v>17</v>
      </c>
      <c r="W10" s="769">
        <f t="shared" si="2"/>
        <v>114</v>
      </c>
      <c r="X10" s="770"/>
      <c r="Y10" s="3082"/>
      <c r="Z10" s="55" t="str">
        <f t="shared" si="7"/>
        <v>土地使用年限（年）</v>
      </c>
      <c r="AA10" s="771">
        <f t="shared" si="3"/>
        <v>0.8771929824561403</v>
      </c>
      <c r="AB10" s="771">
        <f t="shared" si="4"/>
        <v>0.8771929824561403</v>
      </c>
      <c r="AC10" s="771">
        <f t="shared" si="5"/>
        <v>0.8771929824561403</v>
      </c>
    </row>
    <row r="11" spans="1:30" ht="15">
      <c r="A11" s="426"/>
      <c r="B11" s="420" t="s">
        <v>2547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4"/>
      <c r="M11" s="1127"/>
      <c r="N11" s="1127"/>
      <c r="O11" s="1135"/>
      <c r="P11" s="3281"/>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30" s="115" customFormat="1" ht="15">
      <c r="A12" s="429"/>
      <c r="B12" s="2596" t="s">
        <v>2736</v>
      </c>
      <c r="C12" s="430"/>
      <c r="D12" s="431">
        <v>100</v>
      </c>
      <c r="E12" s="463"/>
      <c r="F12" s="134">
        <f>SUMIF(82:82,E12,83:83)-SUMIF(82:82,C12,83:83)+100</f>
        <v>100</v>
      </c>
      <c r="G12" s="461"/>
      <c r="H12" s="134">
        <f>SUMIF(82:82,G12,83:83)-SUMIF(82:82,C12,83:83)+100</f>
        <v>100</v>
      </c>
      <c r="I12" s="463"/>
      <c r="J12" s="134">
        <f>SUMIF(82:82,I12,83:83)-SUMIF(82:82,C12,83:83)+100</f>
        <v>100</v>
      </c>
      <c r="K12" s="670"/>
      <c r="L12" s="1128"/>
      <c r="M12" s="1129"/>
      <c r="N12" s="1129"/>
      <c r="O12" s="1130"/>
      <c r="P12" s="3281"/>
      <c r="Q12" s="1791" t="str">
        <f t="shared" si="6"/>
        <v>配建</v>
      </c>
      <c r="R12" s="768" t="s">
        <v>17</v>
      </c>
      <c r="S12" s="769">
        <f t="shared" si="0"/>
        <v>100</v>
      </c>
      <c r="T12" s="768" t="s">
        <v>17</v>
      </c>
      <c r="U12" s="769">
        <f t="shared" si="1"/>
        <v>100</v>
      </c>
      <c r="V12" s="768" t="s">
        <v>17</v>
      </c>
      <c r="W12" s="769">
        <f t="shared" si="2"/>
        <v>100</v>
      </c>
      <c r="X12" s="770"/>
      <c r="Y12" s="3082"/>
      <c r="Z12" s="55" t="str">
        <f t="shared" si="7"/>
        <v>配建</v>
      </c>
      <c r="AA12" s="771">
        <f>D12/F12</f>
        <v>1</v>
      </c>
      <c r="AB12" s="771">
        <f>D12/H12</f>
        <v>1</v>
      </c>
      <c r="AC12" s="771">
        <f>D12/J12</f>
        <v>1</v>
      </c>
    </row>
    <row r="13" spans="1:30" ht="15">
      <c r="A13" s="426"/>
      <c r="B13" s="2596">
        <v>111</v>
      </c>
      <c r="C13" s="432"/>
      <c r="D13" s="433">
        <v>100</v>
      </c>
      <c r="E13" s="547"/>
      <c r="F13" s="134">
        <f>SUMIF(84:84,E13,85:85)-SUMIF(84:84,C13,85:85)+100</f>
        <v>100</v>
      </c>
      <c r="G13" s="672"/>
      <c r="H13" s="433">
        <f>SUMIF(84:84,G13,85:85)-SUMIF(84:84,C13,85:85)+100</f>
        <v>100</v>
      </c>
      <c r="I13" s="672"/>
      <c r="J13" s="433">
        <f>SUMIF(84:84,I13,85:85)-SUMIF(84:84,C13,85:85)+100</f>
        <v>100</v>
      </c>
      <c r="K13" s="670"/>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D13/F13</f>
        <v>1</v>
      </c>
      <c r="AB13" s="771">
        <f>D13/H13</f>
        <v>1</v>
      </c>
      <c r="AC13" s="771">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281"/>
      <c r="Q14" s="1791">
        <f t="shared" si="6"/>
        <v>111</v>
      </c>
      <c r="R14" s="768" t="s">
        <v>17</v>
      </c>
      <c r="S14" s="769">
        <f t="shared" si="0"/>
        <v>100</v>
      </c>
      <c r="T14" s="768" t="s">
        <v>17</v>
      </c>
      <c r="U14" s="769">
        <f t="shared" si="1"/>
        <v>100</v>
      </c>
      <c r="V14" s="768" t="s">
        <v>17</v>
      </c>
      <c r="W14" s="769">
        <f t="shared" si="2"/>
        <v>100</v>
      </c>
      <c r="X14" s="770"/>
      <c r="Y14" s="3082"/>
      <c r="Z14" s="55">
        <f t="shared" si="7"/>
        <v>111</v>
      </c>
      <c r="AA14" s="771">
        <f>D14/F14</f>
        <v>1</v>
      </c>
      <c r="AB14" s="771">
        <f>D14/H14</f>
        <v>1</v>
      </c>
      <c r="AC14" s="771">
        <f>D14/J14</f>
        <v>1</v>
      </c>
    </row>
    <row r="15" spans="1:30" ht="15">
      <c r="A15" s="438" t="s">
        <v>2548</v>
      </c>
      <c r="B15" s="69" t="s">
        <v>2085</v>
      </c>
      <c r="C15" s="2599">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6"/>
      <c r="M15" s="1127"/>
      <c r="N15" s="1127"/>
      <c r="O15" s="1135"/>
      <c r="P15" s="3283" t="s">
        <v>2549</v>
      </c>
      <c r="Q15" s="1806" t="str">
        <f t="shared" si="6"/>
        <v>居住社区成熟度</v>
      </c>
      <c r="R15" s="772" t="s">
        <v>17</v>
      </c>
      <c r="S15" s="773">
        <f t="shared" si="0"/>
        <v>100</v>
      </c>
      <c r="T15" s="772" t="s">
        <v>17</v>
      </c>
      <c r="U15" s="773">
        <f t="shared" si="1"/>
        <v>100</v>
      </c>
      <c r="V15" s="772" t="s">
        <v>17</v>
      </c>
      <c r="W15" s="773">
        <f t="shared" si="2"/>
        <v>100</v>
      </c>
      <c r="X15" s="1809"/>
      <c r="Y15" s="3283" t="s">
        <v>2549</v>
      </c>
      <c r="Z15" s="1810" t="str">
        <f t="shared" si="7"/>
        <v>居住社区成熟度</v>
      </c>
      <c r="AA15" s="1807">
        <f t="shared" si="3"/>
        <v>1</v>
      </c>
      <c r="AB15" s="1807">
        <f t="shared" si="4"/>
        <v>1</v>
      </c>
      <c r="AC15" s="1807">
        <f t="shared" si="5"/>
        <v>1</v>
      </c>
    </row>
    <row r="16" spans="1:30" ht="15">
      <c r="A16" s="426"/>
      <c r="B16" s="444"/>
      <c r="C16" s="445"/>
      <c r="D16" s="446"/>
      <c r="E16" s="2601"/>
      <c r="F16" s="446"/>
      <c r="G16" s="2601"/>
      <c r="H16" s="448"/>
      <c r="I16" s="2600"/>
      <c r="J16" s="446"/>
      <c r="K16" s="670"/>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6"/>
      <c r="B17" s="449" t="s">
        <v>2642</v>
      </c>
      <c r="C17" s="2660">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6"/>
      <c r="M17" s="1127"/>
      <c r="N17" s="1127"/>
      <c r="O17" s="1135"/>
      <c r="P17" s="3284"/>
      <c r="Q17" s="1806" t="str">
        <f>B17</f>
        <v>商业繁华度</v>
      </c>
      <c r="R17" s="772" t="s">
        <v>17</v>
      </c>
      <c r="S17" s="773">
        <f>F17</f>
        <v>100</v>
      </c>
      <c r="T17" s="772" t="s">
        <v>17</v>
      </c>
      <c r="U17" s="773">
        <f>H17</f>
        <v>100</v>
      </c>
      <c r="V17" s="772" t="s">
        <v>17</v>
      </c>
      <c r="W17" s="773">
        <f>J17</f>
        <v>100</v>
      </c>
      <c r="X17" s="1809"/>
      <c r="Y17" s="3284"/>
      <c r="Z17" s="1810" t="str">
        <f>Q17</f>
        <v>商业繁华度</v>
      </c>
      <c r="AA17" s="1807">
        <f t="shared" si="3"/>
        <v>1</v>
      </c>
      <c r="AB17" s="1807">
        <f t="shared" si="4"/>
        <v>1</v>
      </c>
      <c r="AC17" s="1807">
        <f t="shared" si="5"/>
        <v>1</v>
      </c>
    </row>
    <row r="18" spans="1:29" ht="15">
      <c r="A18" s="426"/>
      <c r="B18" s="454"/>
      <c r="C18" s="2604"/>
      <c r="D18" s="448"/>
      <c r="E18" s="2606"/>
      <c r="F18" s="448"/>
      <c r="G18" s="2606"/>
      <c r="H18" s="446"/>
      <c r="I18" s="2605"/>
      <c r="J18" s="446"/>
      <c r="K18" s="670"/>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6"/>
      <c r="B19" s="449" t="s">
        <v>2676</v>
      </c>
      <c r="C19" s="2660">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6"/>
      <c r="M19" s="1127"/>
      <c r="N19" s="1127"/>
      <c r="O19" s="1135"/>
      <c r="P19" s="3284"/>
      <c r="Q19" s="1806" t="str">
        <f>B19</f>
        <v>办公集聚程度</v>
      </c>
      <c r="R19" s="772" t="s">
        <v>17</v>
      </c>
      <c r="S19" s="773">
        <f>F19</f>
        <v>100</v>
      </c>
      <c r="T19" s="772" t="s">
        <v>17</v>
      </c>
      <c r="U19" s="773">
        <f>H19</f>
        <v>100</v>
      </c>
      <c r="V19" s="772" t="s">
        <v>17</v>
      </c>
      <c r="W19" s="773">
        <f>J19</f>
        <v>100</v>
      </c>
      <c r="X19" s="1809"/>
      <c r="Y19" s="3284"/>
      <c r="Z19" s="1810" t="str">
        <f>Q19</f>
        <v>办公集聚程度</v>
      </c>
      <c r="AA19" s="1807">
        <f t="shared" si="3"/>
        <v>1</v>
      </c>
      <c r="AB19" s="1807">
        <f t="shared" si="4"/>
        <v>1</v>
      </c>
      <c r="AC19" s="1807">
        <f t="shared" si="5"/>
        <v>1</v>
      </c>
    </row>
    <row r="20" spans="1:29" ht="15">
      <c r="A20" s="426"/>
      <c r="B20" s="454"/>
      <c r="C20" s="445"/>
      <c r="D20" s="446"/>
      <c r="E20" s="2601"/>
      <c r="F20" s="446"/>
      <c r="G20" s="2601"/>
      <c r="H20" s="446"/>
      <c r="I20" s="2600"/>
      <c r="J20" s="446"/>
      <c r="K20" s="670"/>
      <c r="L20" s="1136"/>
      <c r="M20" s="1127"/>
      <c r="N20" s="1127"/>
      <c r="O20" s="1135"/>
      <c r="P20" s="3284"/>
      <c r="Q20" s="1806"/>
      <c r="R20" s="772"/>
      <c r="S20" s="773"/>
      <c r="T20" s="772"/>
      <c r="U20" s="773"/>
      <c r="V20" s="772"/>
      <c r="W20" s="773"/>
      <c r="X20" s="1809"/>
      <c r="Y20" s="3284"/>
      <c r="Z20" s="1810"/>
      <c r="AA20" s="1807">
        <v>1</v>
      </c>
      <c r="AB20" s="1807">
        <v>1</v>
      </c>
      <c r="AC20" s="1807">
        <v>1</v>
      </c>
    </row>
    <row r="21" spans="1:29" ht="15">
      <c r="A21" s="426"/>
      <c r="B21" s="449" t="s">
        <v>2698</v>
      </c>
      <c r="C21" s="2603">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6"/>
      <c r="M21" s="1127"/>
      <c r="N21" s="1127"/>
      <c r="O21" s="1135"/>
      <c r="P21" s="3284"/>
      <c r="Q21" s="1806" t="str">
        <f>B21</f>
        <v>交通便捷度</v>
      </c>
      <c r="R21" s="772" t="s">
        <v>17</v>
      </c>
      <c r="S21" s="773">
        <f>F21</f>
        <v>100</v>
      </c>
      <c r="T21" s="772" t="s">
        <v>17</v>
      </c>
      <c r="U21" s="773">
        <f>H21</f>
        <v>100</v>
      </c>
      <c r="V21" s="772" t="s">
        <v>17</v>
      </c>
      <c r="W21" s="773">
        <f>J21</f>
        <v>100</v>
      </c>
      <c r="X21" s="1809"/>
      <c r="Y21" s="3284"/>
      <c r="Z21" s="1810" t="str">
        <f>Q21</f>
        <v>交通便捷度</v>
      </c>
      <c r="AA21" s="1807">
        <f t="shared" si="3"/>
        <v>1</v>
      </c>
      <c r="AB21" s="1807">
        <f t="shared" si="4"/>
        <v>1</v>
      </c>
      <c r="AC21" s="1807">
        <f t="shared" si="5"/>
        <v>1</v>
      </c>
    </row>
    <row r="22" spans="1:29" ht="15">
      <c r="A22" s="426"/>
      <c r="B22" s="1380"/>
      <c r="C22" s="445"/>
      <c r="D22" s="448"/>
      <c r="E22" s="2601"/>
      <c r="F22" s="446"/>
      <c r="G22" s="2601"/>
      <c r="H22" s="446"/>
      <c r="I22" s="2600"/>
      <c r="J22" s="446"/>
      <c r="K22" s="670"/>
      <c r="L22" s="1136"/>
      <c r="M22" s="1127"/>
      <c r="N22" s="1127"/>
      <c r="O22" s="1135"/>
      <c r="P22" s="3284"/>
      <c r="Q22" s="1806"/>
      <c r="R22" s="772"/>
      <c r="S22" s="773"/>
      <c r="T22" s="772"/>
      <c r="U22" s="773"/>
      <c r="V22" s="772"/>
      <c r="W22" s="773"/>
      <c r="X22" s="1809"/>
      <c r="Y22" s="3284"/>
      <c r="Z22" s="1810"/>
      <c r="AA22" s="1807">
        <v>1</v>
      </c>
      <c r="AB22" s="1807">
        <v>1</v>
      </c>
      <c r="AC22" s="1807">
        <v>1</v>
      </c>
    </row>
    <row r="23" spans="1:29" ht="15">
      <c r="A23" s="402"/>
      <c r="B23" s="449" t="s">
        <v>2737</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6"/>
      <c r="M23" s="1127"/>
      <c r="N23" s="1127"/>
      <c r="O23" s="1135"/>
      <c r="P23" s="3284"/>
      <c r="Q23" s="1806" t="str">
        <f t="shared" ref="Q23:Q37" si="8">B23</f>
        <v>区域土地利用方向</v>
      </c>
      <c r="R23" s="772" t="s">
        <v>17</v>
      </c>
      <c r="S23" s="773">
        <f>F23</f>
        <v>100</v>
      </c>
      <c r="T23" s="772" t="s">
        <v>17</v>
      </c>
      <c r="U23" s="773">
        <f>H23</f>
        <v>100</v>
      </c>
      <c r="V23" s="772" t="s">
        <v>17</v>
      </c>
      <c r="W23" s="773">
        <f>J23</f>
        <v>100</v>
      </c>
      <c r="X23" s="1809"/>
      <c r="Y23" s="3284"/>
      <c r="Z23" s="1810" t="str">
        <f>Q23</f>
        <v>区域土地利用方向</v>
      </c>
      <c r="AA23" s="1807">
        <f t="shared" si="3"/>
        <v>1</v>
      </c>
      <c r="AB23" s="1807">
        <f t="shared" si="4"/>
        <v>1</v>
      </c>
      <c r="AC23" s="1807">
        <f t="shared" si="5"/>
        <v>1</v>
      </c>
    </row>
    <row r="24" spans="1:29" ht="15">
      <c r="A24" s="402"/>
      <c r="B24" s="454"/>
      <c r="C24" s="614"/>
      <c r="D24" s="446"/>
      <c r="E24" s="2601"/>
      <c r="F24" s="446"/>
      <c r="G24" s="2600"/>
      <c r="H24" s="446"/>
      <c r="I24" s="2600"/>
      <c r="J24" s="446"/>
      <c r="K24" s="808"/>
      <c r="L24" s="1136"/>
      <c r="M24" s="1127"/>
      <c r="N24" s="1127"/>
      <c r="O24" s="1135"/>
      <c r="P24" s="3284"/>
      <c r="Q24" s="1806"/>
      <c r="R24" s="772"/>
      <c r="S24" s="773"/>
      <c r="T24" s="772"/>
      <c r="U24" s="773"/>
      <c r="V24" s="772"/>
      <c r="W24" s="773"/>
      <c r="X24" s="1809"/>
      <c r="Y24" s="3284"/>
      <c r="Z24" s="1810"/>
      <c r="AA24" s="1807"/>
      <c r="AB24" s="1807"/>
      <c r="AC24" s="1807"/>
    </row>
    <row r="25" spans="1:29" ht="27">
      <c r="A25" s="402"/>
      <c r="B25" s="1380" t="s">
        <v>2738</v>
      </c>
      <c r="C25" s="2660">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6"/>
      <c r="M25" s="1127"/>
      <c r="N25" s="1127"/>
      <c r="O25" s="1135"/>
      <c r="P25" s="3284"/>
      <c r="Q25" s="1806" t="str">
        <f t="shared" si="8"/>
        <v>自然及人文环境状况</v>
      </c>
      <c r="R25" s="772" t="s">
        <v>17</v>
      </c>
      <c r="S25" s="773">
        <f>F25</f>
        <v>100</v>
      </c>
      <c r="T25" s="772" t="s">
        <v>17</v>
      </c>
      <c r="U25" s="773">
        <f>H25</f>
        <v>100</v>
      </c>
      <c r="V25" s="772" t="s">
        <v>17</v>
      </c>
      <c r="W25" s="773">
        <f>J25</f>
        <v>100</v>
      </c>
      <c r="X25" s="1809"/>
      <c r="Y25" s="3284"/>
      <c r="Z25" s="1810" t="str">
        <f>Q25</f>
        <v>自然及人文环境状况</v>
      </c>
      <c r="AA25" s="1807">
        <f t="shared" si="3"/>
        <v>1</v>
      </c>
      <c r="AB25" s="1807">
        <f t="shared" si="4"/>
        <v>1</v>
      </c>
      <c r="AC25" s="1807">
        <f t="shared" si="5"/>
        <v>1</v>
      </c>
    </row>
    <row r="26" spans="1:29" ht="15">
      <c r="A26" s="402"/>
      <c r="B26" s="454"/>
      <c r="C26" s="445"/>
      <c r="D26" s="446"/>
      <c r="E26" s="2607"/>
      <c r="F26" s="446"/>
      <c r="G26" s="2607"/>
      <c r="H26" s="446"/>
      <c r="I26" s="445"/>
      <c r="J26" s="446"/>
      <c r="K26" s="670"/>
      <c r="L26" s="1136"/>
      <c r="M26" s="1127"/>
      <c r="N26" s="1127"/>
      <c r="O26" s="1135"/>
      <c r="P26" s="3284"/>
      <c r="Q26" s="1806"/>
      <c r="R26" s="772"/>
      <c r="S26" s="773"/>
      <c r="T26" s="772"/>
      <c r="U26" s="773"/>
      <c r="V26" s="772"/>
      <c r="W26" s="773"/>
      <c r="X26" s="1809"/>
      <c r="Y26" s="3284"/>
      <c r="Z26" s="1810"/>
      <c r="AA26" s="1807">
        <v>1</v>
      </c>
      <c r="AB26" s="1807">
        <v>1</v>
      </c>
      <c r="AC26" s="1807">
        <v>1</v>
      </c>
    </row>
    <row r="27" spans="1:29" s="115" customFormat="1" ht="15">
      <c r="A27" s="647"/>
      <c r="B27" s="1380" t="s">
        <v>2643</v>
      </c>
      <c r="C27" s="2603">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8"/>
      <c r="M27" s="1129"/>
      <c r="N27" s="1129"/>
      <c r="O27" s="1130"/>
      <c r="P27" s="3284"/>
      <c r="Q27" s="1791" t="str">
        <f t="shared" si="8"/>
        <v>公共配套设施</v>
      </c>
      <c r="R27" s="768" t="s">
        <v>17</v>
      </c>
      <c r="S27" s="769">
        <f>F27</f>
        <v>100</v>
      </c>
      <c r="T27" s="768" t="s">
        <v>17</v>
      </c>
      <c r="U27" s="769">
        <f>H27</f>
        <v>100</v>
      </c>
      <c r="V27" s="768" t="s">
        <v>17</v>
      </c>
      <c r="W27" s="769">
        <f>J27</f>
        <v>100</v>
      </c>
      <c r="X27" s="770"/>
      <c r="Y27" s="3284"/>
      <c r="Z27" s="55" t="str">
        <f>Q27</f>
        <v>公共配套设施</v>
      </c>
      <c r="AA27" s="1807">
        <f>D27/F27</f>
        <v>1</v>
      </c>
      <c r="AB27" s="1807">
        <f>D27/H27</f>
        <v>1</v>
      </c>
      <c r="AC27" s="1807">
        <f>D27/J27</f>
        <v>1</v>
      </c>
    </row>
    <row r="28" spans="1:29" s="115" customFormat="1" ht="15">
      <c r="A28" s="647"/>
      <c r="B28" s="454"/>
      <c r="C28" s="2696"/>
      <c r="D28" s="446"/>
      <c r="E28" s="2607"/>
      <c r="F28" s="446"/>
      <c r="G28" s="2607"/>
      <c r="H28" s="446"/>
      <c r="I28" s="445"/>
      <c r="J28" s="446"/>
      <c r="K28" s="670"/>
      <c r="L28" s="1128"/>
      <c r="M28" s="1129"/>
      <c r="N28" s="1129"/>
      <c r="O28" s="1130"/>
      <c r="P28" s="3284"/>
      <c r="Q28" s="1791"/>
      <c r="R28" s="768"/>
      <c r="S28" s="769"/>
      <c r="T28" s="768"/>
      <c r="U28" s="769"/>
      <c r="V28" s="768"/>
      <c r="W28" s="769"/>
      <c r="X28" s="770"/>
      <c r="Y28" s="3284"/>
      <c r="Z28" s="55"/>
      <c r="AA28" s="1807">
        <v>1</v>
      </c>
      <c r="AB28" s="1807">
        <v>1</v>
      </c>
      <c r="AC28" s="1807">
        <v>1</v>
      </c>
    </row>
    <row r="29" spans="1:29" s="115" customFormat="1" ht="15">
      <c r="A29" s="647"/>
      <c r="B29" s="1380" t="s">
        <v>2644</v>
      </c>
      <c r="C29" s="2603">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8"/>
      <c r="M29" s="1129"/>
      <c r="N29" s="1129"/>
      <c r="O29" s="1130"/>
      <c r="P29" s="3284"/>
      <c r="Q29" s="1791" t="str">
        <f t="shared" ref="Q29" si="9">B29</f>
        <v>基础设施水平</v>
      </c>
      <c r="R29" s="768" t="s">
        <v>17</v>
      </c>
      <c r="S29" s="769">
        <f>F29</f>
        <v>100</v>
      </c>
      <c r="T29" s="768" t="s">
        <v>17</v>
      </c>
      <c r="U29" s="769">
        <f>H29</f>
        <v>100</v>
      </c>
      <c r="V29" s="768" t="s">
        <v>17</v>
      </c>
      <c r="W29" s="769">
        <f>J29</f>
        <v>100</v>
      </c>
      <c r="X29" s="770"/>
      <c r="Y29" s="3284"/>
      <c r="Z29" s="55" t="str">
        <f>Q29</f>
        <v>基础设施水平</v>
      </c>
      <c r="AA29" s="1807">
        <f>D29/F29</f>
        <v>1</v>
      </c>
      <c r="AB29" s="1807">
        <f>D29/H29</f>
        <v>1</v>
      </c>
      <c r="AC29" s="1807">
        <f>D29/J29</f>
        <v>1</v>
      </c>
    </row>
    <row r="30" spans="1:29" s="115" customFormat="1" ht="15">
      <c r="A30" s="647"/>
      <c r="B30" s="454"/>
      <c r="C30" s="2696"/>
      <c r="D30" s="446"/>
      <c r="E30" s="2697"/>
      <c r="F30" s="446"/>
      <c r="G30" s="2697"/>
      <c r="H30" s="446"/>
      <c r="I30" s="2697"/>
      <c r="J30" s="446"/>
      <c r="K30" s="670"/>
      <c r="L30" s="1128"/>
      <c r="M30" s="1129"/>
      <c r="N30" s="1129"/>
      <c r="O30" s="1130"/>
      <c r="P30" s="3284"/>
      <c r="Q30" s="1791"/>
      <c r="R30" s="768"/>
      <c r="S30" s="769"/>
      <c r="T30" s="768"/>
      <c r="U30" s="769"/>
      <c r="V30" s="768"/>
      <c r="W30" s="769"/>
      <c r="X30" s="770"/>
      <c r="Y30" s="3284"/>
      <c r="Z30" s="55"/>
      <c r="AA30" s="1807">
        <v>1</v>
      </c>
      <c r="AB30" s="1807">
        <v>1</v>
      </c>
      <c r="AC30" s="1807">
        <v>1</v>
      </c>
    </row>
    <row r="31" spans="1:29" ht="15">
      <c r="A31" s="426"/>
      <c r="B31" s="454" t="s">
        <v>2645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6"/>
      <c r="M31" s="1127"/>
      <c r="N31" s="1127"/>
      <c r="O31" s="1135"/>
      <c r="P31" s="3284"/>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4"/>
      <c r="Z31" s="1810" t="str">
        <f t="shared" ref="Z31:Z45" si="13">Q31</f>
        <v>临街状况</v>
      </c>
      <c r="AA31" s="1807">
        <f t="shared" si="3"/>
        <v>1</v>
      </c>
      <c r="AB31" s="1807">
        <f t="shared" si="4"/>
        <v>1</v>
      </c>
      <c r="AC31" s="1807">
        <f t="shared" si="5"/>
        <v>1</v>
      </c>
    </row>
    <row r="32" spans="1:29" ht="27">
      <c r="A32" s="426"/>
      <c r="B32" s="1380" t="s">
        <v>2680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6"/>
      <c r="M32" s="1127"/>
      <c r="N32" s="1127"/>
      <c r="O32" s="1135"/>
      <c r="P32" s="3284"/>
      <c r="Q32" s="1806" t="str">
        <f t="shared" si="8"/>
        <v>毗邻道路的类型与等级</v>
      </c>
      <c r="R32" s="772" t="s">
        <v>17</v>
      </c>
      <c r="S32" s="773">
        <f t="shared" si="10"/>
        <v>100</v>
      </c>
      <c r="T32" s="772" t="s">
        <v>17</v>
      </c>
      <c r="U32" s="773">
        <f t="shared" si="11"/>
        <v>100</v>
      </c>
      <c r="V32" s="772" t="s">
        <v>17</v>
      </c>
      <c r="W32" s="773">
        <f t="shared" si="12"/>
        <v>100</v>
      </c>
      <c r="X32" s="1809"/>
      <c r="Y32" s="3284"/>
      <c r="Z32" s="1810" t="str">
        <f t="shared" si="13"/>
        <v>毗邻道路的类型与等级</v>
      </c>
      <c r="AA32" s="1807">
        <f t="shared" si="3"/>
        <v>1</v>
      </c>
      <c r="AB32" s="1807">
        <f t="shared" si="4"/>
        <v>1</v>
      </c>
      <c r="AC32" s="1807">
        <f t="shared" si="5"/>
        <v>1</v>
      </c>
    </row>
    <row r="33" spans="1:29" ht="15">
      <c r="A33" s="426"/>
      <c r="B33" s="454"/>
      <c r="C33" s="445"/>
      <c r="D33" s="446"/>
      <c r="E33" s="2607"/>
      <c r="F33" s="446"/>
      <c r="G33" s="2607"/>
      <c r="H33" s="446"/>
      <c r="I33" s="445"/>
      <c r="J33" s="446"/>
      <c r="K33" s="611"/>
      <c r="L33" s="1136"/>
      <c r="M33" s="1127"/>
      <c r="N33" s="1127"/>
      <c r="O33" s="1135"/>
      <c r="P33" s="3284"/>
      <c r="Q33" s="1806"/>
      <c r="R33" s="772"/>
      <c r="S33" s="773"/>
      <c r="T33" s="772"/>
      <c r="U33" s="773"/>
      <c r="V33" s="772"/>
      <c r="W33" s="773"/>
      <c r="X33" s="1809"/>
      <c r="Y33" s="3284"/>
      <c r="Z33" s="1810"/>
      <c r="AA33" s="1807">
        <v>1</v>
      </c>
      <c r="AB33" s="1807">
        <v>1</v>
      </c>
      <c r="AC33" s="1807">
        <v>1</v>
      </c>
    </row>
    <row r="34" spans="1:29" ht="15">
      <c r="A34" s="426"/>
      <c r="B34" s="420" t="s">
        <v>2739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284"/>
      <c r="Q34" s="1806" t="str">
        <f t="shared" si="8"/>
        <v>土地级别</v>
      </c>
      <c r="R34" s="772" t="s">
        <v>17</v>
      </c>
      <c r="S34" s="773">
        <f t="shared" si="10"/>
        <v>100</v>
      </c>
      <c r="T34" s="772" t="s">
        <v>17</v>
      </c>
      <c r="U34" s="773">
        <f t="shared" si="11"/>
        <v>100</v>
      </c>
      <c r="V34" s="772" t="s">
        <v>17</v>
      </c>
      <c r="W34" s="773">
        <f t="shared" si="12"/>
        <v>100</v>
      </c>
      <c r="X34" s="1809"/>
      <c r="Y34" s="3284"/>
      <c r="Z34" s="1810" t="str">
        <f t="shared" si="13"/>
        <v>土地级别</v>
      </c>
      <c r="AA34" s="1807">
        <f t="shared" si="3"/>
        <v>1</v>
      </c>
      <c r="AB34" s="1807">
        <f t="shared" si="4"/>
        <v>1</v>
      </c>
      <c r="AC34" s="1807">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284"/>
      <c r="Q35" s="1806">
        <f t="shared" si="8"/>
        <v>111</v>
      </c>
      <c r="R35" s="772" t="s">
        <v>17</v>
      </c>
      <c r="S35" s="773">
        <f t="shared" si="10"/>
        <v>100</v>
      </c>
      <c r="T35" s="772" t="s">
        <v>17</v>
      </c>
      <c r="U35" s="773">
        <f t="shared" si="11"/>
        <v>100</v>
      </c>
      <c r="V35" s="772" t="s">
        <v>17</v>
      </c>
      <c r="W35" s="773">
        <f t="shared" si="12"/>
        <v>100</v>
      </c>
      <c r="X35" s="1809"/>
      <c r="Y35" s="3284"/>
      <c r="Z35" s="1810">
        <f t="shared" si="13"/>
        <v>111</v>
      </c>
      <c r="AA35" s="1807">
        <f t="shared" si="3"/>
        <v>1</v>
      </c>
      <c r="AB35" s="1807">
        <f t="shared" si="4"/>
        <v>1</v>
      </c>
      <c r="AC35" s="1807">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39" t="s">
        <v>2554</v>
      </c>
      <c r="Q36" s="1806">
        <f t="shared" si="8"/>
        <v>111</v>
      </c>
      <c r="R36" s="772" t="s">
        <v>17</v>
      </c>
      <c r="S36" s="773">
        <f t="shared" si="10"/>
        <v>100</v>
      </c>
      <c r="T36" s="772" t="s">
        <v>17</v>
      </c>
      <c r="U36" s="773">
        <f t="shared" si="11"/>
        <v>100</v>
      </c>
      <c r="V36" s="772" t="s">
        <v>17</v>
      </c>
      <c r="W36" s="773">
        <f t="shared" si="12"/>
        <v>100</v>
      </c>
      <c r="X36" s="1809"/>
      <c r="Y36" s="3288" t="s">
        <v>2554</v>
      </c>
      <c r="Z36" s="1810">
        <f t="shared" si="13"/>
        <v>111</v>
      </c>
      <c r="AA36" s="1807">
        <f t="shared" si="3"/>
        <v>1</v>
      </c>
      <c r="AB36" s="1807">
        <f t="shared" si="4"/>
        <v>1</v>
      </c>
      <c r="AC36" s="1807">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288"/>
      <c r="Q37" s="1806">
        <f t="shared" si="8"/>
        <v>111</v>
      </c>
      <c r="R37" s="775" t="s">
        <v>17</v>
      </c>
      <c r="S37" s="776">
        <f t="shared" si="10"/>
        <v>100</v>
      </c>
      <c r="T37" s="775" t="s">
        <v>17</v>
      </c>
      <c r="U37" s="776">
        <f t="shared" si="11"/>
        <v>100</v>
      </c>
      <c r="V37" s="775" t="s">
        <v>17</v>
      </c>
      <c r="W37" s="776">
        <f t="shared" si="12"/>
        <v>100</v>
      </c>
      <c r="X37" s="777"/>
      <c r="Y37" s="3288"/>
      <c r="Z37" s="778">
        <f t="shared" si="13"/>
        <v>111</v>
      </c>
      <c r="AA37" s="1807">
        <f t="shared" si="3"/>
        <v>1</v>
      </c>
      <c r="AB37" s="1807">
        <f t="shared" si="4"/>
        <v>1</v>
      </c>
      <c r="AC37" s="1807">
        <f t="shared" si="5"/>
        <v>1</v>
      </c>
    </row>
    <row r="38" spans="1:29" ht="15">
      <c r="A38" s="470" t="s">
        <v>2552</v>
      </c>
      <c r="B38" s="454" t="s">
        <v>2740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6"/>
      <c r="M38" s="1127"/>
      <c r="N38" s="1127"/>
      <c r="O38" s="1135"/>
      <c r="P38" s="3288"/>
      <c r="Q38" s="1806" t="str">
        <f>B38</f>
        <v>宗地面积</v>
      </c>
      <c r="R38" s="772" t="s">
        <v>17</v>
      </c>
      <c r="S38" s="773" t="e">
        <f t="shared" si="10"/>
        <v>#N/A</v>
      </c>
      <c r="T38" s="772" t="s">
        <v>17</v>
      </c>
      <c r="U38" s="773" t="e">
        <f t="shared" si="11"/>
        <v>#N/A</v>
      </c>
      <c r="V38" s="772" t="s">
        <v>17</v>
      </c>
      <c r="W38" s="773" t="e">
        <f t="shared" si="12"/>
        <v>#N/A</v>
      </c>
      <c r="X38" s="1809"/>
      <c r="Y38" s="3288"/>
      <c r="Z38" s="1810" t="str">
        <f t="shared" si="13"/>
        <v>宗地面积</v>
      </c>
      <c r="AA38" s="1807" t="e">
        <f t="shared" si="3"/>
        <v>#N/A</v>
      </c>
      <c r="AB38" s="1807" t="e">
        <f t="shared" si="4"/>
        <v>#N/A</v>
      </c>
      <c r="AC38" s="1807" t="e">
        <f t="shared" si="5"/>
        <v>#N/A</v>
      </c>
    </row>
    <row r="39" spans="1:29" ht="15">
      <c r="A39" s="470"/>
      <c r="B39" s="420" t="s">
        <v>2741</v>
      </c>
      <c r="C39" s="2609"/>
      <c r="D39" s="433">
        <v>100</v>
      </c>
      <c r="E39" s="2609"/>
      <c r="F39" s="433">
        <f>SUMIF(119:119,E39,120:120)-SUMIF(119:119,C39,120:120)+100</f>
        <v>100</v>
      </c>
      <c r="G39" s="2609"/>
      <c r="H39" s="433">
        <f>SUMIF(119:119,G39,120:120)-SUMIF(119:119,C39,120:120)+100</f>
        <v>100</v>
      </c>
      <c r="I39" s="2609"/>
      <c r="J39" s="433">
        <f>SUMIF(119:119,I39,120:120)-SUMIF(119:119,C39,120:120)+100</f>
        <v>100</v>
      </c>
      <c r="K39" s="610"/>
      <c r="L39" s="1136"/>
      <c r="M39" s="1127"/>
      <c r="N39" s="1127"/>
      <c r="O39" s="1135"/>
      <c r="P39" s="3288"/>
      <c r="Q39" s="1806" t="str">
        <f t="shared" ref="Q39:Q45" si="14">B39</f>
        <v>宗地形状</v>
      </c>
      <c r="R39" s="772" t="s">
        <v>17</v>
      </c>
      <c r="S39" s="773">
        <f t="shared" si="10"/>
        <v>100</v>
      </c>
      <c r="T39" s="772" t="s">
        <v>17</v>
      </c>
      <c r="U39" s="773">
        <f t="shared" si="11"/>
        <v>100</v>
      </c>
      <c r="V39" s="772" t="s">
        <v>17</v>
      </c>
      <c r="W39" s="773">
        <f t="shared" si="12"/>
        <v>100</v>
      </c>
      <c r="X39" s="1809"/>
      <c r="Y39" s="3288"/>
      <c r="Z39" s="1810" t="str">
        <f t="shared" si="13"/>
        <v>宗地形状</v>
      </c>
      <c r="AA39" s="1807">
        <f t="shared" si="3"/>
        <v>1</v>
      </c>
      <c r="AB39" s="1807">
        <f t="shared" si="4"/>
        <v>1</v>
      </c>
      <c r="AC39" s="1807">
        <f t="shared" si="5"/>
        <v>1</v>
      </c>
    </row>
    <row r="40" spans="1:29" ht="15">
      <c r="A40" s="470"/>
      <c r="B40" s="420" t="s">
        <v>2742</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6"/>
      <c r="M40" s="1127"/>
      <c r="N40" s="1127"/>
      <c r="O40" s="1135"/>
      <c r="P40" s="3288"/>
      <c r="Q40" s="1806" t="str">
        <f t="shared" si="14"/>
        <v>临街宽度及深度</v>
      </c>
      <c r="R40" s="772" t="s">
        <v>17</v>
      </c>
      <c r="S40" s="773">
        <f t="shared" si="10"/>
        <v>100</v>
      </c>
      <c r="T40" s="772" t="s">
        <v>17</v>
      </c>
      <c r="U40" s="773">
        <f t="shared" si="11"/>
        <v>100</v>
      </c>
      <c r="V40" s="772" t="s">
        <v>17</v>
      </c>
      <c r="W40" s="773">
        <f t="shared" si="12"/>
        <v>100</v>
      </c>
      <c r="X40" s="1809"/>
      <c r="Y40" s="3288"/>
      <c r="Z40" s="1810" t="str">
        <f t="shared" si="13"/>
        <v>临街宽度及深度</v>
      </c>
      <c r="AA40" s="1807">
        <f t="shared" si="3"/>
        <v>1</v>
      </c>
      <c r="AB40" s="1807">
        <f t="shared" si="4"/>
        <v>1</v>
      </c>
      <c r="AC40" s="1807">
        <f t="shared" si="5"/>
        <v>1</v>
      </c>
    </row>
    <row r="41" spans="1:29" s="115" customFormat="1" ht="15">
      <c r="A41" s="471"/>
      <c r="B41" s="420" t="s">
        <v>2743</v>
      </c>
      <c r="C41" s="2698"/>
      <c r="D41" s="134">
        <v>100</v>
      </c>
      <c r="E41" s="2698"/>
      <c r="F41" s="433">
        <f>SUMIF(123:123,E41,124:124)-SUMIF(123:123,C41,124:124)+100</f>
        <v>100</v>
      </c>
      <c r="G41" s="2698"/>
      <c r="H41" s="433">
        <f>SUMIF(123:123,G41,124:124)-SUMIF(123:123,C41,124:124)+100</f>
        <v>100</v>
      </c>
      <c r="I41" s="2698"/>
      <c r="J41" s="433">
        <f>SUMIF(123:123,I41,124:124)-SUMIF(123:123,C41,124:124)+100</f>
        <v>100</v>
      </c>
      <c r="K41" s="610"/>
      <c r="L41" s="1128"/>
      <c r="M41" s="1129"/>
      <c r="N41" s="1129"/>
      <c r="O41" s="1130"/>
      <c r="P41" s="3288"/>
      <c r="Q41" s="1806" t="str">
        <f t="shared" si="14"/>
        <v>宗地开发程度</v>
      </c>
      <c r="R41" s="768" t="s">
        <v>17</v>
      </c>
      <c r="S41" s="769">
        <f t="shared" si="10"/>
        <v>100</v>
      </c>
      <c r="T41" s="768" t="s">
        <v>17</v>
      </c>
      <c r="U41" s="769">
        <f t="shared" si="11"/>
        <v>100</v>
      </c>
      <c r="V41" s="768" t="s">
        <v>17</v>
      </c>
      <c r="W41" s="769">
        <f t="shared" si="12"/>
        <v>100</v>
      </c>
      <c r="X41" s="770"/>
      <c r="Y41" s="3288"/>
      <c r="Z41" s="55" t="str">
        <f t="shared" si="13"/>
        <v>宗地开发程度</v>
      </c>
      <c r="AA41" s="771">
        <f t="shared" si="3"/>
        <v>1</v>
      </c>
      <c r="AB41" s="771">
        <f t="shared" si="4"/>
        <v>1</v>
      </c>
      <c r="AC41" s="771">
        <f t="shared" si="5"/>
        <v>1</v>
      </c>
    </row>
    <row r="42" spans="1:29" ht="15">
      <c r="A42" s="470"/>
      <c r="B42" s="420" t="s">
        <v>2744</v>
      </c>
      <c r="C42" s="2609"/>
      <c r="D42" s="433">
        <v>100</v>
      </c>
      <c r="E42" s="2609"/>
      <c r="F42" s="433">
        <f>SUMIF(125:125,E42,126:126)-SUMIF(125:125,C42,126:126)+100</f>
        <v>100</v>
      </c>
      <c r="G42" s="2609"/>
      <c r="H42" s="433">
        <f>SUMIF(125:125,G42,126:126)-SUMIF(125:125,C42,126:126)+100</f>
        <v>100</v>
      </c>
      <c r="I42" s="2609"/>
      <c r="J42" s="433">
        <f>SUMIF(125:125,I42,126:126)-SUMIF(125:125,C42,126:126)+100</f>
        <v>100</v>
      </c>
      <c r="K42" s="610"/>
      <c r="L42" s="1136"/>
      <c r="M42" s="1127"/>
      <c r="N42" s="1127"/>
      <c r="O42" s="1135"/>
      <c r="P42" s="3288" t="s">
        <v>2554</v>
      </c>
      <c r="Q42" s="1806" t="str">
        <f t="shared" si="14"/>
        <v>工程地质条件</v>
      </c>
      <c r="R42" s="772" t="s">
        <v>17</v>
      </c>
      <c r="S42" s="773">
        <f t="shared" si="10"/>
        <v>100</v>
      </c>
      <c r="T42" s="772" t="s">
        <v>17</v>
      </c>
      <c r="U42" s="773">
        <f t="shared" si="11"/>
        <v>100</v>
      </c>
      <c r="V42" s="772" t="s">
        <v>17</v>
      </c>
      <c r="W42" s="773">
        <f t="shared" si="12"/>
        <v>100</v>
      </c>
      <c r="X42" s="1809"/>
      <c r="Y42" s="3288" t="s">
        <v>2554</v>
      </c>
      <c r="Z42" s="1810" t="str">
        <f t="shared" si="13"/>
        <v>工程地质条件</v>
      </c>
      <c r="AA42" s="1807">
        <f t="shared" si="3"/>
        <v>1</v>
      </c>
      <c r="AB42" s="1807">
        <f t="shared" si="4"/>
        <v>1</v>
      </c>
      <c r="AC42" s="1807">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288"/>
      <c r="Q43" s="1806">
        <f t="shared" si="14"/>
        <v>111</v>
      </c>
      <c r="R43" s="772" t="s">
        <v>17</v>
      </c>
      <c r="S43" s="773">
        <f t="shared" si="10"/>
        <v>100</v>
      </c>
      <c r="T43" s="772" t="s">
        <v>17</v>
      </c>
      <c r="U43" s="773">
        <f t="shared" si="11"/>
        <v>100</v>
      </c>
      <c r="V43" s="772" t="s">
        <v>17</v>
      </c>
      <c r="W43" s="773">
        <f t="shared" si="12"/>
        <v>100</v>
      </c>
      <c r="X43" s="1809"/>
      <c r="Y43" s="3288"/>
      <c r="Z43" s="1810">
        <f t="shared" si="13"/>
        <v>111</v>
      </c>
      <c r="AA43" s="1807">
        <f t="shared" si="3"/>
        <v>1</v>
      </c>
      <c r="AB43" s="1807">
        <f t="shared" si="4"/>
        <v>1</v>
      </c>
      <c r="AC43" s="1807">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288"/>
      <c r="Q44" s="1806">
        <f t="shared" si="14"/>
        <v>111</v>
      </c>
      <c r="R44" s="772" t="s">
        <v>17</v>
      </c>
      <c r="S44" s="773">
        <f t="shared" si="10"/>
        <v>100</v>
      </c>
      <c r="T44" s="772" t="s">
        <v>17</v>
      </c>
      <c r="U44" s="773">
        <f t="shared" si="11"/>
        <v>100</v>
      </c>
      <c r="V44" s="772" t="s">
        <v>17</v>
      </c>
      <c r="W44" s="773">
        <f t="shared" si="12"/>
        <v>100</v>
      </c>
      <c r="X44" s="1809"/>
      <c r="Y44" s="3288"/>
      <c r="Z44" s="1810">
        <f t="shared" si="13"/>
        <v>111</v>
      </c>
      <c r="AA44" s="1807">
        <f t="shared" si="3"/>
        <v>1</v>
      </c>
      <c r="AB44" s="1807">
        <f t="shared" si="4"/>
        <v>1</v>
      </c>
      <c r="AC44" s="1807">
        <f t="shared" si="5"/>
        <v>1</v>
      </c>
    </row>
    <row r="45" spans="1:29" s="469" customFormat="1" ht="15.75" thickBot="1">
      <c r="A45" s="466"/>
      <c r="B45" s="1383">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288"/>
      <c r="Q45" s="1806">
        <f t="shared" si="14"/>
        <v>111</v>
      </c>
      <c r="R45" s="775" t="s">
        <v>17</v>
      </c>
      <c r="S45" s="776">
        <f t="shared" si="10"/>
        <v>100</v>
      </c>
      <c r="T45" s="775" t="s">
        <v>17</v>
      </c>
      <c r="U45" s="776">
        <f t="shared" si="11"/>
        <v>100</v>
      </c>
      <c r="V45" s="775" t="s">
        <v>17</v>
      </c>
      <c r="W45" s="776">
        <f t="shared" si="12"/>
        <v>100</v>
      </c>
      <c r="X45" s="777"/>
      <c r="Y45" s="3288"/>
      <c r="Z45" s="778">
        <f t="shared" si="13"/>
        <v>111</v>
      </c>
      <c r="AA45" s="1807">
        <f t="shared" si="3"/>
        <v>1</v>
      </c>
      <c r="AB45" s="1807">
        <f t="shared" si="4"/>
        <v>1</v>
      </c>
      <c r="AC45" s="1807">
        <f t="shared" si="5"/>
        <v>1</v>
      </c>
    </row>
    <row r="46" spans="1:29" ht="15">
      <c r="A46" s="477" t="s">
        <v>2709</v>
      </c>
      <c r="B46" s="2700" t="s">
        <v>2745</v>
      </c>
      <c r="C46" s="680" t="s">
        <v>1</v>
      </c>
      <c r="D46" s="479"/>
      <c r="E46" s="480"/>
      <c r="F46" s="481"/>
      <c r="G46" s="482"/>
      <c r="H46" s="483"/>
      <c r="I46" s="480"/>
      <c r="J46" s="483"/>
      <c r="K46" s="781"/>
      <c r="L46" s="1139"/>
      <c r="M46" s="1140"/>
      <c r="N46" s="1127"/>
      <c r="O46" s="1140"/>
      <c r="P46" s="3281" t="str">
        <f>A46</f>
        <v>成交单价</v>
      </c>
      <c r="Q46" s="3281"/>
      <c r="R46" s="3312">
        <f>E46</f>
        <v>0</v>
      </c>
      <c r="S46" s="3312"/>
      <c r="T46" s="3312">
        <f>G46</f>
        <v>0</v>
      </c>
      <c r="U46" s="3312"/>
      <c r="V46" s="3312">
        <f>I46</f>
        <v>0</v>
      </c>
      <c r="W46" s="3312"/>
      <c r="X46" s="757"/>
      <c r="Y46" s="779"/>
      <c r="Z46" s="757"/>
      <c r="AA46" s="757"/>
      <c r="AB46" s="757"/>
      <c r="AC46" s="757"/>
    </row>
    <row r="47" spans="1:29" ht="15.75" thickBot="1">
      <c r="A47" s="484" t="s">
        <v>2658</v>
      </c>
      <c r="B47" s="681"/>
      <c r="C47" s="488" t="e">
        <f>R48</f>
        <v>#DIV/0!</v>
      </c>
      <c r="D47" s="487"/>
      <c r="E47" s="488" t="e">
        <f>R47</f>
        <v>#DIV/0!</v>
      </c>
      <c r="F47" s="489"/>
      <c r="G47" s="486" t="e">
        <f>T47</f>
        <v>#DIV/0!</v>
      </c>
      <c r="H47" s="487"/>
      <c r="I47" s="488" t="e">
        <f>V47</f>
        <v>#DIV/0!</v>
      </c>
      <c r="J47" s="487"/>
      <c r="K47" s="782"/>
      <c r="L47" s="1139"/>
      <c r="M47" s="1140"/>
      <c r="N47" s="1140"/>
      <c r="O47" s="1140"/>
      <c r="P47" s="3281" t="str">
        <f>A47</f>
        <v>比较价值（元/平方米）</v>
      </c>
      <c r="Q47" s="3281"/>
      <c r="R47" s="3340" t="e">
        <f>ROUND(PRODUCT(R46,AA7:AA45),0)</f>
        <v>#DIV/0!</v>
      </c>
      <c r="S47" s="3340"/>
      <c r="T47" s="3340" t="e">
        <f>ROUND(PRODUCT(T46,AB7:AB45),0)</f>
        <v>#DIV/0!</v>
      </c>
      <c r="U47" s="3340"/>
      <c r="V47" s="3340" t="e">
        <f>ROUND(PRODUCT(V46,AC7:AC45),0)</f>
        <v>#DIV/0!</v>
      </c>
      <c r="W47" s="3340"/>
      <c r="X47" s="757"/>
      <c r="Y47" s="757"/>
      <c r="Z47" s="757"/>
      <c r="AA47" s="757"/>
      <c r="AB47" s="757"/>
      <c r="AC47" s="757"/>
    </row>
    <row r="48" spans="1:29" ht="15.75" thickBot="1">
      <c r="A48" s="490" t="s">
        <v>2746</v>
      </c>
      <c r="B48" s="491"/>
      <c r="C48" s="492" t="e">
        <f>R48</f>
        <v>#DIV/0!</v>
      </c>
      <c r="D48" s="492"/>
      <c r="E48" s="492"/>
      <c r="F48" s="492"/>
      <c r="G48" s="492"/>
      <c r="H48" s="492"/>
      <c r="I48" s="492"/>
      <c r="J48" s="492"/>
      <c r="K48" s="783"/>
      <c r="L48" s="1139"/>
      <c r="M48" s="1140"/>
      <c r="N48" s="1140"/>
      <c r="O48" s="1140"/>
      <c r="P48" s="3278" t="str">
        <f>A48</f>
        <v>估价对象XX用房的比较价值（楼面单价，元/平方米）</v>
      </c>
      <c r="Q48" s="3279"/>
      <c r="R48" s="3341" t="e">
        <f>ROUND(AVERAGE(R47:V47),0)</f>
        <v>#DIV/0!</v>
      </c>
      <c r="S48" s="3341"/>
      <c r="T48" s="3341"/>
      <c r="U48" s="3341"/>
      <c r="V48" s="3341"/>
      <c r="W48" s="3341"/>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2660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2661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2662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2747</v>
      </c>
      <c r="B55" s="683" t="s">
        <v>2748</v>
      </c>
      <c r="C55" s="2701" t="s">
        <v>2749</v>
      </c>
      <c r="D55" s="2702" t="s">
        <v>2750</v>
      </c>
      <c r="E55" s="684" t="s">
        <v>2751</v>
      </c>
      <c r="F55" s="1103" t="s">
        <v>2752</v>
      </c>
      <c r="G55" s="3296" t="s">
        <v>2753</v>
      </c>
      <c r="H55" s="3342"/>
      <c r="I55" s="142" t="s">
        <v>2754</v>
      </c>
      <c r="J55" s="2703">
        <f>项目基本情况!F35</f>
        <v>0</v>
      </c>
      <c r="K55" s="2704" t="s">
        <v>2755</v>
      </c>
      <c r="L55" s="1102"/>
      <c r="M55" s="1140"/>
      <c r="N55" s="1140"/>
      <c r="O55" s="1140"/>
    </row>
    <row r="56" spans="1:15" s="690" customFormat="1">
      <c r="A56" s="686" t="s">
        <v>2756</v>
      </c>
      <c r="B56" s="687" t="e">
        <f>C48</f>
        <v>#DIV/0!</v>
      </c>
      <c r="C56" s="688">
        <v>1</v>
      </c>
      <c r="D56" s="1159">
        <v>1</v>
      </c>
      <c r="E56" s="688">
        <f>'数据-汇总表'!E8+'数据-汇总表'!E9</f>
        <v>21566.61</v>
      </c>
      <c r="F56" s="1099" t="e">
        <f t="shared" ref="F56:F65" si="15">ROUND(B56*E56/10000,0)</f>
        <v>#DIV/0!</v>
      </c>
      <c r="G56" s="3292"/>
      <c r="H56" s="3281"/>
      <c r="I56" s="1104">
        <v>1</v>
      </c>
      <c r="J56" s="1107">
        <v>1</v>
      </c>
      <c r="K56" s="1141"/>
      <c r="L56" s="937"/>
      <c r="M56" s="937"/>
      <c r="N56" s="937"/>
      <c r="O56" s="937"/>
    </row>
    <row r="57" spans="1:15" s="690" customFormat="1">
      <c r="A57" s="691" t="s">
        <v>2757</v>
      </c>
      <c r="B57" s="260" t="e">
        <f>ROUND($C$48*C57*D57,0)</f>
        <v>#DIV/0!</v>
      </c>
      <c r="C57" s="198">
        <f t="shared" ref="C57:C65" si="16">IF($C$55="北京市系数",I57,J57)</f>
        <v>0.7</v>
      </c>
      <c r="D57" s="1160">
        <v>0.25</v>
      </c>
      <c r="E57" s="692"/>
      <c r="F57" s="1099" t="e">
        <f t="shared" si="15"/>
        <v>#DIV/0!</v>
      </c>
      <c r="G57" s="3343" t="s">
        <v>2758</v>
      </c>
      <c r="H57" s="1100" t="str">
        <f>项目基本情况!B37</f>
        <v>六级</v>
      </c>
      <c r="I57" s="1104">
        <f>SUMIF(修正!A45:A56,H57,修正!B45:B56)</f>
        <v>0.7</v>
      </c>
      <c r="J57" s="1108"/>
      <c r="K57" s="1140"/>
      <c r="L57" s="937"/>
      <c r="M57" s="937"/>
      <c r="N57" s="937"/>
      <c r="O57" s="937"/>
    </row>
    <row r="58" spans="1:15" s="690" customFormat="1">
      <c r="A58" s="691" t="s">
        <v>2759</v>
      </c>
      <c r="B58" s="260" t="e">
        <f t="shared" ref="B58:B65" si="17">ROUND($C$48*C58*D58,0)</f>
        <v>#DIV/0!</v>
      </c>
      <c r="C58" s="198">
        <f t="shared" si="16"/>
        <v>0.4</v>
      </c>
      <c r="D58" s="1160">
        <v>0.25</v>
      </c>
      <c r="E58" s="692"/>
      <c r="F58" s="1099" t="e">
        <f t="shared" si="15"/>
        <v>#DIV/0!</v>
      </c>
      <c r="G58" s="3343"/>
      <c r="H58" s="1100" t="str">
        <f>项目基本情况!B37</f>
        <v>六级</v>
      </c>
      <c r="I58" s="1104">
        <f>SUMIF(修正!A45:A56,H58,修正!C45:C56)</f>
        <v>0.4</v>
      </c>
      <c r="J58" s="1108"/>
      <c r="K58" s="1141"/>
      <c r="L58" s="937"/>
      <c r="M58" s="937"/>
      <c r="N58" s="937"/>
      <c r="O58" s="937"/>
    </row>
    <row r="59" spans="1:15" s="690" customFormat="1">
      <c r="A59" s="691" t="s">
        <v>2760</v>
      </c>
      <c r="B59" s="260" t="e">
        <f t="shared" si="17"/>
        <v>#DIV/0!</v>
      </c>
      <c r="C59" s="198">
        <f t="shared" si="16"/>
        <v>0.28000000000000003</v>
      </c>
      <c r="D59" s="1160">
        <v>0.25</v>
      </c>
      <c r="E59" s="692"/>
      <c r="F59" s="1099" t="e">
        <f t="shared" si="15"/>
        <v>#DIV/0!</v>
      </c>
      <c r="G59" s="3343"/>
      <c r="H59" s="1100" t="str">
        <f>项目基本情况!B37</f>
        <v>六级</v>
      </c>
      <c r="I59" s="1104">
        <f>SUMIF(修正!A45:A56,H59,修正!D45:D56)</f>
        <v>0.28000000000000003</v>
      </c>
      <c r="J59" s="1108"/>
      <c r="K59" s="1140"/>
      <c r="L59" s="937"/>
      <c r="M59" s="937"/>
      <c r="N59" s="937"/>
      <c r="O59" s="937"/>
    </row>
    <row r="60" spans="1:15" s="690" customFormat="1">
      <c r="A60" s="691" t="s">
        <v>2761</v>
      </c>
      <c r="B60" s="260" t="e">
        <f t="shared" si="17"/>
        <v>#DIV/0!</v>
      </c>
      <c r="C60" s="198">
        <f t="shared" si="16"/>
        <v>0.25</v>
      </c>
      <c r="D60" s="1160">
        <v>0.25</v>
      </c>
      <c r="E60" s="692"/>
      <c r="F60" s="1099" t="e">
        <f t="shared" si="15"/>
        <v>#DIV/0!</v>
      </c>
      <c r="G60" s="3343"/>
      <c r="H60" s="1100" t="str">
        <f>项目基本情况!B37</f>
        <v>六级</v>
      </c>
      <c r="I60" s="1104">
        <f>SUMIF(修正!A45:A56,H60,修正!E45:E56)</f>
        <v>0.25</v>
      </c>
      <c r="J60" s="1108"/>
      <c r="K60" s="1141"/>
      <c r="L60" s="937"/>
      <c r="M60" s="937"/>
      <c r="N60" s="937"/>
      <c r="O60" s="937"/>
    </row>
    <row r="61" spans="1:15" s="690" customFormat="1">
      <c r="A61" s="691" t="s">
        <v>2762</v>
      </c>
      <c r="B61" s="260" t="e">
        <f t="shared" si="17"/>
        <v>#DIV/0!</v>
      </c>
      <c r="C61" s="198">
        <f t="shared" si="16"/>
        <v>0.25</v>
      </c>
      <c r="D61" s="1160">
        <v>0.25</v>
      </c>
      <c r="E61" s="259">
        <f>'数据-汇总表'!E11</f>
        <v>0</v>
      </c>
      <c r="F61" s="1099" t="e">
        <f t="shared" si="15"/>
        <v>#DIV/0!</v>
      </c>
      <c r="G61" s="2705" t="s">
        <v>2763</v>
      </c>
      <c r="H61" s="1100" t="str">
        <f>项目基本情况!C37</f>
        <v>六级</v>
      </c>
      <c r="I61" s="1104">
        <f>SUMIF(修正!A45:A56,H61,修正!F45:F56)</f>
        <v>0.25</v>
      </c>
      <c r="J61" s="1108"/>
      <c r="K61" s="1140"/>
      <c r="L61" s="937"/>
      <c r="M61" s="937"/>
      <c r="N61" s="937"/>
      <c r="O61" s="937"/>
    </row>
    <row r="62" spans="1:15" s="690" customFormat="1">
      <c r="A62" s="691" t="s">
        <v>2764</v>
      </c>
      <c r="B62" s="260" t="e">
        <f t="shared" si="17"/>
        <v>#DIV/0!</v>
      </c>
      <c r="C62" s="198">
        <f t="shared" si="16"/>
        <v>0.25</v>
      </c>
      <c r="D62" s="1160">
        <v>0.25</v>
      </c>
      <c r="E62" s="259">
        <f>'数据-汇总表'!E12</f>
        <v>0</v>
      </c>
      <c r="F62" s="1099" t="e">
        <f t="shared" si="15"/>
        <v>#DIV/0!</v>
      </c>
      <c r="G62" s="1105" t="s">
        <v>2765</v>
      </c>
      <c r="H62" s="1100" t="str">
        <f>IF(G62="商业",项目基本情况!B37,IF(G62="办公",项目基本情况!C37,IF(G62="住宅",项目基本情况!D37,项目基本情况!E37)))</f>
        <v>六级</v>
      </c>
      <c r="I62" s="1104">
        <f>SUMIF(修正!A45:A56,H62,修正!G45:G56)</f>
        <v>0.25</v>
      </c>
      <c r="J62" s="1108"/>
      <c r="K62" s="1141"/>
      <c r="L62" s="937"/>
      <c r="M62" s="937"/>
      <c r="N62" s="937"/>
      <c r="O62" s="937"/>
    </row>
    <row r="63" spans="1:15" s="690" customFormat="1">
      <c r="A63" s="691" t="s">
        <v>2766</v>
      </c>
      <c r="B63" s="260" t="e">
        <f t="shared" si="17"/>
        <v>#DIV/0!</v>
      </c>
      <c r="C63" s="198">
        <f t="shared" si="16"/>
        <v>0</v>
      </c>
      <c r="D63" s="1160">
        <v>0.25</v>
      </c>
      <c r="E63" s="259">
        <f>'数据-汇总表'!E13</f>
        <v>0</v>
      </c>
      <c r="F63" s="1099" t="e">
        <f t="shared" si="15"/>
        <v>#DIV/0!</v>
      </c>
      <c r="G63" s="1105" t="s">
        <v>2767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2768</v>
      </c>
      <c r="B64" s="260" t="e">
        <f t="shared" si="17"/>
        <v>#DIV/0!</v>
      </c>
      <c r="C64" s="198">
        <f t="shared" si="16"/>
        <v>0.2</v>
      </c>
      <c r="D64" s="1160">
        <v>0.25</v>
      </c>
      <c r="E64" s="259">
        <f>'数据-汇总表'!E14</f>
        <v>0</v>
      </c>
      <c r="F64" s="1099" t="e">
        <f t="shared" si="15"/>
        <v>#DIV/0!</v>
      </c>
      <c r="G64" s="2705" t="s">
        <v>2758</v>
      </c>
      <c r="H64" s="1100" t="str">
        <f>项目基本情况!B37</f>
        <v>六级</v>
      </c>
      <c r="I64" s="1104">
        <f>SUMIF(修正!A45:A56,H64,修正!H45:H56)</f>
        <v>0.2</v>
      </c>
      <c r="J64" s="1108"/>
      <c r="K64" s="1141"/>
      <c r="L64" s="937"/>
      <c r="M64" s="937"/>
      <c r="N64" s="937"/>
      <c r="O64" s="937"/>
    </row>
    <row r="65" spans="1:17" s="690" customFormat="1" ht="15" thickBot="1">
      <c r="A65" s="691" t="s">
        <v>2769</v>
      </c>
      <c r="B65" s="260" t="e">
        <f t="shared" si="17"/>
        <v>#DIV/0!</v>
      </c>
      <c r="C65" s="198">
        <f t="shared" si="16"/>
        <v>0.2</v>
      </c>
      <c r="D65" s="1160">
        <v>0.25</v>
      </c>
      <c r="E65" s="259">
        <f>'数据-汇总表'!E15</f>
        <v>4788.67</v>
      </c>
      <c r="F65" s="1099" t="e">
        <f t="shared" si="15"/>
        <v>#DIV/0!</v>
      </c>
      <c r="G65" s="2706" t="s">
        <v>2763</v>
      </c>
      <c r="H65" s="1110" t="str">
        <f>项目基本情况!C37</f>
        <v>六级</v>
      </c>
      <c r="I65" s="1106">
        <f>SUMIF(修正!A45:A56,H65,修正!H45:H56)</f>
        <v>0.2</v>
      </c>
      <c r="J65" s="1109"/>
      <c r="K65" s="1140"/>
      <c r="L65" s="937"/>
      <c r="M65" s="937"/>
      <c r="N65" s="937"/>
      <c r="O65" s="937"/>
    </row>
    <row r="66" spans="1:17" s="690" customFormat="1" ht="13.5" thickBot="1">
      <c r="A66" s="693" t="s">
        <v>2770</v>
      </c>
      <c r="B66" s="694" t="s">
        <v>28</v>
      </c>
      <c r="C66" s="694" t="s">
        <v>29</v>
      </c>
      <c r="D66" s="694" t="s">
        <v>1026</v>
      </c>
      <c r="E66" s="694">
        <f>IF(B46="楼面地价",SUM(E56:E65),'数据-汇总表'!D3)</f>
        <v>26355.279999999999</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2663</v>
      </c>
      <c r="B69" s="757"/>
      <c r="C69" s="762"/>
      <c r="D69" s="762"/>
      <c r="E69" s="762"/>
      <c r="F69" s="763"/>
      <c r="G69" s="763"/>
      <c r="H69" s="762"/>
      <c r="I69" s="762"/>
      <c r="J69" s="1155"/>
      <c r="K69" s="1156"/>
      <c r="L69" s="1157"/>
      <c r="M69" s="1155"/>
      <c r="N69" s="1155"/>
      <c r="O69" s="1155"/>
      <c r="P69" s="501"/>
      <c r="Q69" s="502"/>
    </row>
    <row r="70" spans="1:17" s="506" customFormat="1" ht="15">
      <c r="A70" s="2707" t="s">
        <v>2771</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5"/>
    </row>
    <row r="71" spans="1:17" s="115" customFormat="1" ht="30" customHeight="1">
      <c r="A71" s="2708" t="s">
        <v>2772</v>
      </c>
      <c r="B71" s="330" t="str">
        <f>"北京市平均增长率"&amp;TEXT(SUMIF('基准地价修正-商业'!N21:N25,A71,'基准地价修正-商业'!P21:P25),"0.00%")</f>
        <v>北京市平均增长率2.26%</v>
      </c>
      <c r="C71" s="601">
        <v>100</v>
      </c>
      <c r="D71" s="593"/>
      <c r="E71" s="593"/>
      <c r="F71" s="593"/>
      <c r="G71" s="593"/>
      <c r="H71" s="593"/>
      <c r="I71" s="593"/>
      <c r="J71" s="593"/>
      <c r="K71" s="593"/>
      <c r="L71" s="593"/>
      <c r="M71" s="1563"/>
      <c r="N71" s="593"/>
      <c r="O71" s="1564"/>
      <c r="P71" s="502"/>
    </row>
    <row r="72" spans="1:17" s="115" customFormat="1" ht="15.75" thickBot="1">
      <c r="A72" s="513" t="s">
        <v>2574</v>
      </c>
      <c r="B72" s="514"/>
      <c r="C72" s="515"/>
      <c r="D72" s="516"/>
      <c r="E72" s="516"/>
      <c r="F72" s="516"/>
      <c r="G72" s="516"/>
      <c r="H72" s="516"/>
      <c r="I72" s="516"/>
      <c r="J72" s="516"/>
      <c r="K72" s="516"/>
      <c r="L72" s="516"/>
      <c r="M72" s="517"/>
      <c r="N72" s="516"/>
      <c r="O72" s="1158"/>
      <c r="P72" s="502"/>
      <c r="Q72" s="502"/>
    </row>
    <row r="73" spans="1:17" s="115" customFormat="1" ht="15">
      <c r="A73" s="519" t="s">
        <v>2539</v>
      </c>
      <c r="B73" s="508"/>
      <c r="C73" s="520" t="s">
        <v>2641</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c r="A75" s="525" t="s">
        <v>2577</v>
      </c>
      <c r="B75" s="526" t="s">
        <v>2543</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2546</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2548</v>
      </c>
      <c r="B88" s="526" t="s">
        <v>2585</v>
      </c>
      <c r="C88" s="571" t="s">
        <v>2586</v>
      </c>
      <c r="D88" s="571" t="s">
        <v>2587</v>
      </c>
      <c r="E88" s="571" t="s">
        <v>2588</v>
      </c>
      <c r="F88" s="571" t="s">
        <v>2589</v>
      </c>
      <c r="G88" s="571" t="s">
        <v>2590</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2773</v>
      </c>
      <c r="C90" s="576" t="s">
        <v>2586</v>
      </c>
      <c r="D90" s="576" t="s">
        <v>2587</v>
      </c>
      <c r="E90" s="576" t="s">
        <v>2588</v>
      </c>
      <c r="F90" s="576" t="s">
        <v>2589</v>
      </c>
      <c r="G90" s="576" t="s">
        <v>2590</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2686</v>
      </c>
      <c r="C92" s="576" t="s">
        <v>2586</v>
      </c>
      <c r="D92" s="576" t="s">
        <v>2587</v>
      </c>
      <c r="E92" s="576" t="s">
        <v>2588</v>
      </c>
      <c r="F92" s="576" t="s">
        <v>2589</v>
      </c>
      <c r="G92" s="576" t="s">
        <v>2590</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2591</v>
      </c>
      <c r="C94" s="576" t="s">
        <v>2586</v>
      </c>
      <c r="D94" s="576" t="s">
        <v>2587</v>
      </c>
      <c r="E94" s="576" t="s">
        <v>2588</v>
      </c>
      <c r="F94" s="576" t="s">
        <v>2589</v>
      </c>
      <c r="G94" s="576" t="s">
        <v>2590</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5" customFormat="1" ht="15.75" thickTop="1">
      <c r="A96" s="577"/>
      <c r="B96" s="536" t="s">
        <v>2774</v>
      </c>
      <c r="C96" s="576" t="s">
        <v>2586</v>
      </c>
      <c r="D96" s="576" t="s">
        <v>2587</v>
      </c>
      <c r="E96" s="576" t="s">
        <v>2588</v>
      </c>
      <c r="F96" s="576" t="s">
        <v>2589</v>
      </c>
      <c r="G96" s="576" t="s">
        <v>2590</v>
      </c>
      <c r="H96" s="576"/>
      <c r="I96" s="576"/>
      <c r="J96" s="576"/>
      <c r="K96" s="576"/>
      <c r="L96" s="696"/>
      <c r="M96" s="620"/>
      <c r="N96" s="1147"/>
      <c r="O96" s="1147"/>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5" customFormat="1" ht="27.75" thickTop="1">
      <c r="A98" s="577"/>
      <c r="B98" s="536" t="s">
        <v>2775</v>
      </c>
      <c r="C98" s="571" t="s">
        <v>2586</v>
      </c>
      <c r="D98" s="571" t="s">
        <v>2587</v>
      </c>
      <c r="E98" s="571" t="s">
        <v>2588</v>
      </c>
      <c r="F98" s="571" t="s">
        <v>2589</v>
      </c>
      <c r="G98" s="571" t="s">
        <v>2590</v>
      </c>
      <c r="H98" s="576"/>
      <c r="I98" s="576"/>
      <c r="J98" s="576"/>
      <c r="K98" s="576"/>
      <c r="L98" s="576"/>
      <c r="M98" s="620"/>
      <c r="N98" s="1147"/>
      <c r="O98" s="1147"/>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2643</v>
      </c>
      <c r="C100" s="571" t="s">
        <v>2586</v>
      </c>
      <c r="D100" s="571" t="s">
        <v>2587</v>
      </c>
      <c r="E100" s="571" t="s">
        <v>2588</v>
      </c>
      <c r="F100" s="571" t="s">
        <v>2589</v>
      </c>
      <c r="G100" s="571" t="s">
        <v>2590</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2644</v>
      </c>
      <c r="C102" s="658" t="s">
        <v>2664</v>
      </c>
      <c r="D102" s="658" t="s">
        <v>2665</v>
      </c>
      <c r="E102" s="658" t="s">
        <v>2666</v>
      </c>
      <c r="F102" s="658" t="s">
        <v>2667</v>
      </c>
      <c r="G102" s="658" t="s">
        <v>2668</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2776</v>
      </c>
      <c r="D104" s="537" t="s">
        <v>2777</v>
      </c>
      <c r="E104" s="537" t="s">
        <v>2778</v>
      </c>
      <c r="F104" s="537" t="s">
        <v>2779</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2680</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2739</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3"/>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5"/>
      <c r="E115" s="675"/>
      <c r="F115" s="675"/>
      <c r="G115" s="675"/>
      <c r="H115" s="675"/>
      <c r="I115" s="675"/>
      <c r="J115" s="675"/>
      <c r="K115" s="675"/>
      <c r="L115" s="675"/>
      <c r="M115" s="697"/>
      <c r="N115" s="1149"/>
      <c r="O115" s="1149"/>
      <c r="P115" s="556"/>
      <c r="Q115" s="557"/>
    </row>
    <row r="116" spans="1:17">
      <c r="A116" s="525" t="s">
        <v>2552</v>
      </c>
      <c r="B116" s="526" t="s">
        <v>2780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2781</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2782</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2783</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2784</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2733</v>
      </c>
      <c r="B1" s="393"/>
      <c r="C1" s="394" t="s">
        <v>2785</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2316</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ROUND(IF(D3="",B2*10000/'数据-汇总表'!E3,B2*10000/D3),0)</f>
        <v>#DIV/0!</v>
      </c>
      <c r="C3" s="245" t="s">
        <v>2735</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2634</v>
      </c>
      <c r="B4" s="400"/>
      <c r="C4" s="3296" t="s">
        <v>2635</v>
      </c>
      <c r="D4" s="3297"/>
      <c r="E4" s="3298" t="s">
        <v>2636</v>
      </c>
      <c r="F4" s="3299"/>
      <c r="G4" s="3296" t="s">
        <v>2637</v>
      </c>
      <c r="H4" s="3297"/>
      <c r="I4" s="3296" t="s">
        <v>2638</v>
      </c>
      <c r="J4" s="3297"/>
      <c r="K4" s="608" t="s">
        <v>2639</v>
      </c>
      <c r="L4" s="1126"/>
      <c r="M4" s="1127"/>
      <c r="N4" s="1127"/>
      <c r="O4" s="1127"/>
      <c r="P4" s="3300" t="s">
        <v>2640</v>
      </c>
      <c r="Q4" s="3301"/>
      <c r="R4" s="3306" t="s">
        <v>2636</v>
      </c>
      <c r="S4" s="3307"/>
      <c r="T4" s="3306" t="s">
        <v>2637</v>
      </c>
      <c r="U4" s="3307"/>
      <c r="V4" s="3312" t="s">
        <v>2638</v>
      </c>
      <c r="W4" s="3312"/>
      <c r="X4" s="1809"/>
      <c r="Y4" s="3306" t="s">
        <v>2640</v>
      </c>
      <c r="Z4" s="3307"/>
      <c r="AA4" s="3293" t="s">
        <v>2636</v>
      </c>
      <c r="AB4" s="3294" t="s">
        <v>2637</v>
      </c>
      <c r="AC4" s="3293" t="s">
        <v>2638</v>
      </c>
    </row>
    <row r="5" spans="1:29" ht="15">
      <c r="A5" s="402"/>
      <c r="B5" s="403"/>
      <c r="C5" s="3315" t="s">
        <v>2531</v>
      </c>
      <c r="D5" s="3316"/>
      <c r="E5" s="3322" t="s">
        <v>2532</v>
      </c>
      <c r="F5" s="3323"/>
      <c r="G5" s="3315" t="s">
        <v>2533</v>
      </c>
      <c r="H5" s="3316"/>
      <c r="I5" s="3315" t="s">
        <v>2534</v>
      </c>
      <c r="J5" s="3316"/>
      <c r="K5" s="608"/>
      <c r="L5" s="1126"/>
      <c r="M5" s="1127"/>
      <c r="N5" s="1127"/>
      <c r="O5" s="1127"/>
      <c r="P5" s="3302"/>
      <c r="Q5" s="3303"/>
      <c r="R5" s="3308"/>
      <c r="S5" s="3309"/>
      <c r="T5" s="3308"/>
      <c r="U5" s="3309"/>
      <c r="V5" s="3312"/>
      <c r="W5" s="3312"/>
      <c r="X5" s="1809"/>
      <c r="Y5" s="3308"/>
      <c r="Z5" s="3309"/>
      <c r="AA5" s="3294"/>
      <c r="AB5" s="3294"/>
      <c r="AC5" s="3294"/>
    </row>
    <row r="6" spans="1:29" ht="15.75" thickBot="1">
      <c r="A6" s="404"/>
      <c r="B6" s="405"/>
      <c r="C6" s="3344" t="s">
        <v>2786</v>
      </c>
      <c r="D6" s="3345"/>
      <c r="E6" s="3346" t="s">
        <v>2786</v>
      </c>
      <c r="F6" s="3347"/>
      <c r="G6" s="3344" t="s">
        <v>2786</v>
      </c>
      <c r="H6" s="3345"/>
      <c r="I6" s="3344" t="s">
        <v>2786</v>
      </c>
      <c r="J6" s="3345"/>
      <c r="K6" s="608" t="s">
        <v>2536</v>
      </c>
      <c r="L6" s="1126"/>
      <c r="M6" s="1127"/>
      <c r="N6" s="1127"/>
      <c r="O6" s="1127"/>
      <c r="P6" s="3304"/>
      <c r="Q6" s="3305"/>
      <c r="R6" s="3308"/>
      <c r="S6" s="3309"/>
      <c r="T6" s="3310"/>
      <c r="U6" s="3311"/>
      <c r="V6" s="3312"/>
      <c r="W6" s="3312"/>
      <c r="X6" s="1809"/>
      <c r="Y6" s="3310"/>
      <c r="Z6" s="3311"/>
      <c r="AA6" s="3295"/>
      <c r="AB6" s="3295"/>
      <c r="AC6" s="3295"/>
    </row>
    <row r="7" spans="1:29" s="115" customFormat="1" ht="15.75" thickBot="1">
      <c r="A7" s="406" t="s">
        <v>2537</v>
      </c>
      <c r="B7" s="407"/>
      <c r="C7" s="408">
        <f>'数据-取费表'!B2</f>
        <v>43566</v>
      </c>
      <c r="D7" s="409">
        <v>100</v>
      </c>
      <c r="E7" s="410"/>
      <c r="F7" s="411">
        <f>SUMIF(65:65,YEAR(E7)&amp;"-"&amp;INT((MONTH(E7)+2)/3),66:66)</f>
        <v>0</v>
      </c>
      <c r="G7" s="2692"/>
      <c r="H7" s="409">
        <f>SUMIF(65:65,YEAR(G7)&amp;"-"&amp;INT((MONTH(G7)+2)/3),66:66)</f>
        <v>0</v>
      </c>
      <c r="I7" s="2692"/>
      <c r="J7" s="409">
        <f>SUMIF(65:65,YEAR(I7)&amp;"-"&amp;INT((MONTH(I7)+2)/3),66:66)</f>
        <v>0</v>
      </c>
      <c r="K7" s="609"/>
      <c r="L7" s="1128"/>
      <c r="M7" s="1129"/>
      <c r="N7" s="1129"/>
      <c r="O7" s="1129"/>
      <c r="P7" s="3317" t="s">
        <v>2538</v>
      </c>
      <c r="Q7" s="3319"/>
      <c r="R7" s="768" t="s">
        <v>17</v>
      </c>
      <c r="S7" s="769">
        <f t="shared" ref="S7:S15" si="0">F7</f>
        <v>0</v>
      </c>
      <c r="T7" s="768" t="s">
        <v>17</v>
      </c>
      <c r="U7" s="769">
        <f t="shared" ref="U7:U15" si="1">H7</f>
        <v>0</v>
      </c>
      <c r="V7" s="768" t="s">
        <v>17</v>
      </c>
      <c r="W7" s="769">
        <f t="shared" ref="W7:W15" si="2">J7</f>
        <v>0</v>
      </c>
      <c r="X7" s="770"/>
      <c r="Y7" s="3317" t="s">
        <v>2538</v>
      </c>
      <c r="Z7" s="3318"/>
      <c r="AA7" s="771" t="e">
        <f>D7/F7</f>
        <v>#DIV/0!</v>
      </c>
      <c r="AB7" s="771" t="e">
        <f>D7/H7</f>
        <v>#DIV/0!</v>
      </c>
      <c r="AC7" s="771" t="e">
        <f>D7/J7</f>
        <v>#DIV/0!</v>
      </c>
    </row>
    <row r="8" spans="1:29" s="115" customFormat="1" ht="15.75" thickBot="1">
      <c r="A8" s="406" t="s">
        <v>2539</v>
      </c>
      <c r="B8" s="407"/>
      <c r="C8" s="412" t="s">
        <v>2540</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17" t="s">
        <v>2541</v>
      </c>
      <c r="Q8" s="3318"/>
      <c r="R8" s="768" t="s">
        <v>17</v>
      </c>
      <c r="S8" s="769">
        <f t="shared" si="0"/>
        <v>0</v>
      </c>
      <c r="T8" s="768" t="s">
        <v>17</v>
      </c>
      <c r="U8" s="769">
        <f t="shared" si="1"/>
        <v>0</v>
      </c>
      <c r="V8" s="768" t="s">
        <v>17</v>
      </c>
      <c r="W8" s="769">
        <f t="shared" si="2"/>
        <v>0</v>
      </c>
      <c r="X8" s="770"/>
      <c r="Y8" s="3317" t="s">
        <v>2541</v>
      </c>
      <c r="Z8" s="3318"/>
      <c r="AA8" s="771" t="e">
        <f t="shared" ref="AA8:AA40" si="3">D8/F8</f>
        <v>#DIV/0!</v>
      </c>
      <c r="AB8" s="771" t="e">
        <f t="shared" ref="AB8:AB40" si="4">D8/H8</f>
        <v>#DIV/0!</v>
      </c>
      <c r="AC8" s="771" t="e">
        <f t="shared" ref="AC8:AC40" si="5">D8/J8</f>
        <v>#DIV/0!</v>
      </c>
    </row>
    <row r="9" spans="1:29" s="115" customFormat="1">
      <c r="A9" s="413" t="s">
        <v>2542</v>
      </c>
      <c r="B9" s="71" t="s">
        <v>2543</v>
      </c>
      <c r="C9" s="2695"/>
      <c r="D9" s="133">
        <v>100</v>
      </c>
      <c r="E9" s="2695"/>
      <c r="F9" s="133">
        <f>SUMIF(70:70,E9,71:71)-SUMIF(70:70,C9,71:71)+100</f>
        <v>100</v>
      </c>
      <c r="G9" s="2695"/>
      <c r="H9" s="133">
        <f>SUMIF(70:70,G9,71:71)-SUMIF(70:70,C9,71:71)+100</f>
        <v>100</v>
      </c>
      <c r="I9" s="2695"/>
      <c r="J9" s="133">
        <f>SUMIF(70:70,I9,71:71)-SUMIF(70:70,C9,71:71)+100</f>
        <v>100</v>
      </c>
      <c r="K9" s="609"/>
      <c r="L9" s="1128"/>
      <c r="M9" s="1129"/>
      <c r="N9" s="1129"/>
      <c r="O9" s="1130"/>
      <c r="P9" s="3281" t="s">
        <v>2544</v>
      </c>
      <c r="Q9" s="1791" t="str">
        <f t="shared" ref="Q9:Q15" si="6">B9</f>
        <v>用途</v>
      </c>
      <c r="R9" s="768" t="s">
        <v>17</v>
      </c>
      <c r="S9" s="769">
        <f t="shared" si="0"/>
        <v>100</v>
      </c>
      <c r="T9" s="768" t="s">
        <v>17</v>
      </c>
      <c r="U9" s="769">
        <f t="shared" si="1"/>
        <v>100</v>
      </c>
      <c r="V9" s="768" t="s">
        <v>17</v>
      </c>
      <c r="W9" s="769">
        <f t="shared" si="2"/>
        <v>100</v>
      </c>
      <c r="X9" s="770"/>
      <c r="Y9" s="3082" t="s">
        <v>2545</v>
      </c>
      <c r="Z9" s="55" t="str">
        <f t="shared" ref="Z9:Z15" si="7">Q9</f>
        <v>用途</v>
      </c>
      <c r="AA9" s="771">
        <f t="shared" si="3"/>
        <v>1</v>
      </c>
      <c r="AB9" s="771">
        <f t="shared" si="4"/>
        <v>1</v>
      </c>
      <c r="AC9" s="771">
        <f t="shared" si="5"/>
        <v>1</v>
      </c>
    </row>
    <row r="10" spans="1:29" s="425" customFormat="1" ht="27">
      <c r="A10" s="419"/>
      <c r="B10" s="420" t="s">
        <v>2546</v>
      </c>
      <c r="C10" s="430"/>
      <c r="D10" s="134">
        <v>100</v>
      </c>
      <c r="E10" s="430"/>
      <c r="F10" s="134">
        <f>ROUND(100/'数据-取费表'!G16,0)</f>
        <v>114</v>
      </c>
      <c r="G10" s="430"/>
      <c r="H10" s="134">
        <f>ROUND(100/'数据-取费表'!G16,0)</f>
        <v>114</v>
      </c>
      <c r="I10" s="430"/>
      <c r="J10" s="134">
        <f>ROUND(100/'数据-取费表'!G16,0)</f>
        <v>114</v>
      </c>
      <c r="K10" s="670"/>
      <c r="L10" s="1131"/>
      <c r="M10" s="1132"/>
      <c r="N10" s="1132"/>
      <c r="O10" s="1133"/>
      <c r="P10" s="3281"/>
      <c r="Q10" s="1791" t="str">
        <f t="shared" si="6"/>
        <v>土地使用年限（年）</v>
      </c>
      <c r="R10" s="768" t="s">
        <v>17</v>
      </c>
      <c r="S10" s="769">
        <f t="shared" si="0"/>
        <v>114</v>
      </c>
      <c r="T10" s="768" t="s">
        <v>17</v>
      </c>
      <c r="U10" s="769">
        <f t="shared" si="1"/>
        <v>114</v>
      </c>
      <c r="V10" s="768" t="s">
        <v>17</v>
      </c>
      <c r="W10" s="769">
        <f t="shared" si="2"/>
        <v>114</v>
      </c>
      <c r="X10" s="770"/>
      <c r="Y10" s="3082"/>
      <c r="Z10" s="55" t="str">
        <f t="shared" si="7"/>
        <v>土地使用年限（年）</v>
      </c>
      <c r="AA10" s="771">
        <f t="shared" si="3"/>
        <v>0.8771929824561403</v>
      </c>
      <c r="AB10" s="771">
        <f t="shared" si="4"/>
        <v>0.8771929824561403</v>
      </c>
      <c r="AC10" s="771">
        <f t="shared" si="5"/>
        <v>0.8771929824561403</v>
      </c>
    </row>
    <row r="11" spans="1:29" ht="15">
      <c r="A11" s="426"/>
      <c r="B11" s="420" t="s">
        <v>2547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281"/>
      <c r="Q11" s="1791" t="str">
        <f t="shared" si="6"/>
        <v>容积率</v>
      </c>
      <c r="R11" s="768" t="s">
        <v>17</v>
      </c>
      <c r="S11" s="769" t="e">
        <f t="shared" si="0"/>
        <v>#N/A</v>
      </c>
      <c r="T11" s="768" t="s">
        <v>17</v>
      </c>
      <c r="U11" s="769" t="e">
        <f t="shared" si="1"/>
        <v>#N/A</v>
      </c>
      <c r="V11" s="768" t="s">
        <v>17</v>
      </c>
      <c r="W11" s="769" t="e">
        <f t="shared" si="2"/>
        <v>#N/A</v>
      </c>
      <c r="X11" s="770"/>
      <c r="Y11" s="3082"/>
      <c r="Z11" s="55" t="str">
        <f t="shared" si="7"/>
        <v>容积率</v>
      </c>
      <c r="AA11" s="771" t="e">
        <f t="shared" si="3"/>
        <v>#N/A</v>
      </c>
      <c r="AB11" s="771" t="e">
        <f t="shared" si="4"/>
        <v>#N/A</v>
      </c>
      <c r="AC11" s="771" t="e">
        <f t="shared" si="5"/>
        <v>#N/A</v>
      </c>
    </row>
    <row r="12" spans="1:29" s="115"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281"/>
      <c r="Q12" s="1791">
        <f t="shared" si="6"/>
        <v>111</v>
      </c>
      <c r="R12" s="768" t="s">
        <v>17</v>
      </c>
      <c r="S12" s="769">
        <f t="shared" si="0"/>
        <v>100</v>
      </c>
      <c r="T12" s="768" t="s">
        <v>17</v>
      </c>
      <c r="U12" s="769">
        <f t="shared" si="1"/>
        <v>100</v>
      </c>
      <c r="V12" s="768" t="s">
        <v>17</v>
      </c>
      <c r="W12" s="769">
        <f t="shared" si="2"/>
        <v>100</v>
      </c>
      <c r="X12" s="770"/>
      <c r="Y12" s="3082"/>
      <c r="Z12" s="55">
        <f t="shared" si="7"/>
        <v>111</v>
      </c>
      <c r="AA12" s="771">
        <f>D12/F12</f>
        <v>1</v>
      </c>
      <c r="AB12" s="771">
        <f>D12/H12</f>
        <v>1</v>
      </c>
      <c r="AC12" s="771">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281"/>
      <c r="Q13" s="1791">
        <f t="shared" si="6"/>
        <v>111</v>
      </c>
      <c r="R13" s="768" t="s">
        <v>17</v>
      </c>
      <c r="S13" s="769">
        <f t="shared" si="0"/>
        <v>100</v>
      </c>
      <c r="T13" s="768" t="s">
        <v>17</v>
      </c>
      <c r="U13" s="769">
        <f t="shared" si="1"/>
        <v>100</v>
      </c>
      <c r="V13" s="768" t="s">
        <v>17</v>
      </c>
      <c r="W13" s="769">
        <f t="shared" si="2"/>
        <v>100</v>
      </c>
      <c r="X13" s="770"/>
      <c r="Y13" s="3082"/>
      <c r="Z13" s="55">
        <f t="shared" si="7"/>
        <v>111</v>
      </c>
      <c r="AA13" s="771">
        <f t="shared" si="3"/>
        <v>1</v>
      </c>
      <c r="AB13" s="771">
        <f t="shared" si="4"/>
        <v>1</v>
      </c>
      <c r="AC13" s="771">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281"/>
      <c r="Q14" s="1791">
        <f t="shared" si="6"/>
        <v>111</v>
      </c>
      <c r="R14" s="768" t="s">
        <v>17</v>
      </c>
      <c r="S14" s="769">
        <f t="shared" si="0"/>
        <v>100</v>
      </c>
      <c r="T14" s="768" t="s">
        <v>17</v>
      </c>
      <c r="U14" s="769">
        <f t="shared" si="1"/>
        <v>100</v>
      </c>
      <c r="V14" s="768" t="s">
        <v>17</v>
      </c>
      <c r="W14" s="769">
        <f t="shared" si="2"/>
        <v>100</v>
      </c>
      <c r="X14" s="770"/>
      <c r="Y14" s="3082"/>
      <c r="Z14" s="55">
        <f t="shared" si="7"/>
        <v>111</v>
      </c>
      <c r="AA14" s="771">
        <f t="shared" si="3"/>
        <v>1</v>
      </c>
      <c r="AB14" s="771">
        <f t="shared" si="4"/>
        <v>1</v>
      </c>
      <c r="AC14" s="771">
        <f t="shared" si="5"/>
        <v>1</v>
      </c>
    </row>
    <row r="15" spans="1:29" ht="15">
      <c r="A15" s="438" t="s">
        <v>2548</v>
      </c>
      <c r="B15" s="627" t="s">
        <v>2787</v>
      </c>
      <c r="C15" s="2689">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283" t="s">
        <v>2549</v>
      </c>
      <c r="Q15" s="1806" t="str">
        <f t="shared" si="6"/>
        <v>产业集聚程度</v>
      </c>
      <c r="R15" s="772" t="s">
        <v>17</v>
      </c>
      <c r="S15" s="773">
        <f t="shared" si="0"/>
        <v>100</v>
      </c>
      <c r="T15" s="772" t="s">
        <v>17</v>
      </c>
      <c r="U15" s="773">
        <f t="shared" si="1"/>
        <v>100</v>
      </c>
      <c r="V15" s="772" t="s">
        <v>17</v>
      </c>
      <c r="W15" s="773">
        <f t="shared" si="2"/>
        <v>100</v>
      </c>
      <c r="X15" s="1809"/>
      <c r="Y15" s="3283" t="s">
        <v>2549</v>
      </c>
      <c r="Z15" s="1810" t="str">
        <f t="shared" si="7"/>
        <v>产业集聚程度</v>
      </c>
      <c r="AA15" s="1807">
        <f t="shared" si="3"/>
        <v>1</v>
      </c>
      <c r="AB15" s="1807">
        <f t="shared" si="4"/>
        <v>1</v>
      </c>
      <c r="AC15" s="1807">
        <f t="shared" si="5"/>
        <v>1</v>
      </c>
    </row>
    <row r="16" spans="1:29" ht="15">
      <c r="A16" s="426"/>
      <c r="B16" s="628"/>
      <c r="C16" s="445"/>
      <c r="D16" s="446"/>
      <c r="E16" s="2607"/>
      <c r="F16" s="446"/>
      <c r="G16" s="2607"/>
      <c r="H16" s="448"/>
      <c r="I16" s="2607"/>
      <c r="J16" s="446"/>
      <c r="K16" s="670"/>
      <c r="L16" s="1136"/>
      <c r="M16" s="1127"/>
      <c r="N16" s="1127"/>
      <c r="O16" s="1135"/>
      <c r="P16" s="3284"/>
      <c r="Q16" s="1806"/>
      <c r="R16" s="772"/>
      <c r="S16" s="773"/>
      <c r="T16" s="772"/>
      <c r="U16" s="773"/>
      <c r="V16" s="772"/>
      <c r="W16" s="773"/>
      <c r="X16" s="1809"/>
      <c r="Y16" s="3284"/>
      <c r="Z16" s="1810"/>
      <c r="AA16" s="1807">
        <v>1</v>
      </c>
      <c r="AB16" s="1807">
        <v>1</v>
      </c>
      <c r="AC16" s="1807">
        <v>1</v>
      </c>
    </row>
    <row r="17" spans="1:29" ht="15">
      <c r="A17" s="426"/>
      <c r="B17" s="629" t="s">
        <v>2698</v>
      </c>
      <c r="C17" s="2603">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284"/>
      <c r="Q17" s="1806" t="str">
        <f>B17</f>
        <v>交通便捷度</v>
      </c>
      <c r="R17" s="772" t="s">
        <v>17</v>
      </c>
      <c r="S17" s="773">
        <f>F17</f>
        <v>100</v>
      </c>
      <c r="T17" s="772" t="s">
        <v>17</v>
      </c>
      <c r="U17" s="773">
        <f>H17</f>
        <v>100</v>
      </c>
      <c r="V17" s="772" t="s">
        <v>17</v>
      </c>
      <c r="W17" s="773">
        <f>J17</f>
        <v>100</v>
      </c>
      <c r="X17" s="1809"/>
      <c r="Y17" s="3284"/>
      <c r="Z17" s="1810" t="str">
        <f>Q17</f>
        <v>交通便捷度</v>
      </c>
      <c r="AA17" s="1807">
        <f t="shared" si="3"/>
        <v>1</v>
      </c>
      <c r="AB17" s="1807">
        <f t="shared" si="4"/>
        <v>1</v>
      </c>
      <c r="AC17" s="1807">
        <f t="shared" si="5"/>
        <v>1</v>
      </c>
    </row>
    <row r="18" spans="1:29" ht="15">
      <c r="A18" s="426"/>
      <c r="B18" s="630"/>
      <c r="C18" s="445"/>
      <c r="D18" s="446"/>
      <c r="E18" s="2601"/>
      <c r="F18" s="446"/>
      <c r="G18" s="2601"/>
      <c r="H18" s="446"/>
      <c r="I18" s="2600"/>
      <c r="J18" s="446"/>
      <c r="K18" s="670"/>
      <c r="L18" s="1136"/>
      <c r="M18" s="1127"/>
      <c r="N18" s="1127"/>
      <c r="O18" s="1135"/>
      <c r="P18" s="3284"/>
      <c r="Q18" s="1806"/>
      <c r="R18" s="772"/>
      <c r="S18" s="773"/>
      <c r="T18" s="772"/>
      <c r="U18" s="773"/>
      <c r="V18" s="772"/>
      <c r="W18" s="773"/>
      <c r="X18" s="1809"/>
      <c r="Y18" s="3284"/>
      <c r="Z18" s="1810"/>
      <c r="AA18" s="1807">
        <v>1</v>
      </c>
      <c r="AB18" s="1807">
        <v>1</v>
      </c>
      <c r="AC18" s="1807">
        <v>1</v>
      </c>
    </row>
    <row r="19" spans="1:29" ht="15">
      <c r="A19" s="426"/>
      <c r="B19" s="629" t="s">
        <v>2737</v>
      </c>
      <c r="C19" s="260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284"/>
      <c r="Q19" s="1806" t="str">
        <f t="shared" ref="Q19:Q33" si="8">B19</f>
        <v>区域土地利用方向</v>
      </c>
      <c r="R19" s="772" t="s">
        <v>17</v>
      </c>
      <c r="S19" s="773">
        <f>F19</f>
        <v>100</v>
      </c>
      <c r="T19" s="772" t="s">
        <v>17</v>
      </c>
      <c r="U19" s="773">
        <f>H19</f>
        <v>100</v>
      </c>
      <c r="V19" s="772" t="s">
        <v>17</v>
      </c>
      <c r="W19" s="773">
        <f>J19</f>
        <v>100</v>
      </c>
      <c r="X19" s="1809"/>
      <c r="Y19" s="3284"/>
      <c r="Z19" s="1810" t="str">
        <f>Q19</f>
        <v>区域土地利用方向</v>
      </c>
      <c r="AA19" s="1807">
        <f t="shared" si="3"/>
        <v>1</v>
      </c>
      <c r="AB19" s="1807">
        <f t="shared" si="4"/>
        <v>1</v>
      </c>
      <c r="AC19" s="1807">
        <f t="shared" si="5"/>
        <v>1</v>
      </c>
    </row>
    <row r="20" spans="1:29" ht="15">
      <c r="A20" s="402"/>
      <c r="B20" s="630"/>
      <c r="C20" s="445"/>
      <c r="D20" s="446"/>
      <c r="E20" s="2601"/>
      <c r="F20" s="446"/>
      <c r="G20" s="2601"/>
      <c r="H20" s="446"/>
      <c r="I20" s="2601"/>
      <c r="J20" s="446"/>
      <c r="K20" s="808"/>
      <c r="L20" s="1136"/>
      <c r="M20" s="1127"/>
      <c r="N20" s="1127"/>
      <c r="O20" s="1135"/>
      <c r="P20" s="3284"/>
      <c r="Q20" s="1806"/>
      <c r="R20" s="772"/>
      <c r="S20" s="773"/>
      <c r="T20" s="772"/>
      <c r="U20" s="773"/>
      <c r="V20" s="772"/>
      <c r="W20" s="773"/>
      <c r="X20" s="1809"/>
      <c r="Y20" s="3284"/>
      <c r="Z20" s="1810"/>
      <c r="AA20" s="1807"/>
      <c r="AB20" s="1807"/>
      <c r="AC20" s="1807"/>
    </row>
    <row r="21" spans="1:29" ht="15">
      <c r="A21" s="402"/>
      <c r="B21" s="629" t="s">
        <v>2788</v>
      </c>
      <c r="C21" s="2603">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284"/>
      <c r="Q21" s="1806" t="str">
        <f t="shared" si="8"/>
        <v>环境状况</v>
      </c>
      <c r="R21" s="772" t="s">
        <v>17</v>
      </c>
      <c r="S21" s="773">
        <f>F21</f>
        <v>100</v>
      </c>
      <c r="T21" s="772" t="s">
        <v>17</v>
      </c>
      <c r="U21" s="773">
        <f>H21</f>
        <v>100</v>
      </c>
      <c r="V21" s="772" t="s">
        <v>17</v>
      </c>
      <c r="W21" s="773">
        <f>J21</f>
        <v>100</v>
      </c>
      <c r="X21" s="1809"/>
      <c r="Y21" s="3284"/>
      <c r="Z21" s="1810" t="str">
        <f>Q21</f>
        <v>环境状况</v>
      </c>
      <c r="AA21" s="1807">
        <f t="shared" si="3"/>
        <v>1</v>
      </c>
      <c r="AB21" s="1807">
        <f t="shared" si="4"/>
        <v>1</v>
      </c>
      <c r="AC21" s="1807">
        <f t="shared" si="5"/>
        <v>1</v>
      </c>
    </row>
    <row r="22" spans="1:29" ht="15">
      <c r="A22" s="402"/>
      <c r="B22" s="630"/>
      <c r="C22" s="445"/>
      <c r="D22" s="446"/>
      <c r="E22" s="2607"/>
      <c r="F22" s="446"/>
      <c r="G22" s="2607"/>
      <c r="H22" s="446"/>
      <c r="I22" s="445"/>
      <c r="J22" s="446"/>
      <c r="K22" s="670"/>
      <c r="L22" s="1136"/>
      <c r="M22" s="1127"/>
      <c r="N22" s="1127"/>
      <c r="O22" s="1135"/>
      <c r="P22" s="3284"/>
      <c r="Q22" s="1806"/>
      <c r="R22" s="772"/>
      <c r="S22" s="773"/>
      <c r="T22" s="772"/>
      <c r="U22" s="773"/>
      <c r="V22" s="772"/>
      <c r="W22" s="773"/>
      <c r="X22" s="1809"/>
      <c r="Y22" s="3284"/>
      <c r="Z22" s="1810"/>
      <c r="AA22" s="1807">
        <v>1</v>
      </c>
      <c r="AB22" s="1807">
        <v>1</v>
      </c>
      <c r="AC22" s="1807">
        <v>1</v>
      </c>
    </row>
    <row r="23" spans="1:29" s="115" customFormat="1" ht="15">
      <c r="A23" s="647"/>
      <c r="B23" s="631" t="s">
        <v>2643</v>
      </c>
      <c r="C23" s="2603">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284"/>
      <c r="Q23" s="1791" t="str">
        <f t="shared" si="8"/>
        <v>公共配套设施</v>
      </c>
      <c r="R23" s="768" t="s">
        <v>17</v>
      </c>
      <c r="S23" s="769">
        <f>F23</f>
        <v>100</v>
      </c>
      <c r="T23" s="768" t="s">
        <v>17</v>
      </c>
      <c r="U23" s="769">
        <f>H23</f>
        <v>100</v>
      </c>
      <c r="V23" s="768" t="s">
        <v>17</v>
      </c>
      <c r="W23" s="769">
        <f>J23</f>
        <v>100</v>
      </c>
      <c r="X23" s="770"/>
      <c r="Y23" s="3284"/>
      <c r="Z23" s="55" t="str">
        <f>Q23</f>
        <v>公共配套设施</v>
      </c>
      <c r="AA23" s="1807">
        <f>D23/F23</f>
        <v>1</v>
      </c>
      <c r="AB23" s="1807">
        <f>D23/H23</f>
        <v>1</v>
      </c>
      <c r="AC23" s="1807">
        <f>D23/J23</f>
        <v>1</v>
      </c>
    </row>
    <row r="24" spans="1:29" s="115" customFormat="1" ht="15">
      <c r="A24" s="647"/>
      <c r="B24" s="630"/>
      <c r="C24" s="2696"/>
      <c r="D24" s="446"/>
      <c r="E24" s="2607"/>
      <c r="F24" s="446"/>
      <c r="G24" s="2607"/>
      <c r="H24" s="446"/>
      <c r="I24" s="445"/>
      <c r="J24" s="446"/>
      <c r="K24" s="670"/>
      <c r="L24" s="1128"/>
      <c r="M24" s="1129"/>
      <c r="N24" s="1129"/>
      <c r="O24" s="1130"/>
      <c r="P24" s="3284"/>
      <c r="Q24" s="1791"/>
      <c r="R24" s="768"/>
      <c r="S24" s="769"/>
      <c r="T24" s="768"/>
      <c r="U24" s="769"/>
      <c r="V24" s="768"/>
      <c r="W24" s="769"/>
      <c r="X24" s="770"/>
      <c r="Y24" s="3284"/>
      <c r="Z24" s="55"/>
      <c r="AA24" s="771">
        <v>1</v>
      </c>
      <c r="AB24" s="771">
        <v>1</v>
      </c>
      <c r="AC24" s="771">
        <v>1</v>
      </c>
    </row>
    <row r="25" spans="1:29" s="115" customFormat="1" ht="15">
      <c r="A25" s="647"/>
      <c r="B25" s="631" t="s">
        <v>2644</v>
      </c>
      <c r="C25" s="2603">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284"/>
      <c r="Q25" s="1791" t="str">
        <f t="shared" ref="Q25" si="9">B25</f>
        <v>基础设施水平</v>
      </c>
      <c r="R25" s="768" t="s">
        <v>17</v>
      </c>
      <c r="S25" s="769">
        <f>F25</f>
        <v>100</v>
      </c>
      <c r="T25" s="768" t="s">
        <v>17</v>
      </c>
      <c r="U25" s="769">
        <f>H25</f>
        <v>100</v>
      </c>
      <c r="V25" s="768" t="s">
        <v>17</v>
      </c>
      <c r="W25" s="769">
        <f>J25</f>
        <v>100</v>
      </c>
      <c r="X25" s="770"/>
      <c r="Y25" s="3284"/>
      <c r="Z25" s="55" t="str">
        <f>Q25</f>
        <v>基础设施水平</v>
      </c>
      <c r="AA25" s="1807">
        <f>D25/F25</f>
        <v>1</v>
      </c>
      <c r="AB25" s="1807">
        <f>D25/H25</f>
        <v>1</v>
      </c>
      <c r="AC25" s="1807">
        <f>D25/J25</f>
        <v>1</v>
      </c>
    </row>
    <row r="26" spans="1:29" s="115" customFormat="1" ht="15">
      <c r="A26" s="647"/>
      <c r="B26" s="630"/>
      <c r="C26" s="2696"/>
      <c r="D26" s="446"/>
      <c r="E26" s="2697"/>
      <c r="F26" s="446"/>
      <c r="G26" s="2697"/>
      <c r="H26" s="446"/>
      <c r="I26" s="2697"/>
      <c r="J26" s="446"/>
      <c r="K26" s="670"/>
      <c r="L26" s="1128"/>
      <c r="M26" s="1129"/>
      <c r="N26" s="1129"/>
      <c r="O26" s="1130"/>
      <c r="P26" s="3284"/>
      <c r="Q26" s="1791"/>
      <c r="R26" s="768"/>
      <c r="S26" s="769"/>
      <c r="T26" s="768"/>
      <c r="U26" s="769"/>
      <c r="V26" s="768"/>
      <c r="W26" s="769"/>
      <c r="X26" s="770"/>
      <c r="Y26" s="3284"/>
      <c r="Z26" s="55"/>
      <c r="AA26" s="771">
        <v>1</v>
      </c>
      <c r="AB26" s="771">
        <v>1</v>
      </c>
      <c r="AC26" s="771">
        <v>1</v>
      </c>
    </row>
    <row r="27" spans="1:29" ht="15">
      <c r="A27" s="426"/>
      <c r="B27" s="630" t="s">
        <v>2645</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284"/>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4"/>
      <c r="Z27" s="1810" t="str">
        <f t="shared" ref="Z27:Z40" si="13">Q27</f>
        <v>临街状况</v>
      </c>
      <c r="AA27" s="1807">
        <f t="shared" si="3"/>
        <v>1</v>
      </c>
      <c r="AB27" s="1807">
        <f t="shared" si="4"/>
        <v>1</v>
      </c>
      <c r="AC27" s="1807">
        <f t="shared" si="5"/>
        <v>1</v>
      </c>
    </row>
    <row r="28" spans="1:29" ht="27">
      <c r="A28" s="426"/>
      <c r="B28" s="631" t="s">
        <v>2680</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284"/>
      <c r="Q28" s="1806" t="str">
        <f t="shared" si="8"/>
        <v>毗邻道路的类型与等级</v>
      </c>
      <c r="R28" s="772" t="s">
        <v>17</v>
      </c>
      <c r="S28" s="773">
        <f t="shared" si="10"/>
        <v>100</v>
      </c>
      <c r="T28" s="772" t="s">
        <v>17</v>
      </c>
      <c r="U28" s="773">
        <f t="shared" si="11"/>
        <v>100</v>
      </c>
      <c r="V28" s="772" t="s">
        <v>17</v>
      </c>
      <c r="W28" s="773">
        <f t="shared" si="12"/>
        <v>100</v>
      </c>
      <c r="X28" s="1809"/>
      <c r="Y28" s="3284"/>
      <c r="Z28" s="1810" t="str">
        <f t="shared" si="13"/>
        <v>毗邻道路的类型与等级</v>
      </c>
      <c r="AA28" s="1807">
        <f t="shared" si="3"/>
        <v>1</v>
      </c>
      <c r="AB28" s="1807">
        <f t="shared" si="4"/>
        <v>1</v>
      </c>
      <c r="AC28" s="1807">
        <f t="shared" si="5"/>
        <v>1</v>
      </c>
    </row>
    <row r="29" spans="1:29" ht="15">
      <c r="A29" s="426"/>
      <c r="B29" s="630"/>
      <c r="C29" s="445"/>
      <c r="D29" s="446"/>
      <c r="E29" s="2607"/>
      <c r="F29" s="446"/>
      <c r="G29" s="2607"/>
      <c r="H29" s="446"/>
      <c r="I29" s="2607"/>
      <c r="J29" s="446"/>
      <c r="K29" s="611"/>
      <c r="L29" s="1136"/>
      <c r="M29" s="1127"/>
      <c r="N29" s="1127"/>
      <c r="O29" s="1135"/>
      <c r="P29" s="3284"/>
      <c r="Q29" s="1806"/>
      <c r="R29" s="772"/>
      <c r="S29" s="773"/>
      <c r="T29" s="772"/>
      <c r="U29" s="773"/>
      <c r="V29" s="772"/>
      <c r="W29" s="773"/>
      <c r="X29" s="1809"/>
      <c r="Y29" s="3284"/>
      <c r="Z29" s="1810"/>
      <c r="AA29" s="1807">
        <v>1</v>
      </c>
      <c r="AB29" s="1807">
        <v>1</v>
      </c>
      <c r="AC29" s="1807">
        <v>1</v>
      </c>
    </row>
    <row r="30" spans="1:29" ht="15">
      <c r="A30" s="426"/>
      <c r="B30" s="652" t="s">
        <v>2739</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284"/>
      <c r="Q30" s="1806" t="str">
        <f t="shared" si="8"/>
        <v>土地级别</v>
      </c>
      <c r="R30" s="772" t="s">
        <v>17</v>
      </c>
      <c r="S30" s="773">
        <f t="shared" si="10"/>
        <v>100</v>
      </c>
      <c r="T30" s="772" t="s">
        <v>17</v>
      </c>
      <c r="U30" s="773">
        <f t="shared" si="11"/>
        <v>100</v>
      </c>
      <c r="V30" s="772" t="s">
        <v>17</v>
      </c>
      <c r="W30" s="773">
        <f t="shared" si="12"/>
        <v>100</v>
      </c>
      <c r="X30" s="1809"/>
      <c r="Y30" s="3284"/>
      <c r="Z30" s="1810" t="str">
        <f t="shared" si="13"/>
        <v>土地级别</v>
      </c>
      <c r="AA30" s="1807">
        <f t="shared" si="3"/>
        <v>1</v>
      </c>
      <c r="AB30" s="1807">
        <f t="shared" si="4"/>
        <v>1</v>
      </c>
      <c r="AC30" s="1807">
        <f t="shared" si="5"/>
        <v>1</v>
      </c>
    </row>
    <row r="31" spans="1:29" ht="15">
      <c r="A31" s="402"/>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284"/>
      <c r="Q31" s="1806">
        <f t="shared" si="8"/>
        <v>111</v>
      </c>
      <c r="R31" s="772" t="s">
        <v>17</v>
      </c>
      <c r="S31" s="773">
        <f t="shared" si="10"/>
        <v>100</v>
      </c>
      <c r="T31" s="772" t="s">
        <v>17</v>
      </c>
      <c r="U31" s="773">
        <f t="shared" si="11"/>
        <v>100</v>
      </c>
      <c r="V31" s="772" t="s">
        <v>17</v>
      </c>
      <c r="W31" s="773">
        <f t="shared" si="12"/>
        <v>100</v>
      </c>
      <c r="X31" s="1809"/>
      <c r="Y31" s="3284"/>
      <c r="Z31" s="1810">
        <f t="shared" si="13"/>
        <v>111</v>
      </c>
      <c r="AA31" s="1807">
        <f t="shared" si="3"/>
        <v>1</v>
      </c>
      <c r="AB31" s="1807">
        <f t="shared" si="4"/>
        <v>1</v>
      </c>
      <c r="AC31" s="1807">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39" t="s">
        <v>2554</v>
      </c>
      <c r="Q32" s="1806">
        <f t="shared" si="8"/>
        <v>111</v>
      </c>
      <c r="R32" s="772" t="s">
        <v>17</v>
      </c>
      <c r="S32" s="773">
        <f t="shared" si="10"/>
        <v>100</v>
      </c>
      <c r="T32" s="772" t="s">
        <v>17</v>
      </c>
      <c r="U32" s="773">
        <f t="shared" si="11"/>
        <v>100</v>
      </c>
      <c r="V32" s="772" t="s">
        <v>17</v>
      </c>
      <c r="W32" s="773">
        <f t="shared" si="12"/>
        <v>100</v>
      </c>
      <c r="X32" s="1809"/>
      <c r="Y32" s="3288" t="s">
        <v>2554</v>
      </c>
      <c r="Z32" s="1810">
        <f t="shared" si="13"/>
        <v>111</v>
      </c>
      <c r="AA32" s="1807">
        <f t="shared" si="3"/>
        <v>1</v>
      </c>
      <c r="AB32" s="1807">
        <f t="shared" si="4"/>
        <v>1</v>
      </c>
      <c r="AC32" s="1807">
        <f t="shared" si="5"/>
        <v>1</v>
      </c>
    </row>
    <row r="33" spans="1:29" s="469" customFormat="1" ht="15.75" thickBot="1">
      <c r="A33" s="674"/>
      <c r="B33" s="271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288"/>
      <c r="Q33" s="1806">
        <f t="shared" si="8"/>
        <v>111</v>
      </c>
      <c r="R33" s="775" t="s">
        <v>17</v>
      </c>
      <c r="S33" s="776">
        <f t="shared" si="10"/>
        <v>100</v>
      </c>
      <c r="T33" s="775" t="s">
        <v>17</v>
      </c>
      <c r="U33" s="776">
        <f t="shared" si="11"/>
        <v>100</v>
      </c>
      <c r="V33" s="775" t="s">
        <v>17</v>
      </c>
      <c r="W33" s="776">
        <f t="shared" si="12"/>
        <v>100</v>
      </c>
      <c r="X33" s="777"/>
      <c r="Y33" s="3288"/>
      <c r="Z33" s="778">
        <f t="shared" si="13"/>
        <v>111</v>
      </c>
      <c r="AA33" s="1807">
        <f t="shared" si="3"/>
        <v>1</v>
      </c>
      <c r="AB33" s="1807">
        <f t="shared" si="4"/>
        <v>1</v>
      </c>
      <c r="AC33" s="1807">
        <f t="shared" si="5"/>
        <v>1</v>
      </c>
    </row>
    <row r="34" spans="1:29" ht="15">
      <c r="A34" s="438" t="s">
        <v>2552</v>
      </c>
      <c r="B34" s="454" t="s">
        <v>2740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288"/>
      <c r="Q34" s="1806" t="str">
        <f>B34</f>
        <v>宗地面积</v>
      </c>
      <c r="R34" s="772" t="s">
        <v>17</v>
      </c>
      <c r="S34" s="773" t="e">
        <f t="shared" si="10"/>
        <v>#N/A</v>
      </c>
      <c r="T34" s="772" t="s">
        <v>17</v>
      </c>
      <c r="U34" s="773" t="e">
        <f t="shared" si="11"/>
        <v>#N/A</v>
      </c>
      <c r="V34" s="772" t="s">
        <v>17</v>
      </c>
      <c r="W34" s="773" t="e">
        <f t="shared" si="12"/>
        <v>#N/A</v>
      </c>
      <c r="X34" s="1809"/>
      <c r="Y34" s="3288"/>
      <c r="Z34" s="1810" t="str">
        <f t="shared" si="13"/>
        <v>宗地面积</v>
      </c>
      <c r="AA34" s="1807" t="e">
        <f t="shared" si="3"/>
        <v>#N/A</v>
      </c>
      <c r="AB34" s="1807" t="e">
        <f t="shared" si="4"/>
        <v>#N/A</v>
      </c>
      <c r="AC34" s="1807" t="e">
        <f t="shared" si="5"/>
        <v>#N/A</v>
      </c>
    </row>
    <row r="35" spans="1:29" ht="15">
      <c r="A35" s="470"/>
      <c r="B35" s="420" t="s">
        <v>2741</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6"/>
      <c r="M35" s="1127"/>
      <c r="N35" s="1127"/>
      <c r="O35" s="1135"/>
      <c r="P35" s="3288"/>
      <c r="Q35" s="1806" t="str">
        <f t="shared" ref="Q35:Q40" si="14">B35</f>
        <v>宗地形状</v>
      </c>
      <c r="R35" s="772" t="s">
        <v>17</v>
      </c>
      <c r="S35" s="773">
        <f t="shared" si="10"/>
        <v>100</v>
      </c>
      <c r="T35" s="772" t="s">
        <v>17</v>
      </c>
      <c r="U35" s="773">
        <f t="shared" si="11"/>
        <v>100</v>
      </c>
      <c r="V35" s="772" t="s">
        <v>17</v>
      </c>
      <c r="W35" s="773">
        <f t="shared" si="12"/>
        <v>100</v>
      </c>
      <c r="X35" s="1809"/>
      <c r="Y35" s="3288"/>
      <c r="Z35" s="1810" t="str">
        <f t="shared" si="13"/>
        <v>宗地形状</v>
      </c>
      <c r="AA35" s="1807">
        <f t="shared" si="3"/>
        <v>1</v>
      </c>
      <c r="AB35" s="1807">
        <f t="shared" si="4"/>
        <v>1</v>
      </c>
      <c r="AC35" s="1807">
        <f t="shared" si="5"/>
        <v>1</v>
      </c>
    </row>
    <row r="36" spans="1:29" s="115" customFormat="1" ht="15">
      <c r="A36" s="471"/>
      <c r="B36" s="420" t="s">
        <v>2743</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28"/>
      <c r="M36" s="1129"/>
      <c r="N36" s="1129"/>
      <c r="O36" s="1130"/>
      <c r="P36" s="3288"/>
      <c r="Q36" s="1806" t="str">
        <f t="shared" si="14"/>
        <v>宗地开发程度</v>
      </c>
      <c r="R36" s="768" t="s">
        <v>17</v>
      </c>
      <c r="S36" s="769">
        <f t="shared" si="10"/>
        <v>100</v>
      </c>
      <c r="T36" s="768" t="s">
        <v>17</v>
      </c>
      <c r="U36" s="769">
        <f t="shared" si="11"/>
        <v>100</v>
      </c>
      <c r="V36" s="768" t="s">
        <v>17</v>
      </c>
      <c r="W36" s="769">
        <f t="shared" si="12"/>
        <v>100</v>
      </c>
      <c r="X36" s="770"/>
      <c r="Y36" s="3288"/>
      <c r="Z36" s="55" t="str">
        <f t="shared" si="13"/>
        <v>宗地开发程度</v>
      </c>
      <c r="AA36" s="771">
        <f t="shared" si="3"/>
        <v>1</v>
      </c>
      <c r="AB36" s="771">
        <f t="shared" si="4"/>
        <v>1</v>
      </c>
      <c r="AC36" s="771">
        <f t="shared" si="5"/>
        <v>1</v>
      </c>
    </row>
    <row r="37" spans="1:29" ht="15">
      <c r="A37" s="470"/>
      <c r="B37" s="420" t="s">
        <v>2744</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6"/>
      <c r="M37" s="1127"/>
      <c r="N37" s="1127"/>
      <c r="O37" s="1135"/>
      <c r="P37" s="3288" t="s">
        <v>2554</v>
      </c>
      <c r="Q37" s="1806" t="str">
        <f t="shared" si="14"/>
        <v>工程地质条件</v>
      </c>
      <c r="R37" s="772" t="s">
        <v>17</v>
      </c>
      <c r="S37" s="773">
        <f t="shared" si="10"/>
        <v>100</v>
      </c>
      <c r="T37" s="772" t="s">
        <v>17</v>
      </c>
      <c r="U37" s="773">
        <f t="shared" si="11"/>
        <v>100</v>
      </c>
      <c r="V37" s="772" t="s">
        <v>17</v>
      </c>
      <c r="W37" s="773">
        <f t="shared" si="12"/>
        <v>100</v>
      </c>
      <c r="X37" s="1809"/>
      <c r="Y37" s="3288" t="s">
        <v>2554</v>
      </c>
      <c r="Z37" s="1810" t="str">
        <f t="shared" si="13"/>
        <v>工程地质条件</v>
      </c>
      <c r="AA37" s="1807">
        <f t="shared" si="3"/>
        <v>1</v>
      </c>
      <c r="AB37" s="1807">
        <f t="shared" si="4"/>
        <v>1</v>
      </c>
      <c r="AC37" s="1807">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288"/>
      <c r="Q38" s="1806">
        <f t="shared" si="14"/>
        <v>111</v>
      </c>
      <c r="R38" s="772" t="s">
        <v>17</v>
      </c>
      <c r="S38" s="773">
        <f t="shared" si="10"/>
        <v>100</v>
      </c>
      <c r="T38" s="772" t="s">
        <v>17</v>
      </c>
      <c r="U38" s="773">
        <f t="shared" si="11"/>
        <v>100</v>
      </c>
      <c r="V38" s="772" t="s">
        <v>17</v>
      </c>
      <c r="W38" s="773">
        <f t="shared" si="12"/>
        <v>100</v>
      </c>
      <c r="X38" s="1809"/>
      <c r="Y38" s="3288"/>
      <c r="Z38" s="1810">
        <f t="shared" si="13"/>
        <v>111</v>
      </c>
      <c r="AA38" s="1807">
        <f t="shared" si="3"/>
        <v>1</v>
      </c>
      <c r="AB38" s="1807">
        <f t="shared" si="4"/>
        <v>1</v>
      </c>
      <c r="AC38" s="1807">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288"/>
      <c r="Q39" s="1806">
        <f t="shared" si="14"/>
        <v>111</v>
      </c>
      <c r="R39" s="772" t="s">
        <v>17</v>
      </c>
      <c r="S39" s="773">
        <f t="shared" si="10"/>
        <v>100</v>
      </c>
      <c r="T39" s="772" t="s">
        <v>17</v>
      </c>
      <c r="U39" s="773">
        <f t="shared" si="11"/>
        <v>100</v>
      </c>
      <c r="V39" s="772" t="s">
        <v>17</v>
      </c>
      <c r="W39" s="773">
        <f t="shared" si="12"/>
        <v>100</v>
      </c>
      <c r="X39" s="1809"/>
      <c r="Y39" s="3288"/>
      <c r="Z39" s="1810">
        <f t="shared" si="13"/>
        <v>111</v>
      </c>
      <c r="AA39" s="1807">
        <f t="shared" si="3"/>
        <v>1</v>
      </c>
      <c r="AB39" s="1807">
        <f t="shared" si="4"/>
        <v>1</v>
      </c>
      <c r="AC39" s="1807">
        <f t="shared" si="5"/>
        <v>1</v>
      </c>
    </row>
    <row r="40" spans="1:29" s="469" customFormat="1" ht="15.75" thickBot="1">
      <c r="A40" s="466"/>
      <c r="B40" s="1383">
        <v>111</v>
      </c>
      <c r="C40" s="2699"/>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288"/>
      <c r="Q40" s="1806">
        <f t="shared" si="14"/>
        <v>111</v>
      </c>
      <c r="R40" s="775" t="s">
        <v>17</v>
      </c>
      <c r="S40" s="776">
        <f t="shared" si="10"/>
        <v>100</v>
      </c>
      <c r="T40" s="775" t="s">
        <v>17</v>
      </c>
      <c r="U40" s="776">
        <f t="shared" si="11"/>
        <v>100</v>
      </c>
      <c r="V40" s="775" t="s">
        <v>17</v>
      </c>
      <c r="W40" s="776">
        <f t="shared" si="12"/>
        <v>100</v>
      </c>
      <c r="X40" s="777"/>
      <c r="Y40" s="3288"/>
      <c r="Z40" s="778">
        <f t="shared" si="13"/>
        <v>111</v>
      </c>
      <c r="AA40" s="1807">
        <f t="shared" si="3"/>
        <v>1</v>
      </c>
      <c r="AB40" s="1807">
        <f t="shared" si="4"/>
        <v>1</v>
      </c>
      <c r="AC40" s="1807">
        <f t="shared" si="5"/>
        <v>1</v>
      </c>
    </row>
    <row r="41" spans="1:29" ht="15">
      <c r="A41" s="477" t="s">
        <v>2709</v>
      </c>
      <c r="B41" s="2700" t="s">
        <v>2789</v>
      </c>
      <c r="C41" s="680" t="s">
        <v>1</v>
      </c>
      <c r="D41" s="479"/>
      <c r="E41" s="480"/>
      <c r="F41" s="481"/>
      <c r="G41" s="482"/>
      <c r="H41" s="483"/>
      <c r="I41" s="480"/>
      <c r="J41" s="483"/>
      <c r="K41" s="781"/>
      <c r="L41" s="1139"/>
      <c r="M41" s="1127"/>
      <c r="N41" s="1127"/>
      <c r="O41" s="1140"/>
      <c r="P41" s="3281" t="str">
        <f>A41</f>
        <v>成交单价</v>
      </c>
      <c r="Q41" s="3281"/>
      <c r="R41" s="3312">
        <f>E41</f>
        <v>0</v>
      </c>
      <c r="S41" s="3312"/>
      <c r="T41" s="3312">
        <f>G41</f>
        <v>0</v>
      </c>
      <c r="U41" s="3312"/>
      <c r="V41" s="3312">
        <f>I41</f>
        <v>0</v>
      </c>
      <c r="W41" s="3312"/>
      <c r="X41" s="757"/>
      <c r="Y41" s="779"/>
      <c r="Z41" s="757"/>
      <c r="AA41" s="757"/>
      <c r="AB41" s="757"/>
      <c r="AC41" s="757"/>
    </row>
    <row r="42" spans="1:29" ht="15.75" thickBot="1">
      <c r="A42" s="484" t="s">
        <v>2658</v>
      </c>
      <c r="B42" s="681"/>
      <c r="C42" s="488" t="e">
        <f>R43</f>
        <v>#DIV/0!</v>
      </c>
      <c r="D42" s="487"/>
      <c r="E42" s="488" t="e">
        <f>R42</f>
        <v>#DIV/0!</v>
      </c>
      <c r="F42" s="489"/>
      <c r="G42" s="486" t="e">
        <f>T42</f>
        <v>#DIV/0!</v>
      </c>
      <c r="H42" s="487"/>
      <c r="I42" s="488" t="e">
        <f>V42</f>
        <v>#DIV/0!</v>
      </c>
      <c r="J42" s="487"/>
      <c r="K42" s="782"/>
      <c r="L42" s="1139"/>
      <c r="M42" s="1127"/>
      <c r="N42" s="1127"/>
      <c r="O42" s="1140"/>
      <c r="P42" s="3281" t="str">
        <f>A42</f>
        <v>比较价值（元/平方米）</v>
      </c>
      <c r="Q42" s="3281"/>
      <c r="R42" s="3340" t="e">
        <f>ROUND(PRODUCT(R41,AA7:AA40),0)</f>
        <v>#DIV/0!</v>
      </c>
      <c r="S42" s="3340"/>
      <c r="T42" s="3340" t="e">
        <f>ROUND(PRODUCT(T41,AB7:AB40),0)</f>
        <v>#DIV/0!</v>
      </c>
      <c r="U42" s="3340"/>
      <c r="V42" s="3340" t="e">
        <f>ROUND(PRODUCT(V41,AC7:AC40),0)</f>
        <v>#DIV/0!</v>
      </c>
      <c r="W42" s="3340"/>
      <c r="X42" s="757"/>
      <c r="Y42" s="757"/>
      <c r="Z42" s="757"/>
      <c r="AA42" s="757"/>
      <c r="AB42" s="757"/>
      <c r="AC42" s="757"/>
    </row>
    <row r="43" spans="1:29" ht="15.75" thickBot="1">
      <c r="A43" s="490" t="s">
        <v>2659</v>
      </c>
      <c r="B43" s="491"/>
      <c r="C43" s="492" t="e">
        <f>R43</f>
        <v>#DIV/0!</v>
      </c>
      <c r="D43" s="492"/>
      <c r="E43" s="492"/>
      <c r="F43" s="492"/>
      <c r="G43" s="492"/>
      <c r="H43" s="492"/>
      <c r="I43" s="492"/>
      <c r="J43" s="492"/>
      <c r="K43" s="783"/>
      <c r="L43" s="1139"/>
      <c r="M43" s="1127"/>
      <c r="N43" s="1127"/>
      <c r="O43" s="1140"/>
      <c r="P43" s="3278" t="str">
        <f>A43</f>
        <v>估价对象XX用房的比较价值（楼面单价，元/平方米）</v>
      </c>
      <c r="Q43" s="3279"/>
      <c r="R43" s="3341" t="e">
        <f>ROUND(AVERAGE(R42:V42),0)</f>
        <v>#DIV/0!</v>
      </c>
      <c r="S43" s="3341"/>
      <c r="T43" s="3341"/>
      <c r="U43" s="3341"/>
      <c r="V43" s="3341"/>
      <c r="W43" s="3341"/>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2747</v>
      </c>
      <c r="B50" s="683" t="s">
        <v>2748</v>
      </c>
      <c r="C50" s="2701" t="s">
        <v>2749</v>
      </c>
      <c r="D50" s="2702" t="s">
        <v>2750</v>
      </c>
      <c r="E50" s="684" t="s">
        <v>2751</v>
      </c>
      <c r="F50" s="685" t="s">
        <v>2752</v>
      </c>
      <c r="G50" s="3296" t="s">
        <v>2753</v>
      </c>
      <c r="H50" s="3342"/>
      <c r="I50" s="1810" t="s">
        <v>2790</v>
      </c>
      <c r="J50" s="1810">
        <f>项目基本情况!F35</f>
        <v>0</v>
      </c>
      <c r="K50" s="2704" t="s">
        <v>2755</v>
      </c>
      <c r="L50" s="1102"/>
      <c r="M50" s="1140"/>
      <c r="N50" s="1140"/>
      <c r="O50" s="1140"/>
    </row>
    <row r="51" spans="1:17" s="690" customFormat="1">
      <c r="A51" s="686" t="s">
        <v>2756</v>
      </c>
      <c r="B51" s="687" t="e">
        <f>C43</f>
        <v>#DIV/0!</v>
      </c>
      <c r="C51" s="688">
        <v>1</v>
      </c>
      <c r="D51" s="1159">
        <v>1</v>
      </c>
      <c r="E51" s="688">
        <f>'数据-汇总表'!E8+'数据-汇总表'!E9</f>
        <v>21566.61</v>
      </c>
      <c r="F51" s="689" t="e">
        <f t="shared" ref="F51:F60" si="15">ROUND(B51*E51/10000,0)</f>
        <v>#DIV/0!</v>
      </c>
      <c r="G51" s="3292"/>
      <c r="H51" s="3281"/>
      <c r="I51" s="938">
        <v>1</v>
      </c>
      <c r="J51" s="938">
        <v>1</v>
      </c>
      <c r="K51" s="1141"/>
      <c r="L51" s="937"/>
      <c r="M51" s="937"/>
      <c r="N51" s="937"/>
      <c r="O51" s="937"/>
    </row>
    <row r="52" spans="1:17" s="690" customFormat="1">
      <c r="A52" s="691" t="s">
        <v>2757</v>
      </c>
      <c r="B52" s="260" t="e">
        <f>ROUND($C$43*C52*D52,0)</f>
        <v>#DIV/0!</v>
      </c>
      <c r="C52" s="198">
        <f t="shared" ref="C52:C60" si="16">IF($C$50="北京市系数",I52,J52)</f>
        <v>0.7</v>
      </c>
      <c r="D52" s="1160">
        <v>0.25</v>
      </c>
      <c r="E52" s="692"/>
      <c r="F52" s="689" t="e">
        <f t="shared" si="15"/>
        <v>#DIV/0!</v>
      </c>
      <c r="G52" s="3343" t="s">
        <v>2758</v>
      </c>
      <c r="H52" s="1100" t="str">
        <f>项目基本情况!B37</f>
        <v>六级</v>
      </c>
      <c r="I52" s="938">
        <f>SUMIF(修正!A45:A56,H52,修正!B45:B56)</f>
        <v>0.7</v>
      </c>
      <c r="J52" s="939"/>
      <c r="K52" s="1140"/>
      <c r="L52" s="937"/>
      <c r="M52" s="937"/>
      <c r="N52" s="937"/>
      <c r="O52" s="937"/>
    </row>
    <row r="53" spans="1:17" s="690" customFormat="1">
      <c r="A53" s="691" t="s">
        <v>2759</v>
      </c>
      <c r="B53" s="260" t="e">
        <f t="shared" ref="B53:B60" si="17">ROUND($C$43*C53*D53,0)</f>
        <v>#DIV/0!</v>
      </c>
      <c r="C53" s="198">
        <f t="shared" si="16"/>
        <v>0.4</v>
      </c>
      <c r="D53" s="1160">
        <v>0.25</v>
      </c>
      <c r="E53" s="692"/>
      <c r="F53" s="689" t="e">
        <f t="shared" si="15"/>
        <v>#DIV/0!</v>
      </c>
      <c r="G53" s="3343"/>
      <c r="H53" s="1100" t="str">
        <f>项目基本情况!B37</f>
        <v>六级</v>
      </c>
      <c r="I53" s="938">
        <f>SUMIF(修正!A45:A56,H53,修正!C45:C56)</f>
        <v>0.4</v>
      </c>
      <c r="J53" s="939"/>
      <c r="K53" s="1141"/>
      <c r="L53" s="937"/>
      <c r="M53" s="937"/>
      <c r="N53" s="937"/>
      <c r="O53" s="937"/>
    </row>
    <row r="54" spans="1:17" s="690" customFormat="1">
      <c r="A54" s="691" t="s">
        <v>2760</v>
      </c>
      <c r="B54" s="260" t="e">
        <f t="shared" si="17"/>
        <v>#DIV/0!</v>
      </c>
      <c r="C54" s="198">
        <f t="shared" si="16"/>
        <v>0.28000000000000003</v>
      </c>
      <c r="D54" s="1160">
        <v>0.25</v>
      </c>
      <c r="E54" s="692"/>
      <c r="F54" s="689" t="e">
        <f t="shared" si="15"/>
        <v>#DIV/0!</v>
      </c>
      <c r="G54" s="3343"/>
      <c r="H54" s="1100" t="str">
        <f>项目基本情况!B37</f>
        <v>六级</v>
      </c>
      <c r="I54" s="938">
        <f>SUMIF(修正!A45:A56,H54,修正!D45:D56)</f>
        <v>0.28000000000000003</v>
      </c>
      <c r="J54" s="939"/>
      <c r="K54" s="1140"/>
      <c r="L54" s="937"/>
      <c r="M54" s="937"/>
      <c r="N54" s="937"/>
      <c r="O54" s="937"/>
    </row>
    <row r="55" spans="1:17" s="690" customFormat="1">
      <c r="A55" s="691" t="s">
        <v>2761</v>
      </c>
      <c r="B55" s="260" t="e">
        <f t="shared" si="17"/>
        <v>#DIV/0!</v>
      </c>
      <c r="C55" s="198">
        <f t="shared" si="16"/>
        <v>0.25</v>
      </c>
      <c r="D55" s="1160">
        <v>0.25</v>
      </c>
      <c r="E55" s="692"/>
      <c r="F55" s="689" t="e">
        <f t="shared" si="15"/>
        <v>#DIV/0!</v>
      </c>
      <c r="G55" s="3343"/>
      <c r="H55" s="1100" t="str">
        <f>项目基本情况!B37</f>
        <v>六级</v>
      </c>
      <c r="I55" s="938">
        <f>SUMIF(修正!A45:A56,H55,修正!E45:E56)</f>
        <v>0.25</v>
      </c>
      <c r="J55" s="939"/>
      <c r="K55" s="1141"/>
      <c r="L55" s="937"/>
      <c r="M55" s="937"/>
      <c r="N55" s="937"/>
      <c r="O55" s="937"/>
    </row>
    <row r="56" spans="1:17" s="690" customFormat="1">
      <c r="A56" s="691" t="s">
        <v>2762</v>
      </c>
      <c r="B56" s="260" t="e">
        <f t="shared" si="17"/>
        <v>#DIV/0!</v>
      </c>
      <c r="C56" s="198">
        <f t="shared" si="16"/>
        <v>0.25</v>
      </c>
      <c r="D56" s="1160">
        <v>0.25</v>
      </c>
      <c r="E56" s="259">
        <f>'数据-汇总表'!E11</f>
        <v>0</v>
      </c>
      <c r="F56" s="689" t="e">
        <f t="shared" si="15"/>
        <v>#DIV/0!</v>
      </c>
      <c r="G56" s="2705" t="s">
        <v>2763</v>
      </c>
      <c r="H56" s="1100" t="str">
        <f>项目基本情况!C37</f>
        <v>六级</v>
      </c>
      <c r="I56" s="938">
        <f>SUMIF(修正!A45:A56,H56,修正!F45:F56)</f>
        <v>0.25</v>
      </c>
      <c r="J56" s="939"/>
      <c r="K56" s="1140"/>
      <c r="L56" s="937"/>
      <c r="M56" s="937"/>
      <c r="N56" s="937"/>
      <c r="O56" s="937"/>
    </row>
    <row r="57" spans="1:17" s="690" customFormat="1">
      <c r="A57" s="691" t="s">
        <v>2764</v>
      </c>
      <c r="B57" s="260" t="e">
        <f t="shared" si="17"/>
        <v>#DIV/0!</v>
      </c>
      <c r="C57" s="198">
        <f t="shared" si="16"/>
        <v>0.25</v>
      </c>
      <c r="D57" s="1160">
        <v>0.25</v>
      </c>
      <c r="E57" s="259">
        <f>'数据-汇总表'!E12</f>
        <v>0</v>
      </c>
      <c r="F57" s="689" t="e">
        <f t="shared" si="15"/>
        <v>#DIV/0!</v>
      </c>
      <c r="G57" s="1105" t="s">
        <v>2765</v>
      </c>
      <c r="H57" s="1100" t="str">
        <f>IF(G57="商业",项目基本情况!B37,IF(G57="办公",项目基本情况!C37,IF(G57="住宅",项目基本情况!D37,项目基本情况!E37)))</f>
        <v>六级</v>
      </c>
      <c r="I57" s="938">
        <f>SUMIF(修正!A45:A56,H57,修正!G45:G56)</f>
        <v>0.25</v>
      </c>
      <c r="J57" s="939"/>
      <c r="K57" s="1141"/>
      <c r="L57" s="937"/>
      <c r="M57" s="937"/>
      <c r="N57" s="937"/>
      <c r="O57" s="937"/>
    </row>
    <row r="58" spans="1:17" s="690" customFormat="1">
      <c r="A58" s="691" t="s">
        <v>2766</v>
      </c>
      <c r="B58" s="260" t="e">
        <f t="shared" si="17"/>
        <v>#DIV/0!</v>
      </c>
      <c r="C58" s="198">
        <f t="shared" si="16"/>
        <v>0</v>
      </c>
      <c r="D58" s="1160">
        <v>0.25</v>
      </c>
      <c r="E58" s="259">
        <f>'数据-汇总表'!E13</f>
        <v>0</v>
      </c>
      <c r="F58" s="689" t="e">
        <f t="shared" si="15"/>
        <v>#DIV/0!</v>
      </c>
      <c r="G58" s="1105" t="s">
        <v>2767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2768</v>
      </c>
      <c r="B59" s="260" t="e">
        <f t="shared" si="17"/>
        <v>#DIV/0!</v>
      </c>
      <c r="C59" s="198">
        <f t="shared" si="16"/>
        <v>0.2</v>
      </c>
      <c r="D59" s="1160">
        <v>0.25</v>
      </c>
      <c r="E59" s="259">
        <f>'数据-汇总表'!E14</f>
        <v>0</v>
      </c>
      <c r="F59" s="689" t="e">
        <f t="shared" si="15"/>
        <v>#DIV/0!</v>
      </c>
      <c r="G59" s="2705" t="s">
        <v>2758</v>
      </c>
      <c r="H59" s="1100" t="str">
        <f>项目基本情况!B37</f>
        <v>六级</v>
      </c>
      <c r="I59" s="938">
        <f>SUMIF(修正!A45:A56,H59,修正!H45:H56)</f>
        <v>0.2</v>
      </c>
      <c r="J59" s="939"/>
      <c r="K59" s="1141"/>
      <c r="L59" s="937"/>
      <c r="M59" s="937"/>
      <c r="N59" s="937"/>
      <c r="O59" s="937"/>
    </row>
    <row r="60" spans="1:17" s="690" customFormat="1" ht="15" thickBot="1">
      <c r="A60" s="691" t="s">
        <v>2769</v>
      </c>
      <c r="B60" s="260" t="e">
        <f t="shared" si="17"/>
        <v>#DIV/0!</v>
      </c>
      <c r="C60" s="198">
        <f t="shared" si="16"/>
        <v>0.2</v>
      </c>
      <c r="D60" s="1160">
        <v>0.25</v>
      </c>
      <c r="E60" s="259">
        <f>'数据-汇总表'!E15</f>
        <v>4788.67</v>
      </c>
      <c r="F60" s="689" t="e">
        <f t="shared" si="15"/>
        <v>#DIV/0!</v>
      </c>
      <c r="G60" s="2706" t="s">
        <v>2763</v>
      </c>
      <c r="H60" s="1110" t="str">
        <f>项目基本情况!C37</f>
        <v>六级</v>
      </c>
      <c r="I60" s="938">
        <f>SUMIF(修正!A45:A56,H60,修正!H45:H56)</f>
        <v>0.2</v>
      </c>
      <c r="J60" s="939"/>
      <c r="K60" s="1140"/>
      <c r="L60" s="937"/>
      <c r="M60" s="937"/>
      <c r="N60" s="937"/>
      <c r="O60" s="937"/>
    </row>
    <row r="61" spans="1:17" s="690" customFormat="1" ht="15" thickBot="1">
      <c r="A61" s="693" t="s">
        <v>2770</v>
      </c>
      <c r="B61" s="694" t="s">
        <v>28</v>
      </c>
      <c r="C61" s="694" t="s">
        <v>29</v>
      </c>
      <c r="D61" s="694" t="s">
        <v>1026</v>
      </c>
      <c r="E61" s="694">
        <f>IF(B41="楼面地价",SUM(E51:E60),'数据-汇总表'!D3)</f>
        <v>11364.7</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2663</v>
      </c>
      <c r="B64" s="757"/>
      <c r="C64" s="762"/>
      <c r="D64" s="762"/>
      <c r="E64" s="762"/>
      <c r="F64" s="763"/>
      <c r="G64" s="763"/>
      <c r="H64" s="762"/>
      <c r="I64" s="762"/>
      <c r="J64" s="762"/>
      <c r="K64" s="764"/>
      <c r="L64" s="765"/>
      <c r="M64" s="762"/>
      <c r="N64" s="762"/>
      <c r="O64" s="1155"/>
      <c r="P64" s="501"/>
      <c r="Q64" s="502"/>
    </row>
    <row r="65" spans="1:17" s="506" customFormat="1" ht="15">
      <c r="A65" s="2707" t="s">
        <v>2771</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5"/>
    </row>
    <row r="66" spans="1:17" s="115" customFormat="1" ht="30.75" customHeight="1">
      <c r="A66" s="2712" t="s">
        <v>2791</v>
      </c>
      <c r="B66" s="330" t="str">
        <f>"北京市平均增长率"&amp;TEXT('基准地价修正-商业'!P24,"0.00%")</f>
        <v>北京市平均增长率1.40%</v>
      </c>
      <c r="C66" s="601">
        <v>100</v>
      </c>
      <c r="D66" s="593"/>
      <c r="E66" s="593"/>
      <c r="F66" s="593"/>
      <c r="G66" s="593"/>
      <c r="H66" s="593"/>
      <c r="I66" s="593"/>
      <c r="J66" s="593"/>
      <c r="K66" s="593"/>
      <c r="L66" s="593"/>
      <c r="M66" s="1563"/>
      <c r="N66" s="1563"/>
      <c r="O66" s="1565"/>
      <c r="P66" s="502"/>
    </row>
    <row r="67" spans="1:17" s="115" customFormat="1" ht="15.75" thickBot="1">
      <c r="A67" s="513" t="s">
        <v>2574</v>
      </c>
      <c r="B67" s="514"/>
      <c r="C67" s="515"/>
      <c r="D67" s="516"/>
      <c r="E67" s="516"/>
      <c r="F67" s="516"/>
      <c r="G67" s="516"/>
      <c r="H67" s="516"/>
      <c r="I67" s="516"/>
      <c r="J67" s="516"/>
      <c r="K67" s="516"/>
      <c r="L67" s="516"/>
      <c r="M67" s="517"/>
      <c r="N67" s="517"/>
      <c r="O67" s="518"/>
      <c r="P67" s="502"/>
      <c r="Q67" s="502"/>
    </row>
    <row r="68" spans="1:17" s="115" customFormat="1" ht="15">
      <c r="A68" s="519" t="s">
        <v>2539</v>
      </c>
      <c r="B68" s="508"/>
      <c r="C68" s="520" t="s">
        <v>2641</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2577</v>
      </c>
      <c r="B70" s="526" t="s">
        <v>2543</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2546</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2548</v>
      </c>
      <c r="B83" s="526" t="s">
        <v>2694</v>
      </c>
      <c r="C83" s="571" t="s">
        <v>2586</v>
      </c>
      <c r="D83" s="571" t="s">
        <v>2587</v>
      </c>
      <c r="E83" s="571" t="s">
        <v>2588</v>
      </c>
      <c r="F83" s="571" t="s">
        <v>2589</v>
      </c>
      <c r="G83" s="571" t="s">
        <v>2590</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2591</v>
      </c>
      <c r="C85" s="576" t="s">
        <v>2586</v>
      </c>
      <c r="D85" s="576" t="s">
        <v>2587</v>
      </c>
      <c r="E85" s="576" t="s">
        <v>2588</v>
      </c>
      <c r="F85" s="576" t="s">
        <v>2589</v>
      </c>
      <c r="G85" s="576" t="s">
        <v>2590</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2774</v>
      </c>
      <c r="C87" s="571" t="s">
        <v>2586</v>
      </c>
      <c r="D87" s="571" t="s">
        <v>2587</v>
      </c>
      <c r="E87" s="571" t="s">
        <v>2588</v>
      </c>
      <c r="F87" s="571" t="s">
        <v>2589</v>
      </c>
      <c r="G87" s="571" t="s">
        <v>2590</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2775</v>
      </c>
      <c r="C89" s="571" t="s">
        <v>2586</v>
      </c>
      <c r="D89" s="571" t="s">
        <v>2587</v>
      </c>
      <c r="E89" s="571" t="s">
        <v>2588</v>
      </c>
      <c r="F89" s="571" t="s">
        <v>2589</v>
      </c>
      <c r="G89" s="571" t="s">
        <v>2590</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2643</v>
      </c>
      <c r="C91" s="571" t="s">
        <v>2586</v>
      </c>
      <c r="D91" s="571" t="s">
        <v>2587</v>
      </c>
      <c r="E91" s="571" t="s">
        <v>2588</v>
      </c>
      <c r="F91" s="571" t="s">
        <v>2589</v>
      </c>
      <c r="G91" s="571" t="s">
        <v>2590</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2792</v>
      </c>
      <c r="C93" s="658" t="s">
        <v>2664</v>
      </c>
      <c r="D93" s="658" t="s">
        <v>2665</v>
      </c>
      <c r="E93" s="658" t="s">
        <v>2666</v>
      </c>
      <c r="F93" s="658" t="s">
        <v>2667</v>
      </c>
      <c r="G93" s="658" t="s">
        <v>2668</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2776</v>
      </c>
      <c r="D95" s="537" t="s">
        <v>2777</v>
      </c>
      <c r="E95" s="537" t="s">
        <v>2778</v>
      </c>
      <c r="F95" s="537" t="s">
        <v>2779</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2680</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2739</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2552</v>
      </c>
      <c r="B107" s="526" t="s">
        <v>2780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2781</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2783</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2784</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8" t="s">
        <v>183</v>
      </c>
      <c r="B18" s="878" t="s">
        <v>560</v>
      </c>
      <c r="C18" s="879" t="s">
        <v>561</v>
      </c>
      <c r="D18" s="880"/>
      <c r="E18" s="878">
        <v>1</v>
      </c>
      <c r="F18" s="881" t="s">
        <v>562</v>
      </c>
      <c r="G18" s="882"/>
      <c r="H18" s="874"/>
      <c r="I18" s="874"/>
    </row>
    <row r="19" spans="1:9" s="883" customFormat="1" ht="19.5" customHeight="1">
      <c r="A19" s="3348"/>
      <c r="B19" s="3348" t="s">
        <v>563</v>
      </c>
      <c r="C19" s="879" t="s">
        <v>564</v>
      </c>
      <c r="D19" s="880"/>
      <c r="E19" s="878">
        <v>0.9</v>
      </c>
      <c r="F19" s="881" t="s">
        <v>565</v>
      </c>
      <c r="G19" s="882"/>
      <c r="H19" s="874"/>
      <c r="I19" s="874"/>
    </row>
    <row r="20" spans="1:9" s="883" customFormat="1" ht="19.5" customHeight="1">
      <c r="A20" s="3348"/>
      <c r="B20" s="3348"/>
      <c r="C20" s="879" t="s">
        <v>566</v>
      </c>
      <c r="D20" s="880"/>
      <c r="E20" s="878">
        <v>1.1000000000000001</v>
      </c>
      <c r="F20" s="881" t="s">
        <v>567</v>
      </c>
      <c r="G20" s="882"/>
      <c r="H20" s="874"/>
      <c r="I20" s="874"/>
    </row>
    <row r="21" spans="1:9" s="883" customFormat="1" ht="19.5" customHeight="1">
      <c r="A21" s="3348"/>
      <c r="B21" s="3348"/>
      <c r="C21" s="879" t="s">
        <v>568</v>
      </c>
      <c r="D21" s="880"/>
      <c r="E21" s="878">
        <v>0.8</v>
      </c>
      <c r="F21" s="881" t="s">
        <v>569</v>
      </c>
      <c r="G21" s="882"/>
      <c r="H21" s="874"/>
      <c r="I21" s="874"/>
    </row>
    <row r="22" spans="1:9" s="883" customFormat="1" ht="19.5" customHeight="1">
      <c r="A22" s="3348"/>
      <c r="B22" s="3348"/>
      <c r="C22" s="879" t="s">
        <v>570</v>
      </c>
      <c r="D22" s="880"/>
      <c r="E22" s="878">
        <v>0.5</v>
      </c>
      <c r="F22" s="881"/>
      <c r="G22" s="882"/>
      <c r="H22" s="874"/>
      <c r="I22" s="874"/>
    </row>
    <row r="23" spans="1:9" s="883" customFormat="1" ht="19.5" customHeight="1">
      <c r="A23" s="3348" t="s">
        <v>184</v>
      </c>
      <c r="B23" s="878" t="s">
        <v>560</v>
      </c>
      <c r="C23" s="879" t="s">
        <v>571</v>
      </c>
      <c r="D23" s="880"/>
      <c r="E23" s="878">
        <v>1</v>
      </c>
      <c r="F23" s="881" t="s">
        <v>572</v>
      </c>
      <c r="G23" s="882"/>
      <c r="H23" s="874"/>
      <c r="I23" s="874"/>
    </row>
    <row r="24" spans="1:9" s="883" customFormat="1" ht="19.5" customHeight="1">
      <c r="A24" s="3348"/>
      <c r="B24" s="3348" t="s">
        <v>563</v>
      </c>
      <c r="C24" s="879" t="s">
        <v>573</v>
      </c>
      <c r="D24" s="880"/>
      <c r="E24" s="878">
        <v>0.5</v>
      </c>
      <c r="F24" s="881"/>
      <c r="G24" s="882"/>
      <c r="H24" s="874"/>
      <c r="I24" s="874"/>
    </row>
    <row r="25" spans="1:9" s="883" customFormat="1" ht="19.5" customHeight="1">
      <c r="A25" s="3348"/>
      <c r="B25" s="3348"/>
      <c r="C25" s="879" t="s">
        <v>574</v>
      </c>
      <c r="D25" s="880"/>
      <c r="E25" s="878">
        <v>1.1000000000000001</v>
      </c>
      <c r="F25" s="881"/>
      <c r="G25" s="882"/>
      <c r="H25" s="874"/>
      <c r="I25" s="874"/>
    </row>
    <row r="26" spans="1:9" s="883" customFormat="1" ht="19.5" customHeight="1">
      <c r="A26" s="3348"/>
      <c r="B26" s="3348"/>
      <c r="C26" s="879" t="s">
        <v>575</v>
      </c>
      <c r="D26" s="880"/>
      <c r="E26" s="878">
        <v>1.1000000000000001</v>
      </c>
      <c r="F26" s="881"/>
      <c r="G26" s="882"/>
      <c r="H26" s="874"/>
      <c r="I26" s="874"/>
    </row>
    <row r="27" spans="1:9" s="883" customFormat="1" ht="19.5" customHeight="1">
      <c r="A27" s="3348"/>
      <c r="B27" s="3348"/>
      <c r="C27" s="879" t="s">
        <v>576</v>
      </c>
      <c r="D27" s="880"/>
      <c r="E27" s="878">
        <v>0.9</v>
      </c>
      <c r="F27" s="881" t="s">
        <v>577</v>
      </c>
      <c r="G27" s="882"/>
      <c r="H27" s="874"/>
      <c r="I27" s="874"/>
    </row>
    <row r="28" spans="1:9" s="883" customFormat="1" ht="19.5" customHeight="1">
      <c r="A28" s="3348"/>
      <c r="B28" s="3348"/>
      <c r="C28" s="879" t="s">
        <v>578</v>
      </c>
      <c r="D28" s="880"/>
      <c r="E28" s="878">
        <v>0.9</v>
      </c>
      <c r="F28" s="881" t="s">
        <v>579</v>
      </c>
      <c r="G28" s="882"/>
      <c r="H28" s="874"/>
      <c r="I28" s="874"/>
    </row>
    <row r="29" spans="1:9" s="883" customFormat="1" ht="19.5" customHeight="1">
      <c r="A29" s="3348"/>
      <c r="B29" s="3348"/>
      <c r="C29" s="879" t="s">
        <v>580</v>
      </c>
      <c r="D29" s="880"/>
      <c r="E29" s="878">
        <v>0.9</v>
      </c>
      <c r="F29" s="881" t="s">
        <v>581</v>
      </c>
      <c r="G29" s="882"/>
      <c r="H29" s="874"/>
      <c r="I29" s="874"/>
    </row>
    <row r="30" spans="1:9" s="883" customFormat="1" ht="19.5" customHeight="1">
      <c r="A30" s="3348"/>
      <c r="B30" s="3348"/>
      <c r="C30" s="879" t="s">
        <v>582</v>
      </c>
      <c r="D30" s="880"/>
      <c r="E30" s="878">
        <v>0.9</v>
      </c>
      <c r="F30" s="881" t="s">
        <v>583</v>
      </c>
      <c r="G30" s="882"/>
      <c r="H30" s="874"/>
      <c r="I30" s="874"/>
    </row>
    <row r="31" spans="1:9" s="883" customFormat="1" ht="19.5" customHeight="1">
      <c r="A31" s="3348"/>
      <c r="B31" s="3348"/>
      <c r="C31" s="879" t="s">
        <v>584</v>
      </c>
      <c r="D31" s="880"/>
      <c r="E31" s="878">
        <v>0.8</v>
      </c>
      <c r="F31" s="881" t="s">
        <v>585</v>
      </c>
      <c r="G31" s="882"/>
      <c r="H31" s="874"/>
      <c r="I31" s="874"/>
    </row>
    <row r="32" spans="1:9" s="883" customFormat="1" ht="19.5" customHeight="1">
      <c r="A32" s="3348"/>
      <c r="B32" s="3348"/>
      <c r="C32" s="879" t="s">
        <v>586</v>
      </c>
      <c r="D32" s="880"/>
      <c r="E32" s="878">
        <v>0.8</v>
      </c>
      <c r="F32" s="881" t="s">
        <v>587</v>
      </c>
      <c r="G32" s="882"/>
      <c r="H32" s="874"/>
      <c r="I32" s="874"/>
    </row>
    <row r="33" spans="1:9" s="883" customFormat="1" ht="19.5" customHeight="1">
      <c r="A33" s="3348" t="s">
        <v>185</v>
      </c>
      <c r="B33" s="878" t="s">
        <v>560</v>
      </c>
      <c r="C33" s="879" t="s">
        <v>588</v>
      </c>
      <c r="D33" s="880"/>
      <c r="E33" s="878">
        <v>1</v>
      </c>
      <c r="F33" s="881" t="s">
        <v>589</v>
      </c>
      <c r="G33" s="882"/>
      <c r="H33" s="874"/>
      <c r="I33" s="874"/>
    </row>
    <row r="34" spans="1:9" s="883" customFormat="1" ht="19.5" customHeight="1">
      <c r="A34" s="3348"/>
      <c r="B34" s="878" t="s">
        <v>563</v>
      </c>
      <c r="C34" s="879" t="s">
        <v>590</v>
      </c>
      <c r="D34" s="880"/>
      <c r="E34" s="878">
        <v>1.5</v>
      </c>
      <c r="F34" s="881" t="s">
        <v>591</v>
      </c>
      <c r="G34" s="882"/>
      <c r="H34" s="874"/>
      <c r="I34" s="874"/>
    </row>
    <row r="35" spans="1:9" s="883" customFormat="1" ht="19.5" customHeight="1">
      <c r="A35" s="3348" t="s">
        <v>186</v>
      </c>
      <c r="B35" s="878" t="s">
        <v>560</v>
      </c>
      <c r="C35" s="879" t="s">
        <v>592</v>
      </c>
      <c r="D35" s="880"/>
      <c r="E35" s="878">
        <v>1</v>
      </c>
      <c r="F35" s="881" t="s">
        <v>593</v>
      </c>
      <c r="G35" s="882"/>
      <c r="H35" s="874"/>
      <c r="I35" s="874"/>
    </row>
    <row r="36" spans="1:9" s="883" customFormat="1" ht="19.5" customHeight="1">
      <c r="A36" s="3348"/>
      <c r="B36" s="3348" t="s">
        <v>563</v>
      </c>
      <c r="C36" s="879" t="s">
        <v>594</v>
      </c>
      <c r="D36" s="880"/>
      <c r="E36" s="878">
        <v>1</v>
      </c>
      <c r="F36" s="881" t="s">
        <v>595</v>
      </c>
      <c r="G36" s="882"/>
      <c r="H36" s="874"/>
      <c r="I36" s="874"/>
    </row>
    <row r="37" spans="1:9" s="883" customFormat="1" ht="19.5" customHeight="1">
      <c r="A37" s="3348"/>
      <c r="B37" s="3348"/>
      <c r="C37" s="879" t="s">
        <v>596</v>
      </c>
      <c r="D37" s="880"/>
      <c r="E37" s="878">
        <v>1.5</v>
      </c>
      <c r="F37" s="881" t="s">
        <v>597</v>
      </c>
      <c r="G37" s="882"/>
      <c r="H37" s="874"/>
      <c r="I37" s="874"/>
    </row>
    <row r="38" spans="1:9" s="883" customFormat="1" ht="19.5" customHeight="1">
      <c r="A38" s="3348"/>
      <c r="B38" s="3348"/>
      <c r="C38" s="879" t="s">
        <v>598</v>
      </c>
      <c r="D38" s="880"/>
      <c r="E38" s="878">
        <v>1</v>
      </c>
      <c r="F38" s="881" t="s">
        <v>599</v>
      </c>
      <c r="G38" s="882"/>
      <c r="H38" s="874"/>
      <c r="I38" s="874"/>
    </row>
    <row r="39" spans="1:9" s="883" customFormat="1" ht="19.5" customHeight="1">
      <c r="A39" s="3348"/>
      <c r="B39" s="334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8" t="s">
        <v>614</v>
      </c>
      <c r="C61" s="814" t="s">
        <v>615</v>
      </c>
      <c r="D61" s="814" t="s">
        <v>616</v>
      </c>
      <c r="E61" s="891">
        <v>0.5</v>
      </c>
      <c r="F61" s="878">
        <v>80</v>
      </c>
    </row>
    <row r="62" spans="1:8" s="874" customFormat="1" ht="24">
      <c r="A62" s="878">
        <v>2</v>
      </c>
      <c r="B62" s="3348"/>
      <c r="C62" s="814" t="s">
        <v>617</v>
      </c>
      <c r="D62" s="814" t="s">
        <v>618</v>
      </c>
      <c r="E62" s="891">
        <v>0.5</v>
      </c>
      <c r="F62" s="878">
        <v>80</v>
      </c>
    </row>
    <row r="63" spans="1:8" s="874" customFormat="1" ht="36">
      <c r="A63" s="878">
        <v>3</v>
      </c>
      <c r="B63" s="3348"/>
      <c r="C63" s="814" t="s">
        <v>619</v>
      </c>
      <c r="D63" s="814" t="s">
        <v>620</v>
      </c>
      <c r="E63" s="891">
        <v>0.5</v>
      </c>
      <c r="F63" s="878">
        <v>80</v>
      </c>
    </row>
    <row r="64" spans="1:8" s="874" customFormat="1" ht="36">
      <c r="A64" s="878">
        <v>4</v>
      </c>
      <c r="B64" s="3348"/>
      <c r="C64" s="814" t="s">
        <v>621</v>
      </c>
      <c r="D64" s="814" t="s">
        <v>622</v>
      </c>
      <c r="E64" s="891">
        <v>0.4</v>
      </c>
      <c r="F64" s="878">
        <v>60</v>
      </c>
    </row>
    <row r="65" spans="1:6" s="874" customFormat="1" ht="36">
      <c r="A65" s="878">
        <v>5</v>
      </c>
      <c r="B65" s="3348"/>
      <c r="C65" s="814" t="s">
        <v>623</v>
      </c>
      <c r="D65" s="814" t="s">
        <v>624</v>
      </c>
      <c r="E65" s="891">
        <v>0.2</v>
      </c>
      <c r="F65" s="878">
        <v>30</v>
      </c>
    </row>
    <row r="66" spans="1:6" s="874" customFormat="1" ht="36">
      <c r="A66" s="878">
        <v>6</v>
      </c>
      <c r="B66" s="3348"/>
      <c r="C66" s="814" t="s">
        <v>625</v>
      </c>
      <c r="D66" s="814" t="s">
        <v>626</v>
      </c>
      <c r="E66" s="891">
        <v>0.3</v>
      </c>
      <c r="F66" s="878">
        <v>50</v>
      </c>
    </row>
    <row r="67" spans="1:6" s="874" customFormat="1" ht="36">
      <c r="A67" s="878">
        <v>7</v>
      </c>
      <c r="B67" s="3348"/>
      <c r="C67" s="814" t="s">
        <v>627</v>
      </c>
      <c r="D67" s="814" t="s">
        <v>628</v>
      </c>
      <c r="E67" s="891">
        <v>0.2</v>
      </c>
      <c r="F67" s="878">
        <v>30</v>
      </c>
    </row>
    <row r="68" spans="1:6" s="874" customFormat="1" ht="36">
      <c r="A68" s="878">
        <v>8</v>
      </c>
      <c r="B68" s="3348"/>
      <c r="C68" s="814" t="s">
        <v>629</v>
      </c>
      <c r="D68" s="814" t="s">
        <v>630</v>
      </c>
      <c r="E68" s="891">
        <v>0.2</v>
      </c>
      <c r="F68" s="878">
        <v>30</v>
      </c>
    </row>
    <row r="69" spans="1:6" s="874" customFormat="1" ht="36">
      <c r="A69" s="878">
        <v>9</v>
      </c>
      <c r="B69" s="3348"/>
      <c r="C69" s="814" t="s">
        <v>631</v>
      </c>
      <c r="D69" s="814" t="s">
        <v>632</v>
      </c>
      <c r="E69" s="891">
        <v>0.2</v>
      </c>
      <c r="F69" s="878">
        <v>30</v>
      </c>
    </row>
    <row r="70" spans="1:6" s="874" customFormat="1" ht="48">
      <c r="A70" s="878">
        <v>10</v>
      </c>
      <c r="B70" s="3348"/>
      <c r="C70" s="814" t="s">
        <v>633</v>
      </c>
      <c r="D70" s="814" t="s">
        <v>634</v>
      </c>
      <c r="E70" s="891">
        <v>0.2</v>
      </c>
      <c r="F70" s="878">
        <v>30</v>
      </c>
    </row>
    <row r="71" spans="1:6" s="874" customFormat="1" ht="48">
      <c r="A71" s="878">
        <v>11</v>
      </c>
      <c r="B71" s="3348"/>
      <c r="C71" s="814" t="s">
        <v>635</v>
      </c>
      <c r="D71" s="814" t="s">
        <v>636</v>
      </c>
      <c r="E71" s="891">
        <v>0.2</v>
      </c>
      <c r="F71" s="878">
        <v>30</v>
      </c>
    </row>
    <row r="72" spans="1:6" s="874" customFormat="1" ht="36">
      <c r="A72" s="878">
        <v>12</v>
      </c>
      <c r="B72" s="3348"/>
      <c r="C72" s="814" t="s">
        <v>637</v>
      </c>
      <c r="D72" s="814" t="s">
        <v>638</v>
      </c>
      <c r="E72" s="891">
        <v>0.5</v>
      </c>
      <c r="F72" s="878">
        <v>80</v>
      </c>
    </row>
    <row r="73" spans="1:6" s="874" customFormat="1" ht="24">
      <c r="A73" s="878">
        <v>13</v>
      </c>
      <c r="B73" s="3348"/>
      <c r="C73" s="814" t="s">
        <v>639</v>
      </c>
      <c r="D73" s="814" t="s">
        <v>640</v>
      </c>
      <c r="E73" s="891">
        <v>0.4</v>
      </c>
      <c r="F73" s="878">
        <v>60</v>
      </c>
    </row>
    <row r="74" spans="1:6" s="874" customFormat="1" ht="24">
      <c r="A74" s="878">
        <v>14</v>
      </c>
      <c r="B74" s="3348"/>
      <c r="C74" s="814" t="s">
        <v>641</v>
      </c>
      <c r="D74" s="814" t="s">
        <v>642</v>
      </c>
      <c r="E74" s="891">
        <v>0.2</v>
      </c>
      <c r="F74" s="878">
        <v>30</v>
      </c>
    </row>
    <row r="75" spans="1:6" s="874" customFormat="1" ht="24">
      <c r="A75" s="878">
        <v>15</v>
      </c>
      <c r="B75" s="3348"/>
      <c r="C75" s="814" t="s">
        <v>643</v>
      </c>
      <c r="D75" s="814" t="s">
        <v>644</v>
      </c>
      <c r="E75" s="891">
        <v>0.2</v>
      </c>
      <c r="F75" s="878">
        <v>30</v>
      </c>
    </row>
    <row r="76" spans="1:6" s="874" customFormat="1" ht="24">
      <c r="A76" s="878">
        <v>16</v>
      </c>
      <c r="B76" s="3348" t="s">
        <v>645</v>
      </c>
      <c r="C76" s="814" t="s">
        <v>646</v>
      </c>
      <c r="D76" s="814" t="s">
        <v>647</v>
      </c>
      <c r="E76" s="891">
        <v>0.5</v>
      </c>
      <c r="F76" s="878">
        <v>80</v>
      </c>
    </row>
    <row r="77" spans="1:6" s="874" customFormat="1" ht="24">
      <c r="A77" s="878">
        <v>17</v>
      </c>
      <c r="B77" s="3348"/>
      <c r="C77" s="814" t="s">
        <v>648</v>
      </c>
      <c r="D77" s="814" t="s">
        <v>649</v>
      </c>
      <c r="E77" s="891">
        <v>0.5</v>
      </c>
      <c r="F77" s="878">
        <v>80</v>
      </c>
    </row>
    <row r="78" spans="1:6" s="874" customFormat="1" ht="24">
      <c r="A78" s="878">
        <v>18</v>
      </c>
      <c r="B78" s="3348"/>
      <c r="C78" s="814" t="s">
        <v>650</v>
      </c>
      <c r="D78" s="814" t="s">
        <v>651</v>
      </c>
      <c r="E78" s="891">
        <v>0.2</v>
      </c>
      <c r="F78" s="878">
        <v>30</v>
      </c>
    </row>
    <row r="79" spans="1:6" s="874" customFormat="1" ht="24">
      <c r="A79" s="878">
        <v>19</v>
      </c>
      <c r="B79" s="3348"/>
      <c r="C79" s="814" t="s">
        <v>652</v>
      </c>
      <c r="D79" s="814" t="s">
        <v>653</v>
      </c>
      <c r="E79" s="891">
        <v>0.5</v>
      </c>
      <c r="F79" s="878">
        <v>80</v>
      </c>
    </row>
    <row r="80" spans="1:6" s="874" customFormat="1" ht="36">
      <c r="A80" s="878">
        <v>20</v>
      </c>
      <c r="B80" s="3348"/>
      <c r="C80" s="814" t="s">
        <v>654</v>
      </c>
      <c r="D80" s="814" t="s">
        <v>655</v>
      </c>
      <c r="E80" s="891">
        <v>0.2</v>
      </c>
      <c r="F80" s="878">
        <v>30</v>
      </c>
    </row>
    <row r="81" spans="1:6" s="874" customFormat="1" ht="36">
      <c r="A81" s="878">
        <v>21</v>
      </c>
      <c r="B81" s="3348"/>
      <c r="C81" s="814" t="s">
        <v>656</v>
      </c>
      <c r="D81" s="814" t="s">
        <v>657</v>
      </c>
      <c r="E81" s="891">
        <v>0.2</v>
      </c>
      <c r="F81" s="878">
        <v>30</v>
      </c>
    </row>
    <row r="82" spans="1:6" s="874" customFormat="1" ht="48">
      <c r="A82" s="878">
        <v>22</v>
      </c>
      <c r="B82" s="3348"/>
      <c r="C82" s="814" t="s">
        <v>658</v>
      </c>
      <c r="D82" s="814" t="s">
        <v>659</v>
      </c>
      <c r="E82" s="891">
        <v>0.2</v>
      </c>
      <c r="F82" s="878">
        <v>30</v>
      </c>
    </row>
    <row r="83" spans="1:6" s="874" customFormat="1" ht="48">
      <c r="A83" s="878">
        <v>23</v>
      </c>
      <c r="B83" s="3348"/>
      <c r="C83" s="814" t="s">
        <v>660</v>
      </c>
      <c r="D83" s="814" t="s">
        <v>661</v>
      </c>
      <c r="E83" s="891">
        <v>0.2</v>
      </c>
      <c r="F83" s="878">
        <v>30</v>
      </c>
    </row>
    <row r="84" spans="1:6" s="874" customFormat="1" ht="36">
      <c r="A84" s="878">
        <v>24</v>
      </c>
      <c r="B84" s="3348"/>
      <c r="C84" s="814" t="s">
        <v>662</v>
      </c>
      <c r="D84" s="814" t="s">
        <v>663</v>
      </c>
      <c r="E84" s="891">
        <v>0.2</v>
      </c>
      <c r="F84" s="878">
        <v>30</v>
      </c>
    </row>
    <row r="85" spans="1:6" s="874" customFormat="1" ht="36">
      <c r="A85" s="878">
        <v>25</v>
      </c>
      <c r="B85" s="3348"/>
      <c r="C85" s="814" t="s">
        <v>664</v>
      </c>
      <c r="D85" s="814" t="s">
        <v>665</v>
      </c>
      <c r="E85" s="891">
        <v>0.5</v>
      </c>
      <c r="F85" s="878">
        <v>80</v>
      </c>
    </row>
    <row r="86" spans="1:6" s="874" customFormat="1" ht="36">
      <c r="A86" s="878">
        <v>26</v>
      </c>
      <c r="B86" s="3348"/>
      <c r="C86" s="814" t="s">
        <v>666</v>
      </c>
      <c r="D86" s="814" t="s">
        <v>667</v>
      </c>
      <c r="E86" s="891">
        <v>0.2</v>
      </c>
      <c r="F86" s="878">
        <v>30</v>
      </c>
    </row>
    <row r="87" spans="1:6" s="874" customFormat="1" ht="36">
      <c r="A87" s="878">
        <v>27</v>
      </c>
      <c r="B87" s="3348"/>
      <c r="C87" s="814" t="s">
        <v>668</v>
      </c>
      <c r="D87" s="814" t="s">
        <v>669</v>
      </c>
      <c r="E87" s="891">
        <v>0.2</v>
      </c>
      <c r="F87" s="878">
        <v>30</v>
      </c>
    </row>
    <row r="88" spans="1:6" s="874" customFormat="1" ht="36">
      <c r="A88" s="878">
        <v>28</v>
      </c>
      <c r="B88" s="3348"/>
      <c r="C88" s="814" t="s">
        <v>670</v>
      </c>
      <c r="D88" s="814" t="s">
        <v>671</v>
      </c>
      <c r="E88" s="891">
        <v>0.2</v>
      </c>
      <c r="F88" s="878">
        <v>30</v>
      </c>
    </row>
    <row r="89" spans="1:6" s="874" customFormat="1" ht="24">
      <c r="A89" s="878">
        <v>29</v>
      </c>
      <c r="B89" s="3348"/>
      <c r="C89" s="814" t="s">
        <v>672</v>
      </c>
      <c r="D89" s="814" t="s">
        <v>673</v>
      </c>
      <c r="E89" s="891">
        <v>0.2</v>
      </c>
      <c r="F89" s="878">
        <v>30</v>
      </c>
    </row>
    <row r="90" spans="1:6" s="874" customFormat="1" ht="24">
      <c r="A90" s="878">
        <v>30</v>
      </c>
      <c r="B90" s="3348"/>
      <c r="C90" s="814" t="s">
        <v>674</v>
      </c>
      <c r="D90" s="814" t="s">
        <v>675</v>
      </c>
      <c r="E90" s="891">
        <v>0.2</v>
      </c>
      <c r="F90" s="878">
        <v>30</v>
      </c>
    </row>
    <row r="91" spans="1:6" s="874" customFormat="1" ht="36">
      <c r="A91" s="878">
        <v>31</v>
      </c>
      <c r="B91" s="3348"/>
      <c r="C91" s="814" t="s">
        <v>676</v>
      </c>
      <c r="D91" s="814" t="s">
        <v>677</v>
      </c>
      <c r="E91" s="891">
        <v>0.2</v>
      </c>
      <c r="F91" s="878">
        <v>30</v>
      </c>
    </row>
    <row r="92" spans="1:6" s="874" customFormat="1" ht="24">
      <c r="A92" s="878">
        <v>32</v>
      </c>
      <c r="B92" s="3348" t="s">
        <v>678</v>
      </c>
      <c r="C92" s="878" t="s">
        <v>679</v>
      </c>
      <c r="D92" s="814" t="s">
        <v>680</v>
      </c>
      <c r="E92" s="891">
        <v>0.2</v>
      </c>
      <c r="F92" s="878">
        <v>30</v>
      </c>
    </row>
    <row r="93" spans="1:6" s="874" customFormat="1" ht="36">
      <c r="A93" s="878">
        <v>33</v>
      </c>
      <c r="B93" s="3348"/>
      <c r="C93" s="878" t="s">
        <v>681</v>
      </c>
      <c r="D93" s="814" t="s">
        <v>682</v>
      </c>
      <c r="E93" s="891">
        <v>0.2</v>
      </c>
      <c r="F93" s="878">
        <v>30</v>
      </c>
    </row>
    <row r="94" spans="1:6" s="874" customFormat="1" ht="48">
      <c r="A94" s="878">
        <v>34</v>
      </c>
      <c r="B94" s="3348"/>
      <c r="C94" s="878" t="s">
        <v>683</v>
      </c>
      <c r="D94" s="814" t="s">
        <v>684</v>
      </c>
      <c r="E94" s="891">
        <v>0.2</v>
      </c>
      <c r="F94" s="878">
        <v>30</v>
      </c>
    </row>
    <row r="95" spans="1:6" s="874" customFormat="1" ht="36">
      <c r="A95" s="878">
        <v>35</v>
      </c>
      <c r="B95" s="3348"/>
      <c r="C95" s="878" t="s">
        <v>685</v>
      </c>
      <c r="D95" s="814" t="s">
        <v>686</v>
      </c>
      <c r="E95" s="891">
        <v>0.2</v>
      </c>
      <c r="F95" s="878">
        <v>30</v>
      </c>
    </row>
    <row r="96" spans="1:6" s="874" customFormat="1" ht="48">
      <c r="A96" s="878">
        <v>36</v>
      </c>
      <c r="B96" s="3348"/>
      <c r="C96" s="814" t="s">
        <v>687</v>
      </c>
      <c r="D96" s="814" t="s">
        <v>688</v>
      </c>
      <c r="E96" s="891">
        <v>0.2</v>
      </c>
      <c r="F96" s="878">
        <v>30</v>
      </c>
    </row>
    <row r="97" spans="1:6" s="874" customFormat="1" ht="36">
      <c r="A97" s="878">
        <v>37</v>
      </c>
      <c r="B97" s="3348"/>
      <c r="C97" s="878" t="s">
        <v>689</v>
      </c>
      <c r="D97" s="814" t="s">
        <v>690</v>
      </c>
      <c r="E97" s="891">
        <v>0.2</v>
      </c>
      <c r="F97" s="878">
        <v>30</v>
      </c>
    </row>
    <row r="98" spans="1:6" s="874" customFormat="1" ht="36">
      <c r="A98" s="878">
        <v>38</v>
      </c>
      <c r="B98" s="3348"/>
      <c r="C98" s="878" t="s">
        <v>691</v>
      </c>
      <c r="D98" s="814" t="s">
        <v>692</v>
      </c>
      <c r="E98" s="891">
        <v>0.2</v>
      </c>
      <c r="F98" s="878">
        <v>30</v>
      </c>
    </row>
    <row r="99" spans="1:6" s="874" customFormat="1" ht="36">
      <c r="A99" s="878">
        <v>39</v>
      </c>
      <c r="B99" s="3348" t="s">
        <v>693</v>
      </c>
      <c r="C99" s="878" t="s">
        <v>694</v>
      </c>
      <c r="D99" s="814" t="s">
        <v>695</v>
      </c>
      <c r="E99" s="891">
        <v>0.3</v>
      </c>
      <c r="F99" s="878">
        <v>50</v>
      </c>
    </row>
    <row r="100" spans="1:6" s="874" customFormat="1" ht="24">
      <c r="A100" s="878">
        <v>40</v>
      </c>
      <c r="B100" s="3348"/>
      <c r="C100" s="878" t="s">
        <v>696</v>
      </c>
      <c r="D100" s="814" t="s">
        <v>697</v>
      </c>
      <c r="E100" s="891">
        <v>0.2</v>
      </c>
      <c r="F100" s="878">
        <v>30</v>
      </c>
    </row>
    <row r="101" spans="1:6" s="874" customFormat="1" ht="36">
      <c r="A101" s="878">
        <v>41</v>
      </c>
      <c r="B101" s="334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8" t="s">
        <v>708</v>
      </c>
      <c r="C105" s="878" t="s">
        <v>709</v>
      </c>
      <c r="D105" s="814" t="s">
        <v>710</v>
      </c>
      <c r="E105" s="891">
        <v>0.2</v>
      </c>
      <c r="F105" s="878">
        <v>30</v>
      </c>
    </row>
    <row r="106" spans="1:6" s="874" customFormat="1" ht="36">
      <c r="A106" s="878">
        <v>46</v>
      </c>
      <c r="B106" s="3348"/>
      <c r="C106" s="878" t="s">
        <v>711</v>
      </c>
      <c r="D106" s="814" t="s">
        <v>712</v>
      </c>
      <c r="E106" s="891">
        <v>0.2</v>
      </c>
      <c r="F106" s="878">
        <v>30</v>
      </c>
    </row>
    <row r="107" spans="1:6" s="874" customFormat="1" ht="36">
      <c r="A107" s="878">
        <v>47</v>
      </c>
      <c r="B107" s="3348" t="s">
        <v>713</v>
      </c>
      <c r="C107" s="878" t="s">
        <v>714</v>
      </c>
      <c r="D107" s="814" t="s">
        <v>715</v>
      </c>
      <c r="E107" s="891">
        <v>0.3</v>
      </c>
      <c r="F107" s="878">
        <v>50</v>
      </c>
    </row>
    <row r="108" spans="1:6" s="874" customFormat="1" ht="36">
      <c r="A108" s="878">
        <v>48</v>
      </c>
      <c r="B108" s="334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8" t="s">
        <v>724</v>
      </c>
      <c r="C111" s="878" t="s">
        <v>725</v>
      </c>
      <c r="D111" s="814" t="s">
        <v>726</v>
      </c>
      <c r="E111" s="891">
        <v>0.2</v>
      </c>
      <c r="F111" s="878">
        <v>30</v>
      </c>
    </row>
    <row r="112" spans="1:6" s="874" customFormat="1" ht="24">
      <c r="A112" s="878">
        <v>52</v>
      </c>
      <c r="B112" s="3348"/>
      <c r="C112" s="878" t="s">
        <v>727</v>
      </c>
      <c r="D112" s="814" t="s">
        <v>728</v>
      </c>
      <c r="E112" s="891">
        <v>0.2</v>
      </c>
      <c r="F112" s="878">
        <v>30</v>
      </c>
    </row>
    <row r="113" spans="1:6" s="874" customFormat="1" ht="24">
      <c r="A113" s="878">
        <v>53</v>
      </c>
      <c r="B113" s="334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8" t="s">
        <v>737</v>
      </c>
      <c r="C116" s="878" t="s">
        <v>738</v>
      </c>
      <c r="D116" s="814" t="s">
        <v>739</v>
      </c>
      <c r="E116" s="891">
        <v>0.2</v>
      </c>
      <c r="F116" s="878">
        <v>30</v>
      </c>
    </row>
    <row r="117" spans="1:6" ht="36">
      <c r="A117" s="878">
        <v>57</v>
      </c>
      <c r="B117" s="334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7"/>
      <c r="B4" s="3042" t="s">
        <v>1626</v>
      </c>
      <c r="C4" s="3042"/>
      <c r="D4" s="3042"/>
      <c r="E4" s="1957"/>
    </row>
    <row r="5" spans="1:5" ht="16.5" thickTop="1">
      <c r="A5" s="1955"/>
      <c r="B5" s="3040" t="s">
        <v>1618</v>
      </c>
      <c r="C5" s="1958" t="s">
        <v>1619</v>
      </c>
      <c r="D5" s="1036">
        <f ca="1">结果表!H101</f>
        <v>80085</v>
      </c>
      <c r="E5" s="1955"/>
    </row>
    <row r="6" spans="1:5" ht="15.75">
      <c r="A6" s="1955"/>
      <c r="B6" s="3040"/>
      <c r="C6" s="1958" t="s">
        <v>1620</v>
      </c>
      <c r="D6" s="1036" t="str">
        <f ca="1">NUMBERSTRING(INT(D5*10000),2)&amp;"元整"</f>
        <v>捌亿零捌拾伍万元整</v>
      </c>
      <c r="E6" s="1955"/>
    </row>
    <row r="7" spans="1:5" ht="15.75">
      <c r="A7" s="1955"/>
      <c r="B7" s="3045"/>
      <c r="C7" s="1959" t="s">
        <v>1621</v>
      </c>
      <c r="D7" s="1037">
        <f ca="1">结果表!H102</f>
        <v>27737</v>
      </c>
      <c r="E7" s="1955"/>
    </row>
    <row r="8" spans="1:5" ht="15.75">
      <c r="A8" s="1955"/>
      <c r="B8" s="3046" t="str">
        <f>结果表!E103</f>
        <v>2.估价师知悉的法定优先受偿款</v>
      </c>
      <c r="C8" s="1960" t="s">
        <v>1622</v>
      </c>
      <c r="D8" s="1037">
        <f>结果表!H103</f>
        <v>0</v>
      </c>
      <c r="E8" s="1955"/>
    </row>
    <row r="9" spans="1:5" ht="15.75">
      <c r="A9" s="1955"/>
      <c r="B9" s="3048"/>
      <c r="C9" s="1958" t="s">
        <v>1620</v>
      </c>
      <c r="D9" s="1036" t="str">
        <f>NUMBERSTRING(INT(D8*10000),2)&amp;"元整"</f>
        <v>零元整</v>
      </c>
      <c r="E9" s="1955"/>
    </row>
    <row r="10" spans="1:5" ht="15">
      <c r="A10" s="1955"/>
      <c r="B10" s="1961" t="s">
        <v>1625</v>
      </c>
      <c r="C10" s="1962" t="s">
        <v>1623</v>
      </c>
      <c r="D10" s="1038" t="str">
        <f>结果表!H104</f>
        <v>（未扣减，详见特别提示）</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39" t="str">
        <f>结果表!E107</f>
        <v>——</v>
      </c>
      <c r="C13" s="1963" t="s">
        <v>1619</v>
      </c>
      <c r="D13" s="1039" t="str">
        <f>结果表!H107</f>
        <v>——</v>
      </c>
      <c r="E13" s="1955"/>
    </row>
    <row r="14" spans="1:5" ht="15.75">
      <c r="A14" s="1955"/>
      <c r="B14" s="3040"/>
      <c r="C14" s="1958" t="s">
        <v>1620</v>
      </c>
      <c r="D14" s="1036" t="e">
        <f>NUMBERSTRING(INT(D13*10000),2)&amp;"元整"</f>
        <v>#VALUE!</v>
      </c>
      <c r="E14" s="1955"/>
    </row>
    <row r="15" spans="1:5" ht="15">
      <c r="A15" s="1955"/>
      <c r="B15" s="3045"/>
      <c r="C15" s="1959" t="s">
        <v>1630</v>
      </c>
      <c r="D15" s="1048" t="e">
        <f>结果表!H108</f>
        <v>#VALUE!</v>
      </c>
      <c r="E15" s="1955"/>
    </row>
    <row r="16" spans="1:5" ht="15">
      <c r="A16" s="1955"/>
      <c r="B16" s="3046" t="str">
        <f>结果表!E109</f>
        <v>3.抵押担保权已注销时的房地产抵押价值</v>
      </c>
      <c r="C16" s="1963" t="s">
        <v>1631</v>
      </c>
      <c r="D16" s="1964">
        <f ca="1">结果表!H109</f>
        <v>80085</v>
      </c>
      <c r="E16" s="1955"/>
    </row>
    <row r="17" spans="1:5" ht="15.75">
      <c r="A17" s="1955"/>
      <c r="B17" s="3047"/>
      <c r="C17" s="1958" t="s">
        <v>1632</v>
      </c>
      <c r="D17" s="1036" t="str">
        <f ca="1">NUMBERSTRING(INT(D16*10000),2)&amp;"元整"</f>
        <v>捌亿零捌拾伍万元整</v>
      </c>
      <c r="E17" s="1955"/>
    </row>
    <row r="18" spans="1:5" ht="15">
      <c r="A18" s="1955"/>
      <c r="B18" s="3048"/>
      <c r="C18" s="1959" t="s">
        <v>1621</v>
      </c>
      <c r="D18" s="1048">
        <f ca="1">结果表!H110</f>
        <v>27737</v>
      </c>
      <c r="E18" s="1955"/>
    </row>
    <row r="19" spans="1:5" ht="15.75">
      <c r="A19" s="1955"/>
      <c r="B19" s="3039" t="str">
        <f>结果表!E111</f>
        <v>——</v>
      </c>
      <c r="C19" s="1963" t="s">
        <v>1619</v>
      </c>
      <c r="D19" s="1037" t="str">
        <f>结果表!H111</f>
        <v>——</v>
      </c>
      <c r="E19" s="1955"/>
    </row>
    <row r="20" spans="1:5" ht="15.75">
      <c r="A20" s="1955"/>
      <c r="B20" s="3040"/>
      <c r="C20" s="1958" t="s">
        <v>1632</v>
      </c>
      <c r="D20" s="1036" t="e">
        <f>NUMBERSTRING(INT(D19*10000),2)&amp;"元整"</f>
        <v>#VALUE!</v>
      </c>
      <c r="E20" s="1955"/>
    </row>
    <row r="21" spans="1:5" ht="15.75" thickBot="1">
      <c r="A21" s="1955"/>
      <c r="B21" s="3041"/>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SUMPRODUCT((A105:A204=ROUNDDOWN('基准地价修正-商业'!G3,1))*(B104:M104='基准地价修正-商业'!G2)*(B105:M204))</f>
        <v>1.0901000000000001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2991</v>
      </c>
    </row>
    <row r="2" spans="1:5" ht="15.75">
      <c r="A2" s="2898" t="s">
        <v>2983</v>
      </c>
      <c r="B2" s="2899">
        <f ca="1">SUMIF(B6:B13,"&lt;&gt;#ref!",B6:B13)</f>
        <v>0</v>
      </c>
      <c r="C2" s="2898" t="s">
        <v>2984</v>
      </c>
      <c r="D2" s="2898" t="s">
        <v>2985</v>
      </c>
      <c r="E2" s="2899">
        <f ca="1">SUMIF(E6:E13,"&lt;&gt;#ref!",E6:E13)</f>
        <v>0</v>
      </c>
    </row>
    <row r="3" spans="1:5" ht="15.75">
      <c r="A3" s="2898" t="s">
        <v>2986</v>
      </c>
      <c r="B3" s="2899" t="e">
        <f ca="1">ROUND(B2*10000/E2,0)</f>
        <v>#DIV/0!</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t="e">
        <f ca="1">SUMIF(INDIRECT("'"&amp;A6&amp;"'"&amp;"!A:A"),"总价",INDIRECT("'"&amp;A6&amp;"'"&amp;"!B:B"))</f>
        <v>#REF!</v>
      </c>
      <c r="C6" s="2898" t="s">
        <v>2984</v>
      </c>
      <c r="D6" s="2900"/>
      <c r="E6" s="2571" t="e">
        <f ca="1">SUMIF(INDIRECT("'"&amp;A6&amp;"'"&amp;"!C:C"),"建筑面积",INDIRECT("'"&amp;A6&amp;"'"&amp;"!D:D"))</f>
        <v>#REF!</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54" t="s">
        <v>1146</v>
      </c>
      <c r="C1" s="3354"/>
      <c r="D1" s="3354"/>
      <c r="E1" s="3354"/>
      <c r="F1" s="3354"/>
      <c r="G1" s="3353" t="s">
        <v>1147</v>
      </c>
      <c r="H1" s="3353"/>
      <c r="I1" s="3353"/>
      <c r="J1" s="3353"/>
      <c r="K1" s="3353"/>
      <c r="L1" s="3353"/>
      <c r="N1" s="3353" t="s">
        <v>1148</v>
      </c>
      <c r="O1" s="3353"/>
      <c r="P1" s="3353"/>
      <c r="Q1" s="3353"/>
      <c r="R1" s="1442"/>
      <c r="S1" s="3353" t="s">
        <v>1149</v>
      </c>
      <c r="T1" s="3353"/>
      <c r="U1" s="3353"/>
      <c r="V1" s="3353"/>
      <c r="X1" s="3352" t="s">
        <v>1150</v>
      </c>
      <c r="Y1" s="3353"/>
      <c r="Z1" s="3353"/>
      <c r="AA1" s="3353"/>
      <c r="AB1" s="3353"/>
      <c r="AD1" s="3352" t="s">
        <v>1151</v>
      </c>
      <c r="AE1" s="3353"/>
      <c r="AF1" s="3353"/>
      <c r="AG1" s="3353"/>
      <c r="AH1" s="3353"/>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4" customFormat="1" ht="14.25">
      <c r="A3" s="2923" t="s">
        <v>3026</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49" customFormat="1" ht="14.25">
      <c r="B4" s="1450"/>
      <c r="C4" s="1450"/>
      <c r="D4" s="1451"/>
      <c r="E4" s="1451"/>
      <c r="F4" s="1450"/>
      <c r="G4" s="1452"/>
      <c r="H4" s="1453"/>
      <c r="I4" s="2909"/>
      <c r="J4" s="2909"/>
      <c r="K4" s="2909"/>
      <c r="L4" s="2909"/>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3040</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8">
        <v>2019</v>
      </c>
      <c r="H5" s="1726">
        <v>2</v>
      </c>
      <c r="I5" s="2910">
        <v>0</v>
      </c>
      <c r="J5" s="2910">
        <v>0</v>
      </c>
      <c r="K5" s="2910">
        <v>0</v>
      </c>
      <c r="L5" s="2910">
        <v>0</v>
      </c>
      <c r="N5" s="1463">
        <f>I5/100</f>
        <v>0</v>
      </c>
      <c r="O5" s="1463">
        <f t="shared" ref="O5" si="7">J5/100</f>
        <v>0</v>
      </c>
      <c r="P5" s="1463">
        <f t="shared" ref="P5" si="8">K5/100</f>
        <v>0</v>
      </c>
      <c r="Q5" s="1463">
        <f t="shared" ref="Q5" si="9">L5/100</f>
        <v>0</v>
      </c>
      <c r="R5" s="1728"/>
      <c r="S5" s="1729"/>
      <c r="T5" s="1728"/>
      <c r="U5" s="1728"/>
      <c r="V5" s="1728"/>
      <c r="W5" s="2913" t="s">
        <v>3027</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3041</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7">
        <v>2019</v>
      </c>
      <c r="H6" s="1460">
        <v>1</v>
      </c>
      <c r="I6" s="2929">
        <v>0.6</v>
      </c>
      <c r="J6" s="2929">
        <v>0.37</v>
      </c>
      <c r="K6" s="2929">
        <v>0.63</v>
      </c>
      <c r="L6" s="2930">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3039</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50">
        <v>2018</v>
      </c>
      <c r="H7" s="1460">
        <v>4</v>
      </c>
      <c r="I7" s="2929">
        <v>0.96</v>
      </c>
      <c r="J7" s="2929">
        <v>1.03</v>
      </c>
      <c r="K7" s="2929">
        <v>0.92</v>
      </c>
      <c r="L7" s="2930">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3033</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50"/>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3032</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50"/>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3025</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3022</v>
      </c>
      <c r="B11" s="1465">
        <v>439</v>
      </c>
      <c r="C11" s="1465">
        <v>327</v>
      </c>
      <c r="D11" s="1465">
        <f>C11</f>
        <v>327</v>
      </c>
      <c r="E11" s="1465">
        <v>627</v>
      </c>
      <c r="F11" s="1466">
        <v>283</v>
      </c>
      <c r="G11" s="335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3023</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50"/>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50"/>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5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50"/>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50"/>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51"/>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9">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50"/>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50"/>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51"/>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9">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50"/>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50"/>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51"/>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5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5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5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9">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50"/>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50"/>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51"/>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9">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50">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50">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51">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9">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50">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50">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51">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9">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50">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50">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51">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9">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50">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50">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51">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9">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50">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50">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51">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9">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50">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50">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51">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9">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50">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50">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51">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9">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50">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50">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51">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50">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50">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51">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50">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50">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51">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2993</v>
      </c>
      <c r="C1" s="3361" t="s">
        <v>2994</v>
      </c>
      <c r="D1" s="3362"/>
      <c r="E1" s="3362"/>
      <c r="F1" s="3362"/>
      <c r="G1" s="3362"/>
      <c r="H1" s="3362"/>
      <c r="I1" s="3362"/>
      <c r="J1" s="3362"/>
      <c r="K1" s="3362"/>
      <c r="L1" s="3362"/>
      <c r="M1" s="3362"/>
      <c r="N1" s="3362"/>
      <c r="O1" s="3362"/>
      <c r="P1" s="3362"/>
      <c r="Q1" s="3362"/>
      <c r="R1" s="3362"/>
      <c r="S1" s="3363"/>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4" t="s">
        <v>3003</v>
      </c>
      <c r="B17" s="2905"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906" t="s">
        <v>3005</v>
      </c>
      <c r="E19" s="1788"/>
      <c r="F19" s="1788"/>
      <c r="G19" s="1788"/>
      <c r="H19" s="1276"/>
      <c r="I19" s="166"/>
      <c r="J19" s="166"/>
      <c r="K19" s="166"/>
      <c r="L19" s="166"/>
      <c r="M19" s="166"/>
      <c r="N19" s="166"/>
      <c r="O19" s="166"/>
      <c r="P19" s="166"/>
      <c r="Q19" s="166"/>
      <c r="R19" s="786"/>
      <c r="S19" s="136"/>
    </row>
    <row r="20" spans="1:45" ht="16.5" thickBot="1">
      <c r="A20" s="713" t="s">
        <v>3006</v>
      </c>
      <c r="B20" s="336" t="e">
        <f ca="1">IF(D20="——",S22,S22-F20)</f>
        <v>#REF!</v>
      </c>
      <c r="C20" s="166"/>
      <c r="D20" s="2907" t="s">
        <v>3007</v>
      </c>
      <c r="E20" s="1789"/>
      <c r="F20" s="1200" t="e">
        <f ca="1">SUMIF(INDIRECT("'"&amp;H20&amp;"'"&amp;"!A:A"),"承租人权益价值",INDIRECT("'"&amp;H20&amp;"'"&amp;"!c:c"))</f>
        <v>#REF!</v>
      </c>
      <c r="G20" s="1200" t="s">
        <v>3008</v>
      </c>
      <c r="H20" s="2908"/>
      <c r="I20" s="166"/>
      <c r="J20" s="166"/>
      <c r="K20" s="166"/>
      <c r="L20" s="166"/>
      <c r="M20" s="166"/>
      <c r="N20" s="166"/>
      <c r="O20" s="166"/>
      <c r="P20" s="166"/>
      <c r="Q20" s="166"/>
      <c r="R20" s="786"/>
      <c r="S20" s="136"/>
    </row>
    <row r="21" spans="1:45" ht="15.75">
      <c r="A21" s="713" t="s">
        <v>3009</v>
      </c>
      <c r="B21" s="336">
        <f>R22</f>
        <v>10000</v>
      </c>
      <c r="C21" s="166"/>
      <c r="D21" s="166"/>
      <c r="E21" s="166"/>
      <c r="F21" s="166"/>
      <c r="G21" s="166"/>
      <c r="H21" s="166"/>
      <c r="I21" s="166"/>
      <c r="J21" s="166"/>
      <c r="K21" s="166"/>
      <c r="L21" s="166"/>
      <c r="M21" s="166"/>
      <c r="N21" s="166"/>
      <c r="O21" s="166"/>
      <c r="P21" s="166"/>
      <c r="Q21" s="166"/>
      <c r="R21" s="786"/>
      <c r="S21" s="136"/>
    </row>
    <row r="22" spans="1:45">
      <c r="A22" s="359" t="s">
        <v>3010</v>
      </c>
      <c r="B22" s="24">
        <f>SUM(B24:B10000)</f>
        <v>100</v>
      </c>
      <c r="C22" s="3220" t="s">
        <v>33</v>
      </c>
      <c r="D22" s="3221"/>
      <c r="E22" s="3221"/>
      <c r="F22" s="3221"/>
      <c r="G22" s="3221"/>
      <c r="H22" s="3221"/>
      <c r="I22" s="3221"/>
      <c r="J22" s="3221"/>
      <c r="K22" s="3221"/>
      <c r="L22" s="3221"/>
      <c r="M22" s="3221"/>
      <c r="N22" s="3221"/>
      <c r="O22" s="3221"/>
      <c r="P22" s="3221"/>
      <c r="Q22" s="3360"/>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44721</v>
      </c>
      <c r="C2" s="2" t="s">
        <v>133</v>
      </c>
      <c r="D2" s="241"/>
      <c r="E2" s="241"/>
      <c r="F2" s="241"/>
      <c r="G2" s="241"/>
    </row>
    <row r="3" spans="1:7" s="242" customFormat="1" ht="18" customHeight="1" thickBot="1">
      <c r="A3" s="245" t="s">
        <v>85</v>
      </c>
      <c r="B3" s="246">
        <f ca="1">ROUND(B2*10000/'数据-汇总表'!E3,0)</f>
        <v>15489</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0</v>
      </c>
      <c r="D9" s="1028">
        <f>'数据-汇总表'!E5</f>
        <v>0</v>
      </c>
      <c r="E9" s="267">
        <f>'数据-取费表'!B27</f>
        <v>160</v>
      </c>
      <c r="F9" s="263"/>
      <c r="G9" s="268"/>
    </row>
    <row r="10" spans="1:7" s="256" customFormat="1" ht="13.5" customHeight="1">
      <c r="A10" s="946" t="s">
        <v>801</v>
      </c>
      <c r="B10" s="266" t="s">
        <v>94</v>
      </c>
      <c r="C10" s="267">
        <f>ROUND(D10*E10/10000,0)</f>
        <v>577</v>
      </c>
      <c r="D10" s="1028">
        <f>'数据-汇总表'!E6</f>
        <v>28872.97</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1052</v>
      </c>
      <c r="B19" s="252" t="s">
        <v>111</v>
      </c>
      <c r="C19" s="253">
        <f>IF(G19="已包含在土地取得成本中","0",ROUND(D19*E19/10000,0))</f>
        <v>577</v>
      </c>
      <c r="D19" s="1032">
        <f>'数据-汇总表'!E3</f>
        <v>28872.97</v>
      </c>
      <c r="E19" s="253">
        <f>'数据-取费表'!B31</f>
        <v>200</v>
      </c>
      <c r="F19" s="273"/>
      <c r="G19" s="1" t="s">
        <v>1071</v>
      </c>
    </row>
    <row r="20" spans="1:7" s="256" customFormat="1" ht="13.5" customHeight="1">
      <c r="A20" s="944" t="s">
        <v>1054</v>
      </c>
      <c r="B20" s="252" t="s">
        <v>104</v>
      </c>
      <c r="C20" s="274">
        <f>ROUND((C5+C19)*F20,0)</f>
        <v>636</v>
      </c>
      <c r="D20" s="274"/>
      <c r="E20" s="274"/>
      <c r="F20" s="275">
        <f>'数据-取费表'!B37</f>
        <v>0.03</v>
      </c>
      <c r="G20" s="1285" t="s">
        <v>1065</v>
      </c>
    </row>
    <row r="21" spans="1:7" s="256" customFormat="1" ht="13.5" customHeight="1">
      <c r="A21" s="944" t="s">
        <v>1056</v>
      </c>
      <c r="B21" s="252" t="s">
        <v>105</v>
      </c>
      <c r="C21" s="277">
        <f>F21</f>
        <v>0.03</v>
      </c>
      <c r="D21" s="278" t="s">
        <v>126</v>
      </c>
      <c r="E21" s="274"/>
      <c r="F21" s="275">
        <f>'数据-取费表'!B38</f>
        <v>0.03</v>
      </c>
      <c r="G21" s="276" t="s">
        <v>106</v>
      </c>
    </row>
    <row r="22" spans="1:7" s="256" customFormat="1" ht="13.5" customHeight="1">
      <c r="A22" s="944" t="s">
        <v>786</v>
      </c>
      <c r="B22" s="252" t="s">
        <v>107</v>
      </c>
      <c r="C22" s="1350">
        <f ca="1">ROUND(SUM(C23:C25),0)</f>
        <v>2090</v>
      </c>
      <c r="D22" s="277">
        <f ca="1">C26</f>
        <v>1.4E-3</v>
      </c>
      <c r="E22" s="278" t="s">
        <v>126</v>
      </c>
      <c r="F22" s="279">
        <f ca="1">'数据-取费表'!B40</f>
        <v>4.7500000000000001E-2</v>
      </c>
      <c r="G22" s="1285" t="str">
        <f>IF('数据-取费表'!B22&lt;=1,"单利计息","复利计息")</f>
        <v>复利计息</v>
      </c>
    </row>
    <row r="23" spans="1:7" s="256" customFormat="1" ht="13.5" customHeight="1">
      <c r="A23" s="947" t="s">
        <v>794</v>
      </c>
      <c r="B23" s="257" t="s">
        <v>1058</v>
      </c>
      <c r="C23" s="1351">
        <f ca="1">ROUND(IF('数据-取费表'!B22&lt;=1,C5*F22*'数据-取费表'!B23,C5*(POWER((1+F22),'数据-取费表'!B23)-1)),0)</f>
        <v>2004</v>
      </c>
      <c r="D23" s="280"/>
      <c r="E23" s="280"/>
      <c r="F23" s="281"/>
      <c r="G23" s="282" t="s">
        <v>108</v>
      </c>
    </row>
    <row r="24" spans="1:7" s="256" customFormat="1" ht="13.5" customHeight="1">
      <c r="A24" s="947" t="s">
        <v>792</v>
      </c>
      <c r="B24" s="257" t="s">
        <v>1053</v>
      </c>
      <c r="C24" s="1351">
        <f ca="1">ROUND(IF('数据-取费表'!B22&lt;=1,C19*F22*('数据-取费表'!B19/2+'数据-取费表'!B21),C19*(POWER((1+F22),('数据-取费表'!B19/2+'数据-取费表'!B21))-1)),0)</f>
        <v>56</v>
      </c>
      <c r="D24" s="280"/>
      <c r="E24" s="280"/>
      <c r="F24" s="281"/>
      <c r="G24" s="282" t="s">
        <v>109</v>
      </c>
    </row>
    <row r="25" spans="1:7" s="256" customFormat="1" ht="24">
      <c r="A25" s="947" t="s">
        <v>793</v>
      </c>
      <c r="B25" s="257" t="s">
        <v>1055</v>
      </c>
      <c r="C25" s="1351">
        <f ca="1">ROUND(IF('数据-取费表'!B22&lt;=1,C20*F22*'数据-取费表'!B23/2,C20*(POWER((1+F22),'数据-取费表'!B23/2)-1)),0)</f>
        <v>30</v>
      </c>
      <c r="D25" s="280"/>
      <c r="E25" s="283"/>
      <c r="F25" s="281"/>
      <c r="G25" s="284" t="s">
        <v>110</v>
      </c>
    </row>
    <row r="26" spans="1:7" s="256" customFormat="1">
      <c r="A26" s="947" t="s">
        <v>795</v>
      </c>
      <c r="B26" s="257" t="s">
        <v>1057</v>
      </c>
      <c r="C26" s="280">
        <f ca="1">ROUND(IF('数据-取费表'!B22&lt;=1,F21*F22*'数据-取费表'!B23/2,F21*(POWER((1+F22),'数据-取费表'!B23/2)-1)),4)</f>
        <v>1.4E-3</v>
      </c>
      <c r="D26" s="280"/>
      <c r="E26" s="283"/>
      <c r="F26" s="281"/>
      <c r="G26" s="285"/>
    </row>
    <row r="27" spans="1:7" s="256" customFormat="1" ht="24.75">
      <c r="A27" s="944" t="s">
        <v>787</v>
      </c>
      <c r="B27" s="286" t="s">
        <v>112</v>
      </c>
      <c r="C27" s="287">
        <f>C28</f>
        <v>4583</v>
      </c>
      <c r="D27" s="277">
        <f>C29</f>
        <v>6.3E-3</v>
      </c>
      <c r="E27" s="278" t="s">
        <v>126</v>
      </c>
      <c r="F27" s="288">
        <f>'数据-取费表'!Q16</f>
        <v>0.21</v>
      </c>
      <c r="G27" s="289" t="s">
        <v>1066</v>
      </c>
    </row>
    <row r="28" spans="1:7" s="256" customFormat="1" ht="13.5" customHeight="1">
      <c r="A28" s="947" t="s">
        <v>794</v>
      </c>
      <c r="B28" s="290" t="s">
        <v>1059</v>
      </c>
      <c r="C28" s="291">
        <f>ROUND((C5+C19+C20)*F27*'数据-取费表'!B21/'数据-取费表'!B20,0)</f>
        <v>4583</v>
      </c>
      <c r="D28" s="277"/>
      <c r="E28" s="278"/>
      <c r="F28" s="288"/>
      <c r="G28" s="289"/>
    </row>
    <row r="29" spans="1:7" s="256" customFormat="1" ht="13.5" customHeight="1">
      <c r="A29" s="947" t="s">
        <v>792</v>
      </c>
      <c r="B29" s="290" t="s">
        <v>1060</v>
      </c>
      <c r="C29" s="280">
        <f>ROUND(C21*F27*'数据-取费表'!B21/'数据-取费表'!B20,4)</f>
        <v>6.3E-3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31350</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11039</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9824</v>
      </c>
      <c r="D34" s="259"/>
      <c r="E34" s="262"/>
      <c r="F34" s="299">
        <f>IF('数据-取费表'!B24=0,1,'数据-取费表'!N16)</f>
        <v>1</v>
      </c>
      <c r="G34" s="261" t="s">
        <v>116</v>
      </c>
    </row>
    <row r="35" spans="1:7" ht="13.5" customHeight="1">
      <c r="A35" s="947" t="s">
        <v>796</v>
      </c>
      <c r="B35" s="257" t="s">
        <v>60</v>
      </c>
      <c r="C35" s="262">
        <f>ROUND(C34*F35,0)</f>
        <v>491</v>
      </c>
      <c r="D35" s="262"/>
      <c r="E35" s="262"/>
      <c r="F35" s="301">
        <f>'数据-取费表'!B33</f>
        <v>0.05</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798</v>
      </c>
      <c r="B37" s="257" t="s">
        <v>118</v>
      </c>
      <c r="C37" s="291">
        <f>ROUND(E37*D37*F34/10000,0)</f>
        <v>577</v>
      </c>
      <c r="D37" s="259">
        <f>'数据-汇总表'!E3</f>
        <v>28872.97</v>
      </c>
      <c r="E37" s="291">
        <f>'数据-取费表'!B35</f>
        <v>200</v>
      </c>
      <c r="F37" s="301"/>
      <c r="G37" s="303" t="s">
        <v>119</v>
      </c>
    </row>
    <row r="38" spans="1:7" ht="13.5" customHeight="1">
      <c r="A38" s="947" t="s">
        <v>799</v>
      </c>
      <c r="B38" s="257" t="s">
        <v>63</v>
      </c>
      <c r="C38" s="262">
        <f>ROUND(C34*F38,0)</f>
        <v>147</v>
      </c>
      <c r="D38" s="262"/>
      <c r="E38" s="262"/>
      <c r="F38" s="301">
        <f>'数据-取费表'!B36</f>
        <v>1.4999999999999999E-2</v>
      </c>
      <c r="G38" s="261" t="s">
        <v>117</v>
      </c>
    </row>
    <row r="39" spans="1:7" s="256" customFormat="1" ht="13.5" customHeight="1">
      <c r="A39" s="944" t="s">
        <v>783</v>
      </c>
      <c r="B39" s="252" t="s">
        <v>104</v>
      </c>
      <c r="C39" s="274">
        <f>ROUND(C33*F20,0)</f>
        <v>331</v>
      </c>
      <c r="D39" s="274"/>
      <c r="E39" s="274"/>
      <c r="F39" s="275"/>
      <c r="G39" s="1285" t="s">
        <v>1068</v>
      </c>
    </row>
    <row r="40" spans="1:7" s="256" customFormat="1" ht="13.5" customHeight="1">
      <c r="A40" s="944" t="s">
        <v>784</v>
      </c>
      <c r="B40" s="252" t="s">
        <v>105</v>
      </c>
      <c r="C40" s="304">
        <f>F21</f>
        <v>0.03</v>
      </c>
      <c r="D40" s="278" t="s">
        <v>129</v>
      </c>
      <c r="E40" s="274"/>
      <c r="F40" s="275"/>
      <c r="G40" s="276" t="s">
        <v>120</v>
      </c>
    </row>
    <row r="41" spans="1:7" s="256" customFormat="1" ht="13.5" customHeight="1">
      <c r="A41" s="944" t="s">
        <v>785</v>
      </c>
      <c r="B41" s="252" t="s">
        <v>107</v>
      </c>
      <c r="C41" s="274">
        <f ca="1">ROUND(SUM(C42:C43),0)</f>
        <v>540</v>
      </c>
      <c r="D41" s="277">
        <f ca="1">C44</f>
        <v>1.4E-3</v>
      </c>
      <c r="E41" s="278" t="s">
        <v>129</v>
      </c>
      <c r="F41" s="279"/>
      <c r="G41" s="1285" t="str">
        <f>IF('数据-取费表'!B22&lt;=1,"单利计息","复利计息")</f>
        <v>复利计息</v>
      </c>
    </row>
    <row r="42" spans="1:7" ht="13.5" customHeight="1">
      <c r="A42" s="947" t="s">
        <v>794</v>
      </c>
      <c r="B42" s="257" t="s">
        <v>1058</v>
      </c>
      <c r="C42" s="280">
        <f ca="1">ROUND(IF('数据-取费表'!B22&lt;=1,C33*F22*'数据-取费表'!B21/2,C33*(POWER((1+F22),'数据-取费表'!B21/2)-1)),0)</f>
        <v>524</v>
      </c>
      <c r="D42" s="280"/>
      <c r="E42" s="280"/>
      <c r="F42" s="281"/>
      <c r="G42" s="3225" t="s">
        <v>121</v>
      </c>
    </row>
    <row r="43" spans="1:7" ht="13.5" customHeight="1">
      <c r="A43" s="947" t="s">
        <v>792</v>
      </c>
      <c r="B43" s="257" t="s">
        <v>1061</v>
      </c>
      <c r="C43" s="280">
        <f ca="1">ROUND(IF('数据-取费表'!B22&lt;=1,C39*F22*'数据-取费表'!B21/2,C39*(POWER((1+F22),'数据-取费表'!B21/2)-1)),0)</f>
        <v>16</v>
      </c>
      <c r="D43" s="280"/>
      <c r="E43" s="280"/>
      <c r="F43" s="281"/>
      <c r="G43" s="3226"/>
    </row>
    <row r="44" spans="1:7" ht="13.5" customHeight="1">
      <c r="A44" s="947" t="s">
        <v>793</v>
      </c>
      <c r="B44" s="257" t="s">
        <v>1063</v>
      </c>
      <c r="C44" s="280">
        <f ca="1">ROUND(IF('数据-取费表'!B22&lt;=1,C40*F22*'数据-取费表'!B21/2,C40*(POWER((1+F22),'数据-取费表'!B21/2)-1)),4)</f>
        <v>1.4E-3</v>
      </c>
      <c r="D44" s="280"/>
      <c r="E44" s="280"/>
      <c r="F44" s="281"/>
      <c r="G44" s="3227"/>
    </row>
    <row r="45" spans="1:7" s="256" customFormat="1" ht="13.5" customHeight="1">
      <c r="A45" s="944" t="s">
        <v>786</v>
      </c>
      <c r="B45" s="286" t="s">
        <v>112</v>
      </c>
      <c r="C45" s="287">
        <f>C46</f>
        <v>2388</v>
      </c>
      <c r="D45" s="277">
        <f>C47</f>
        <v>6.3E-3</v>
      </c>
      <c r="E45" s="278" t="s">
        <v>129</v>
      </c>
      <c r="F45" s="288"/>
      <c r="G45" s="289" t="s">
        <v>1069</v>
      </c>
    </row>
    <row r="46" spans="1:7" s="256" customFormat="1" ht="13.5" customHeight="1">
      <c r="A46" s="947" t="s">
        <v>794</v>
      </c>
      <c r="B46" s="290" t="s">
        <v>1062</v>
      </c>
      <c r="C46" s="291">
        <f>ROUND((C33+C39)*F27,0)</f>
        <v>2388</v>
      </c>
      <c r="D46" s="305"/>
      <c r="E46" s="278"/>
      <c r="F46" s="288"/>
      <c r="G46" s="289"/>
    </row>
    <row r="47" spans="1:7" s="256" customFormat="1" ht="13.5" customHeight="1">
      <c r="A47" s="947" t="s">
        <v>792</v>
      </c>
      <c r="B47" s="290" t="s">
        <v>1064</v>
      </c>
      <c r="C47" s="280">
        <f>ROUND(C40*F27,4)</f>
        <v>6.3E-3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15730</v>
      </c>
      <c r="D49" s="274"/>
      <c r="E49" s="274"/>
      <c r="F49" s="306"/>
      <c r="G49" s="276" t="s">
        <v>1070</v>
      </c>
    </row>
    <row r="50" spans="1:7" s="300" customFormat="1" ht="24">
      <c r="A50" s="944" t="s">
        <v>789</v>
      </c>
      <c r="B50" s="252" t="s">
        <v>124</v>
      </c>
      <c r="C50" s="274"/>
      <c r="D50" s="274"/>
      <c r="E50" s="274"/>
      <c r="F50" s="306">
        <f>IF('数据-取费表'!B24=0,'数据-取费表'!N16,1)</f>
        <v>0.85</v>
      </c>
      <c r="G50" s="289" t="s">
        <v>125</v>
      </c>
    </row>
    <row r="51" spans="1:7" ht="16.5" customHeight="1">
      <c r="A51" s="944" t="s">
        <v>790</v>
      </c>
      <c r="B51" s="252" t="s">
        <v>132</v>
      </c>
      <c r="C51" s="274">
        <f ca="1">ROUND(C49*F50,0)</f>
        <v>13371</v>
      </c>
      <c r="D51" s="274"/>
      <c r="E51" s="274"/>
      <c r="F51" s="306"/>
      <c r="G51" s="276" t="s">
        <v>64</v>
      </c>
    </row>
    <row r="52" spans="1:7" s="250" customFormat="1" ht="16.5" thickBot="1">
      <c r="A52" s="307" t="s">
        <v>65</v>
      </c>
      <c r="B52" s="308"/>
      <c r="C52" s="309">
        <f ca="1">C31+C51</f>
        <v>44721</v>
      </c>
      <c r="D52" s="308"/>
      <c r="E52" s="308"/>
      <c r="F52" s="308"/>
      <c r="G52" s="310"/>
    </row>
    <row r="55" spans="1:7" ht="15">
      <c r="B55" s="312" t="s">
        <v>66</v>
      </c>
      <c r="C55" s="313"/>
    </row>
    <row r="56" spans="1:7">
      <c r="B56" s="315" t="s">
        <v>67</v>
      </c>
      <c r="C56" s="316">
        <f ca="1">ROUND(C51/C52,3)</f>
        <v>0.29899999999999999</v>
      </c>
    </row>
    <row r="57" spans="1:7">
      <c r="B57" s="315" t="s">
        <v>68</v>
      </c>
      <c r="C57" s="317">
        <f ca="1">1-C56</f>
        <v>0.70100000000000007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64" t="s">
        <v>156</v>
      </c>
      <c r="B1" s="3364"/>
      <c r="C1" s="3364"/>
      <c r="D1" s="3364"/>
      <c r="E1" s="3364"/>
      <c r="F1" s="336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65" t="s">
        <v>169</v>
      </c>
      <c r="B2" s="3365"/>
      <c r="C2" s="3365"/>
      <c r="D2" s="3365"/>
      <c r="E2" s="3365"/>
      <c r="F2" s="336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6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6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64" t="s">
        <v>868</v>
      </c>
      <c r="B1" s="3364"/>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43566</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1637</v>
      </c>
      <c r="B2" s="3059" t="s">
        <v>1638</v>
      </c>
      <c r="C2" s="3059" t="s">
        <v>1639</v>
      </c>
      <c r="D2" s="3059" t="str">
        <f>结果表!D116</f>
        <v>出让国有建设用地使用权价值</v>
      </c>
      <c r="E2" s="3059"/>
      <c r="F2" s="3059" t="str">
        <f>结果表!F116</f>
        <v>建筑物价值</v>
      </c>
      <c r="G2" s="3059"/>
      <c r="H2" s="3059" t="str">
        <f>IF(项目基本情况!B9="房地产市场价值","房地产市场价值","房地产价值")</f>
        <v>房地产价值</v>
      </c>
      <c r="I2" s="3059"/>
    </row>
    <row r="3" spans="1:9" ht="15">
      <c r="A3" s="3053"/>
      <c r="B3" s="3053"/>
      <c r="C3" s="3053"/>
      <c r="D3" s="1040" t="s">
        <v>1634</v>
      </c>
      <c r="E3" s="1040" t="s">
        <v>1640</v>
      </c>
      <c r="F3" s="1040" t="s">
        <v>1634</v>
      </c>
      <c r="G3" s="1040" t="s">
        <v>1635</v>
      </c>
      <c r="H3" s="1040" t="s">
        <v>1634</v>
      </c>
      <c r="I3" s="1040" t="s">
        <v>1635</v>
      </c>
    </row>
    <row r="4" spans="1:9" ht="30">
      <c r="A4" s="1969" t="str">
        <f>项目基本情况!S2</f>
        <v>北京市石景山区时代花园南路17号房地产</v>
      </c>
      <c r="B4" s="1040">
        <f>项目基本情况!C17</f>
        <v>28872.97</v>
      </c>
      <c r="C4" s="1040">
        <f>项目基本情况!C18</f>
        <v>11364.7</v>
      </c>
      <c r="D4" s="1040">
        <f ca="1">结果表!D118</f>
        <v>65510</v>
      </c>
      <c r="E4" s="1040">
        <f ca="1">结果表!E118</f>
        <v>22689</v>
      </c>
      <c r="F4" s="1040">
        <f ca="1">结果表!F118</f>
        <v>14575</v>
      </c>
      <c r="G4" s="1040">
        <f ca="1">结果表!G118</f>
        <v>5048</v>
      </c>
      <c r="H4" s="1040">
        <f ca="1">结果表!H118</f>
        <v>80085</v>
      </c>
      <c r="I4" s="1040">
        <f ca="1">结果表!I118</f>
        <v>27737</v>
      </c>
    </row>
    <row r="5" spans="1:9" ht="30" customHeight="1">
      <c r="A5" s="3053" t="s">
        <v>1636</v>
      </c>
      <c r="B5" s="3053"/>
      <c r="C5" s="3053"/>
      <c r="D5" s="3054" t="str">
        <f ca="1">结果表!D119</f>
        <v>陆亿伍仟伍佰壹拾万元整</v>
      </c>
      <c r="E5" s="3054"/>
      <c r="F5" s="3054" t="str">
        <f ca="1">结果表!F119</f>
        <v>壹亿肆仟伍佰柒拾伍万元整</v>
      </c>
      <c r="G5" s="3054"/>
      <c r="H5" s="3054" t="str">
        <f ca="1">结果表!H119</f>
        <v>捌亿零捌拾伍万元整</v>
      </c>
      <c r="I5" s="3054"/>
    </row>
    <row r="6" spans="1:9" ht="15.75">
      <c r="A6" s="3052" t="str">
        <f>结果表!A120</f>
        <v>估价师知悉的法定优先受偿款</v>
      </c>
      <c r="B6" s="3052"/>
      <c r="C6" s="3052"/>
      <c r="D6" s="3052">
        <f>结果表!D120</f>
        <v>0</v>
      </c>
      <c r="E6" s="3052"/>
      <c r="F6" s="3052"/>
      <c r="G6" s="3052"/>
      <c r="H6" s="3052"/>
      <c r="I6" s="3052"/>
    </row>
    <row r="7" spans="1:9" ht="15">
      <c r="A7" s="3053" t="s">
        <v>1636</v>
      </c>
      <c r="B7" s="3053"/>
      <c r="C7" s="3053"/>
      <c r="D7" s="3055" t="str">
        <f>结果表!D121</f>
        <v>零元整</v>
      </c>
      <c r="E7" s="3056"/>
      <c r="F7" s="3056"/>
      <c r="G7" s="3056"/>
      <c r="H7" s="3056"/>
      <c r="I7" s="3057"/>
    </row>
    <row r="8" spans="1:9" ht="15.75">
      <c r="A8" s="3052" t="str">
        <f>结果表!A122</f>
        <v/>
      </c>
      <c r="B8" s="3052"/>
      <c r="C8" s="3052"/>
      <c r="D8" s="3052" t="str">
        <f>结果表!D122</f>
        <v>——</v>
      </c>
      <c r="E8" s="3052"/>
      <c r="F8" s="3052"/>
      <c r="G8" s="3052"/>
      <c r="H8" s="3052"/>
      <c r="I8" s="3052"/>
    </row>
    <row r="9" spans="1:9" ht="15">
      <c r="A9" s="3053" t="s">
        <v>1636</v>
      </c>
      <c r="B9" s="3053"/>
      <c r="C9" s="3053"/>
      <c r="D9" s="3054" t="e">
        <f>结果表!D123</f>
        <v>#VALUE!</v>
      </c>
      <c r="E9" s="3054"/>
      <c r="F9" s="3054"/>
      <c r="G9" s="3054"/>
      <c r="H9" s="3054"/>
      <c r="I9" s="3054"/>
    </row>
    <row r="10" spans="1:9" ht="15.75">
      <c r="A10" s="3052" t="str">
        <f>结果表!A124</f>
        <v>抵押担保权已注销时的房地产抵押价值</v>
      </c>
      <c r="B10" s="3052"/>
      <c r="C10" s="3052"/>
      <c r="D10" s="3052">
        <f ca="1">结果表!D124</f>
        <v>80085</v>
      </c>
      <c r="E10" s="3052"/>
      <c r="F10" s="3052"/>
      <c r="G10" s="3052"/>
      <c r="H10" s="3052"/>
      <c r="I10" s="3052"/>
    </row>
    <row r="11" spans="1:9" ht="15">
      <c r="A11" s="3053" t="s">
        <v>1636</v>
      </c>
      <c r="B11" s="3053"/>
      <c r="C11" s="3053"/>
      <c r="D11" s="3054" t="str">
        <f ca="1">结果表!D125</f>
        <v>捌亿零捌拾伍万元整</v>
      </c>
      <c r="E11" s="3054"/>
      <c r="F11" s="3054"/>
      <c r="G11" s="3054"/>
      <c r="H11" s="3054"/>
      <c r="I11" s="3054"/>
    </row>
    <row r="12" spans="1:9" ht="15.75">
      <c r="A12" s="3052" t="str">
        <f>结果表!A126</f>
        <v/>
      </c>
      <c r="B12" s="3052"/>
      <c r="C12" s="3052"/>
      <c r="D12" s="3052" t="str">
        <f>结果表!D126</f>
        <v>——</v>
      </c>
      <c r="E12" s="3052"/>
      <c r="F12" s="3052"/>
      <c r="G12" s="3052"/>
      <c r="H12" s="3052"/>
      <c r="I12" s="3052"/>
    </row>
    <row r="13" spans="1:9" ht="15.75" thickBot="1">
      <c r="A13" s="3049" t="s">
        <v>1636</v>
      </c>
      <c r="B13" s="3049"/>
      <c r="C13" s="3049"/>
      <c r="D13" s="3050" t="e">
        <f>结果表!D127</f>
        <v>#VALUE!</v>
      </c>
      <c r="E13" s="3050"/>
      <c r="F13" s="3050"/>
      <c r="G13" s="3050"/>
      <c r="H13" s="3050"/>
      <c r="I13" s="3050"/>
    </row>
    <row r="14" spans="1:9" ht="15" thickTop="1">
      <c r="A14" s="3051" t="s">
        <v>1641</v>
      </c>
      <c r="B14" s="3051"/>
      <c r="C14" s="3051"/>
      <c r="D14" s="3051"/>
      <c r="E14" s="3051"/>
      <c r="F14" s="3051"/>
      <c r="G14" s="3051"/>
      <c r="H14" s="3051"/>
      <c r="I14" s="3051"/>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6" t="s">
        <v>1658</v>
      </c>
      <c r="B1" s="3066"/>
      <c r="C1" s="3066"/>
      <c r="D1" s="3066"/>
    </row>
    <row r="2" spans="1:4" ht="18">
      <c r="A2" s="3067" t="s">
        <v>1642</v>
      </c>
      <c r="B2" s="3067"/>
      <c r="C2" s="3067"/>
      <c r="D2" s="3067"/>
    </row>
    <row r="3" spans="1:4" ht="18.75">
      <c r="A3" s="1973" t="s">
        <v>1643</v>
      </c>
      <c r="B3" s="1973" t="s">
        <v>1644</v>
      </c>
      <c r="C3" s="1973" t="s">
        <v>1645</v>
      </c>
      <c r="D3" s="1973" t="s">
        <v>1646</v>
      </c>
    </row>
    <row r="4" spans="1:4" ht="56.25" customHeight="1">
      <c r="A4" s="1974" t="str">
        <f>项目基本情况!B4</f>
        <v>王鹏</v>
      </c>
      <c r="B4" s="1975">
        <f ca="1">项目基本情况!C4</f>
        <v>1120050019</v>
      </c>
      <c r="C4" s="1976"/>
      <c r="D4" s="1977" t="s">
        <v>1647</v>
      </c>
    </row>
    <row r="5" spans="1:4" ht="56.25" customHeight="1">
      <c r="A5" s="1974" t="str">
        <f>项目基本情况!D4</f>
        <v>郑燚</v>
      </c>
      <c r="B5" s="1975">
        <f ca="1">项目基本情况!E4</f>
        <v>1120070131</v>
      </c>
      <c r="C5" s="1978"/>
      <c r="D5" s="1977" t="s">
        <v>1647</v>
      </c>
    </row>
    <row r="6" spans="1:4" ht="18">
      <c r="A6" s="3067" t="s">
        <v>1648</v>
      </c>
      <c r="B6" s="3067"/>
      <c r="C6" s="3067"/>
      <c r="D6" s="3067"/>
    </row>
    <row r="7" spans="1:4" ht="18.75">
      <c r="A7" s="1973" t="s">
        <v>1643</v>
      </c>
      <c r="B7" s="1975" t="s">
        <v>1649</v>
      </c>
      <c r="C7" s="1973" t="s">
        <v>1645</v>
      </c>
      <c r="D7" s="1973" t="s">
        <v>1646</v>
      </c>
    </row>
    <row r="8" spans="1:4" ht="56.25" customHeight="1">
      <c r="A8" s="1979" t="s">
        <v>866</v>
      </c>
      <c r="B8" s="1979" t="s">
        <v>1</v>
      </c>
      <c r="C8" s="1976"/>
      <c r="D8" s="1977" t="s">
        <v>1647</v>
      </c>
    </row>
    <row r="9" spans="1:4">
      <c r="A9" s="726"/>
      <c r="B9" s="726"/>
      <c r="C9" s="726"/>
      <c r="D9" s="726"/>
    </row>
    <row r="10" spans="1:4" ht="18.75">
      <c r="A10" s="1980" t="s">
        <v>1650</v>
      </c>
      <c r="B10" s="726"/>
      <c r="C10" s="726"/>
      <c r="D10" s="726"/>
    </row>
    <row r="11" spans="1:4" ht="30" customHeight="1">
      <c r="A11" s="3068"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0" t="str">
        <f>IF(项目基本情况!B8="抵押","4.本次评估估价师所知悉的法定优先受偿款情况说明如下：","——")</f>
        <v>4.本次评估估价师所知悉的法定优先受偿款情况说明如下：</v>
      </c>
      <c r="B14" s="3065"/>
      <c r="C14" s="3065"/>
      <c r="D14" s="3065"/>
    </row>
    <row r="15" spans="1:4" ht="42" customHeight="1">
      <c r="A15" s="30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0"/>
      <c r="C15" s="3060"/>
      <c r="D15" s="3060"/>
    </row>
    <row r="16" spans="1:4" ht="30" customHeight="1">
      <c r="A16" s="3062" t="s">
        <v>1652</v>
      </c>
      <c r="B16" s="3062"/>
      <c r="C16" s="3062"/>
      <c r="D16" s="3062"/>
    </row>
    <row r="17" spans="1:4" ht="144" customHeight="1">
      <c r="A17" s="3062" t="s">
        <v>1653</v>
      </c>
      <c r="B17" s="3062"/>
      <c r="C17" s="3062"/>
      <c r="D17" s="3062"/>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1654</v>
      </c>
      <c r="B22" s="3064"/>
      <c r="C22" s="3064"/>
      <c r="D22" s="3064"/>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61">
        <v>42551</v>
      </c>
      <c r="D31" s="30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74" t="s">
        <v>1665</v>
      </c>
      <c r="B15" s="3069" t="s">
        <v>136</v>
      </c>
      <c r="C15" s="3070"/>
    </row>
    <row r="16" spans="1:7" ht="13.5">
      <c r="A16" s="3075"/>
      <c r="B16" s="3069" t="s">
        <v>69</v>
      </c>
      <c r="C16" s="3070"/>
    </row>
    <row r="17" spans="1:3" ht="13.5">
      <c r="A17" s="3075"/>
      <c r="B17" s="3072" t="s">
        <v>1666</v>
      </c>
      <c r="C17" s="1996" t="s">
        <v>1665</v>
      </c>
    </row>
    <row r="18" spans="1:3" ht="13.5">
      <c r="A18" s="3075"/>
      <c r="B18" s="3072"/>
      <c r="C18" s="1996" t="s">
        <v>1667</v>
      </c>
    </row>
    <row r="19" spans="1:3" ht="13.5">
      <c r="A19" s="3075"/>
      <c r="B19" s="3072"/>
      <c r="C19" s="1996" t="s">
        <v>1668</v>
      </c>
    </row>
    <row r="20" spans="1:3" ht="13.5">
      <c r="A20" s="3076"/>
      <c r="B20" s="3071" t="s">
        <v>1669</v>
      </c>
      <c r="C20" s="3070"/>
    </row>
    <row r="21" spans="1:3" ht="13.5">
      <c r="A21" s="1997" t="s">
        <v>1670</v>
      </c>
      <c r="B21" s="1998"/>
      <c r="C21" s="1999"/>
    </row>
    <row r="22" spans="1:3" ht="13.5">
      <c r="A22" s="3073" t="s">
        <v>1671</v>
      </c>
      <c r="B22" s="3071" t="s">
        <v>1672</v>
      </c>
      <c r="C22" s="3070"/>
    </row>
    <row r="23" spans="1:3" ht="13.5">
      <c r="A23" s="3073"/>
      <c r="B23" s="3071" t="s">
        <v>1673</v>
      </c>
      <c r="C23" s="3070"/>
    </row>
    <row r="24" spans="1:3" ht="13.5">
      <c r="A24" s="3073"/>
      <c r="B24" s="3071" t="s">
        <v>1674</v>
      </c>
      <c r="C24" s="3070"/>
    </row>
    <row r="25" spans="1:3" ht="13.5">
      <c r="A25" s="3073"/>
      <c r="B25" s="3072" t="s">
        <v>1675</v>
      </c>
      <c r="C25" s="1996" t="s">
        <v>1676</v>
      </c>
    </row>
    <row r="26" spans="1:3" ht="13.5">
      <c r="A26" s="3073"/>
      <c r="B26" s="3072"/>
      <c r="C26" s="1996" t="s">
        <v>1677</v>
      </c>
    </row>
    <row r="27" spans="1:3" ht="13.5">
      <c r="A27" s="3073"/>
      <c r="B27" s="3072"/>
      <c r="C27" s="1996" t="s">
        <v>1678</v>
      </c>
    </row>
    <row r="28" spans="1:3" ht="13.5">
      <c r="A28" s="3073"/>
      <c r="B28" s="3072"/>
      <c r="C28" s="1996" t="s">
        <v>1679</v>
      </c>
    </row>
    <row r="29" spans="1:3" ht="13.5">
      <c r="A29" s="3073"/>
      <c r="B29" s="3072"/>
      <c r="C29" s="1996" t="s">
        <v>1680</v>
      </c>
    </row>
    <row r="30" spans="1:3" ht="13.5">
      <c r="A30" s="3073"/>
      <c r="B30" s="3072"/>
      <c r="C30" s="1996" t="s">
        <v>1681</v>
      </c>
    </row>
    <row r="31" spans="1:3" ht="13.5">
      <c r="A31" s="3073"/>
      <c r="B31" s="3072"/>
      <c r="C31" s="1996" t="s">
        <v>1682</v>
      </c>
    </row>
    <row r="32" spans="1:3" ht="13.5">
      <c r="A32" s="3073"/>
      <c r="B32" s="3072"/>
      <c r="C32" s="1996" t="s">
        <v>1683</v>
      </c>
    </row>
    <row r="33" spans="1:3" ht="13.5">
      <c r="A33" s="3073"/>
      <c r="B33" s="3072"/>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43570</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44395</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t="str">
        <f ca="1">IF(C10&lt;B2,"已过期",1120060040)</f>
        <v>已过期</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924"/>
      <c r="D12" s="1698"/>
      <c r="E12" s="1018"/>
      <c r="F12" s="1026"/>
    </row>
    <row r="13" spans="1:6" ht="24" customHeight="1">
      <c r="A13" s="1698" t="s">
        <v>840</v>
      </c>
      <c r="B13" s="1018">
        <f ca="1">IF(C13&lt;B2,"已过期",1120070131)</f>
        <v>1120070131</v>
      </c>
      <c r="C13" s="2341">
        <v>43814</v>
      </c>
      <c r="D13" s="2344" t="s">
        <v>840</v>
      </c>
      <c r="E13" s="1018">
        <f ca="1">IF(F13&lt;B2,"已过期",2014110011)</f>
        <v>2014110011</v>
      </c>
      <c r="F13" s="1026">
        <v>49302</v>
      </c>
    </row>
    <row r="14" spans="1:6" ht="24" customHeight="1">
      <c r="A14" s="1698" t="s">
        <v>3034</v>
      </c>
      <c r="B14" s="1018">
        <f ca="1">IF(C14&lt;B2,"已过期",1120040230)</f>
        <v>1120040230</v>
      </c>
      <c r="C14" s="2341">
        <v>43835</v>
      </c>
      <c r="D14" s="2344" t="s">
        <v>3034</v>
      </c>
      <c r="E14" s="1018">
        <f ca="1">IF(F14&lt;B2,"已过期",98030020)</f>
        <v>98030020</v>
      </c>
      <c r="F14" s="1026">
        <v>47118</v>
      </c>
    </row>
    <row r="15" spans="1:6" ht="24" customHeight="1">
      <c r="A15" s="1699" t="s">
        <v>3035</v>
      </c>
      <c r="B15" s="1018">
        <f ca="1">IF(C15&lt;B2,"已过期",1120070085)</f>
        <v>1120070085</v>
      </c>
      <c r="C15" s="2341">
        <v>43814</v>
      </c>
      <c r="D15" s="2345" t="s">
        <v>3035</v>
      </c>
      <c r="E15" s="1018">
        <f ca="1">IF(F15&lt;B2,"已过期",2004110128)</f>
        <v>2004110128</v>
      </c>
      <c r="F15" s="1019">
        <v>47118</v>
      </c>
    </row>
    <row r="16" spans="1:6" ht="24" customHeight="1">
      <c r="A16" s="1698" t="s">
        <v>3036</v>
      </c>
      <c r="B16" s="1018">
        <f ca="1">IF(C16&lt;B2,"已过期",1120140022)</f>
        <v>1120140022</v>
      </c>
      <c r="C16" s="2924">
        <v>44029</v>
      </c>
      <c r="D16" s="2344" t="s">
        <v>3036</v>
      </c>
      <c r="E16" s="1018">
        <f ca="1">IF(F16&lt;B2,"已过期",2008110059)</f>
        <v>2008110059</v>
      </c>
      <c r="F16" s="1026">
        <v>47177</v>
      </c>
    </row>
    <row r="17" spans="1:7" ht="24" customHeight="1">
      <c r="A17" s="1698"/>
      <c r="B17" s="1018"/>
      <c r="C17" s="2341"/>
      <c r="D17" s="2344" t="s">
        <v>3037</v>
      </c>
      <c r="E17" s="1018">
        <f ca="1">IF(F17&lt;B2,"已过期",2014110076)</f>
        <v>2014110076</v>
      </c>
      <c r="F17" s="1026">
        <v>49302</v>
      </c>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841</v>
      </c>
      <c r="E21" s="1018">
        <f ca="1">IF(F21&lt;B2,"已过期",2011110090)</f>
        <v>2011110090</v>
      </c>
      <c r="F21" s="1026">
        <v>48302</v>
      </c>
    </row>
    <row r="22" spans="1:7" ht="24" customHeight="1">
      <c r="A22" s="1698" t="s">
        <v>842</v>
      </c>
      <c r="B22" s="1018">
        <f ca="1">IF(C22&lt;B2,"已过期",1120020033)</f>
        <v>1120020033</v>
      </c>
      <c r="C22" s="2924">
        <v>44339</v>
      </c>
      <c r="D22" s="2344" t="s">
        <v>842</v>
      </c>
      <c r="E22" s="1018">
        <f ca="1">IF(F22&lt;B2,"已过期",2000110137)</f>
        <v>2000110137</v>
      </c>
      <c r="F22" s="1026">
        <v>46387</v>
      </c>
    </row>
    <row r="23" spans="1:7" ht="24" customHeight="1">
      <c r="A23" s="1698"/>
      <c r="B23" s="1018"/>
      <c r="C23" s="2341"/>
      <c r="D23" s="2344"/>
      <c r="E23" s="1018"/>
      <c r="F23" s="1018"/>
    </row>
    <row r="24" spans="1:7" s="1020" customFormat="1" ht="24" customHeight="1">
      <c r="A24" s="1699" t="s">
        <v>1329</v>
      </c>
      <c r="B24" s="1699" t="s">
        <v>1329</v>
      </c>
      <c r="C24" s="2342" t="s">
        <v>1329</v>
      </c>
      <c r="D24" s="2345" t="s">
        <v>1329</v>
      </c>
      <c r="E24" s="1699" t="s">
        <v>1329</v>
      </c>
      <c r="F24" s="1699" t="s">
        <v>1329</v>
      </c>
    </row>
    <row r="25" spans="1:7" ht="24" customHeight="1">
      <c r="A25" s="3077" t="s">
        <v>843</v>
      </c>
      <c r="B25" s="3077"/>
      <c r="C25" s="3077"/>
      <c r="D25" s="3077"/>
      <c r="E25" s="3077"/>
      <c r="F25" s="3077"/>
      <c r="G25" s="3077"/>
    </row>
    <row r="26" spans="1:7" s="1021" customFormat="1" ht="24" customHeight="1">
      <c r="A26" s="3078" t="s">
        <v>844</v>
      </c>
      <c r="B26" s="3078"/>
      <c r="C26" s="3079"/>
      <c r="D26" s="3080" t="s">
        <v>845</v>
      </c>
      <c r="E26" s="3078"/>
      <c r="F26" s="3078"/>
    </row>
    <row r="27" spans="1:7" s="1023" customFormat="1" ht="24" customHeight="1">
      <c r="A27" s="1022" t="s">
        <v>846</v>
      </c>
      <c r="B27" s="1017" t="s">
        <v>847</v>
      </c>
      <c r="C27" s="2340" t="s">
        <v>848</v>
      </c>
      <c r="D27" s="2348" t="s">
        <v>846</v>
      </c>
      <c r="E27" s="1017" t="s">
        <v>847</v>
      </c>
      <c r="F27" s="1017" t="s">
        <v>848</v>
      </c>
    </row>
    <row r="28" spans="1:7" s="1023" customFormat="1" ht="24" customHeight="1">
      <c r="A28" s="1024" t="s">
        <v>849</v>
      </c>
      <c r="B28" s="1025" t="s">
        <v>850</v>
      </c>
      <c r="C28" s="2346">
        <v>43725</v>
      </c>
      <c r="D28" s="2349" t="s">
        <v>851</v>
      </c>
      <c r="E28" s="1024" t="s">
        <v>852</v>
      </c>
      <c r="F28" s="1054">
        <v>44377</v>
      </c>
    </row>
    <row r="29" spans="1:7" s="1023" customFormat="1" ht="24" customHeight="1">
      <c r="A29" s="1024"/>
      <c r="B29" s="1024"/>
      <c r="C29" s="2347"/>
      <c r="D29" s="2349"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租金</vt:lpstr>
      <vt:lpstr>系统读取表</vt:lpstr>
      <vt:lpstr>结果表</vt:lpstr>
      <vt:lpstr>成本法</vt:lpstr>
      <vt:lpstr>成本法 (元)</vt:lpstr>
      <vt:lpstr>假设开发法</vt:lpstr>
      <vt:lpstr>基准地价修正-商业</vt:lpstr>
      <vt:lpstr>基准地价修正-办公</vt:lpstr>
      <vt:lpstr>收益法-商业</vt:lpstr>
      <vt:lpstr>收益法 (元)</vt:lpstr>
      <vt:lpstr>收益法-办公</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'收益法-办公'!Print_Area</vt:lpstr>
      <vt:lpstr>'收益法-车库'!Print_Area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2019-04-15T03:28:14Z</dcterms:modified>
</cp:coreProperties>
</file>