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0"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state="hidden" r:id="rId31"/>
    <sheet name="不动产收益法" sheetId="15" state="hidden" r:id="rId32"/>
    <sheet name="酒店收入计算" sheetId="57" state="hidden" r:id="rId33"/>
    <sheet name="成本逼近法" sheetId="11" state="hidden" r:id="rId34"/>
    <sheet name="不动产收益法公寓" sheetId="73" state="hidden" r:id="rId35"/>
    <sheet name="不动产收益法车" sheetId="7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9" r:id="rId44"/>
    <sheet name="Sheet3" sheetId="72" r:id="rId45"/>
    <sheet name="Sheet1" sheetId="74" r:id="rId46"/>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L9" i="1"/>
  <c r="K13" i="3"/>
  <c r="F10" i="12" l="1"/>
  <c r="L7" i="1"/>
  <c r="K73" i="39"/>
  <c r="L73" i="39"/>
  <c r="M73" i="39" s="1"/>
  <c r="N73" i="39" s="1"/>
  <c r="I48" i="39"/>
  <c r="G48" i="39"/>
  <c r="E48" i="39"/>
  <c r="E120" i="39"/>
  <c r="F120" i="39" s="1"/>
  <c r="D120" i="39"/>
  <c r="I40" i="39"/>
  <c r="G40" i="39"/>
  <c r="E40" i="39"/>
  <c r="I9" i="39"/>
  <c r="G9" i="39"/>
  <c r="E9" i="39"/>
  <c r="B28" i="1"/>
  <c r="F23" i="6"/>
  <c r="F20" i="6"/>
  <c r="F19" i="6"/>
  <c r="AD13" i="3"/>
  <c r="G17" i="4"/>
  <c r="F17" i="4"/>
  <c r="C104" i="21" l="1"/>
  <c r="Q73" i="73" l="1"/>
  <c r="Q60" i="73"/>
  <c r="D60" i="73"/>
  <c r="Q59" i="73"/>
  <c r="K59" i="73"/>
  <c r="P75" i="73" s="1"/>
  <c r="F58" i="73"/>
  <c r="Q52" i="73"/>
  <c r="J50" i="73"/>
  <c r="M47" i="73"/>
  <c r="L46" i="73"/>
  <c r="F33" i="73"/>
  <c r="F60" i="73" s="1"/>
  <c r="F32" i="73"/>
  <c r="F59" i="73" s="1"/>
  <c r="F31" i="73"/>
  <c r="F28" i="73"/>
  <c r="F23" i="73"/>
  <c r="D24" i="73" s="1"/>
  <c r="D23" i="73"/>
  <c r="D22" i="73"/>
  <c r="F21" i="73"/>
  <c r="F20" i="73"/>
  <c r="M19" i="73"/>
  <c r="M18" i="73"/>
  <c r="F18" i="73"/>
  <c r="M17" i="73"/>
  <c r="F17" i="73"/>
  <c r="F15" i="73"/>
  <c r="E4" i="72"/>
  <c r="E5" i="72"/>
  <c r="E6" i="72"/>
  <c r="E3" i="72"/>
  <c r="E91" i="21"/>
  <c r="F91" i="21" s="1"/>
  <c r="G91" i="21" s="1"/>
  <c r="D91" i="21"/>
  <c r="E68" i="21"/>
  <c r="F68" i="21" s="1"/>
  <c r="G68" i="21" s="1"/>
  <c r="H68" i="21" s="1"/>
  <c r="D68" i="21"/>
  <c r="I7" i="21"/>
  <c r="G7" i="21"/>
  <c r="P62" i="73" l="1"/>
  <c r="L9" i="12" l="1"/>
  <c r="Q73" i="71"/>
  <c r="Q60" i="71"/>
  <c r="D60" i="71"/>
  <c r="Q59" i="71"/>
  <c r="K59" i="71"/>
  <c r="P75" i="71" s="1"/>
  <c r="F58" i="71"/>
  <c r="Q52" i="71"/>
  <c r="J50" i="71"/>
  <c r="M47" i="71"/>
  <c r="F33" i="71"/>
  <c r="F60" i="71" s="1"/>
  <c r="F32" i="71"/>
  <c r="F59" i="71" s="1"/>
  <c r="F31" i="71"/>
  <c r="F28" i="71"/>
  <c r="F23" i="71"/>
  <c r="D24" i="71" s="1"/>
  <c r="D23" i="71"/>
  <c r="D22" i="71"/>
  <c r="F21" i="71"/>
  <c r="F20" i="71"/>
  <c r="M19" i="71"/>
  <c r="M18" i="71"/>
  <c r="F18" i="71"/>
  <c r="M17" i="71"/>
  <c r="F17" i="71"/>
  <c r="F15" i="71"/>
  <c r="G22" i="6"/>
  <c r="F21" i="6"/>
  <c r="AT13" i="3"/>
  <c r="E41" i="70"/>
  <c r="F41" i="70"/>
  <c r="G41" i="70"/>
  <c r="H41" i="70"/>
  <c r="I41" i="70"/>
  <c r="K41" i="70"/>
  <c r="L41" i="70"/>
  <c r="M41" i="70"/>
  <c r="J6" i="70"/>
  <c r="J7" i="70"/>
  <c r="J8" i="70"/>
  <c r="J9" i="70"/>
  <c r="J10" i="70"/>
  <c r="J11" i="70"/>
  <c r="J12" i="70"/>
  <c r="J13" i="70"/>
  <c r="J14" i="70"/>
  <c r="J15" i="70"/>
  <c r="J16" i="70"/>
  <c r="J17" i="70"/>
  <c r="J18" i="70"/>
  <c r="J19" i="70"/>
  <c r="J20" i="70"/>
  <c r="J21" i="70"/>
  <c r="J22" i="70"/>
  <c r="J23" i="70"/>
  <c r="J24" i="70"/>
  <c r="J25" i="70"/>
  <c r="J26" i="70"/>
  <c r="J27" i="70"/>
  <c r="J28" i="70"/>
  <c r="J29" i="70"/>
  <c r="J30" i="70"/>
  <c r="J31" i="70"/>
  <c r="J32" i="70"/>
  <c r="J33" i="70"/>
  <c r="J34" i="70"/>
  <c r="J35" i="70"/>
  <c r="J36" i="70"/>
  <c r="J37" i="70"/>
  <c r="J38" i="70"/>
  <c r="J39" i="70"/>
  <c r="J40" i="70"/>
  <c r="D6" i="70"/>
  <c r="D7" i="70"/>
  <c r="C7" i="70" s="1"/>
  <c r="D8" i="70"/>
  <c r="D9" i="70"/>
  <c r="C9" i="70" s="1"/>
  <c r="D10" i="70"/>
  <c r="D11" i="70"/>
  <c r="C11" i="70" s="1"/>
  <c r="D12" i="70"/>
  <c r="D13" i="70"/>
  <c r="C13" i="70" s="1"/>
  <c r="D14" i="70"/>
  <c r="D15" i="70"/>
  <c r="C15" i="70" s="1"/>
  <c r="D16" i="70"/>
  <c r="D17" i="70"/>
  <c r="C17" i="70" s="1"/>
  <c r="D18" i="70"/>
  <c r="D19" i="70"/>
  <c r="C19" i="70" s="1"/>
  <c r="D20" i="70"/>
  <c r="D21" i="70"/>
  <c r="C21" i="70" s="1"/>
  <c r="D22" i="70"/>
  <c r="D23" i="70"/>
  <c r="C23" i="70" s="1"/>
  <c r="D24" i="70"/>
  <c r="D25" i="70"/>
  <c r="C25" i="70" s="1"/>
  <c r="D26" i="70"/>
  <c r="D27" i="70"/>
  <c r="C27" i="70" s="1"/>
  <c r="D28" i="70"/>
  <c r="D29" i="70"/>
  <c r="C29" i="70" s="1"/>
  <c r="D30" i="70"/>
  <c r="D31" i="70"/>
  <c r="C31" i="70" s="1"/>
  <c r="D32" i="70"/>
  <c r="D33" i="70"/>
  <c r="C33" i="70" s="1"/>
  <c r="D34" i="70"/>
  <c r="D35" i="70"/>
  <c r="C35" i="70" s="1"/>
  <c r="D36" i="70"/>
  <c r="D37" i="70"/>
  <c r="C37" i="70" s="1"/>
  <c r="D38" i="70"/>
  <c r="D39" i="70"/>
  <c r="C39" i="70" s="1"/>
  <c r="D40" i="70"/>
  <c r="C6" i="70"/>
  <c r="C8" i="70"/>
  <c r="C10" i="70"/>
  <c r="C12" i="70"/>
  <c r="C14" i="70"/>
  <c r="C16" i="70"/>
  <c r="C18" i="70"/>
  <c r="C20" i="70"/>
  <c r="C22" i="70"/>
  <c r="C24" i="70"/>
  <c r="C26" i="70"/>
  <c r="C28" i="70"/>
  <c r="C30" i="70"/>
  <c r="C32" i="70"/>
  <c r="C34" i="70"/>
  <c r="C36" i="70"/>
  <c r="C38" i="70"/>
  <c r="C40" i="70"/>
  <c r="J5" i="70"/>
  <c r="J41" i="70" s="1"/>
  <c r="D5" i="70"/>
  <c r="D41" i="70" s="1"/>
  <c r="P62" i="71" l="1"/>
  <c r="C5" i="70"/>
  <c r="C41" i="70" s="1"/>
  <c r="R48" i="39"/>
  <c r="T48" i="39"/>
  <c r="V48" i="39"/>
  <c r="E73" i="39"/>
  <c r="F73" i="39"/>
  <c r="G73" i="39"/>
  <c r="H73" i="39"/>
  <c r="I73" i="39"/>
  <c r="J73" i="39"/>
  <c r="D73" i="39"/>
  <c r="I7" i="39"/>
  <c r="G7" i="39"/>
  <c r="E7" i="39"/>
  <c r="C7" i="39"/>
  <c r="D3" i="4"/>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s="1"/>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N16" i="4" s="1"/>
  <c r="M16" i="4"/>
  <c r="L16" i="4" s="1"/>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B74" i="46"/>
  <c r="E66" i="36"/>
  <c r="H18" i="35"/>
  <c r="J18" i="35"/>
  <c r="H21" i="37"/>
  <c r="J21" i="37"/>
  <c r="E84" i="34"/>
  <c r="F84" i="34"/>
  <c r="G84" i="34"/>
  <c r="J21" i="34"/>
  <c r="H21" i="34"/>
  <c r="F21" i="33"/>
  <c r="H21" i="33"/>
  <c r="J21" i="33"/>
  <c r="H21" i="21"/>
  <c r="J21" i="21"/>
  <c r="F96" i="40"/>
  <c r="H27" i="40"/>
  <c r="F105" i="39"/>
  <c r="H31" i="39"/>
  <c r="F23" i="15"/>
  <c r="D22" i="15"/>
  <c r="G17" i="11"/>
  <c r="D23" i="15"/>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G36" i="4"/>
  <c r="K2" i="54"/>
  <c r="B23" i="63" s="1"/>
  <c r="A3" i="51"/>
  <c r="R41" i="4"/>
  <c r="Q41" i="4"/>
  <c r="P41" i="4"/>
  <c r="O41" i="4"/>
  <c r="N41" i="4"/>
  <c r="M41" i="4"/>
  <c r="L41" i="4"/>
  <c r="K40" i="4"/>
  <c r="T40" i="4"/>
  <c r="F23" i="4"/>
  <c r="D19" i="4"/>
  <c r="I19" i="4"/>
  <c r="H19" i="4"/>
  <c r="G19" i="4"/>
  <c r="F9" i="1" s="1"/>
  <c r="F19" i="4"/>
  <c r="E19" i="4"/>
  <c r="F8" i="1" s="1"/>
  <c r="F7" i="1"/>
  <c r="B2" i="52"/>
  <c r="B15" i="52" s="1"/>
  <c r="I2" i="46"/>
  <c r="N12" i="46"/>
  <c r="A7" i="46"/>
  <c r="F41" i="4"/>
  <c r="J52" i="40" s="1"/>
  <c r="H61" i="49"/>
  <c r="H39" i="46"/>
  <c r="H38" i="46"/>
  <c r="H37" i="46"/>
  <c r="H36" i="46"/>
  <c r="H35" i="46"/>
  <c r="H34" i="46"/>
  <c r="H33" i="46"/>
  <c r="J20" i="46"/>
  <c r="C18" i="46"/>
  <c r="F15" i="46"/>
  <c r="E15" i="46"/>
  <c r="D15" i="46"/>
  <c r="C15" i="46"/>
  <c r="C10" i="46"/>
  <c r="C11" i="46"/>
  <c r="C9" i="46"/>
  <c r="E19" i="6"/>
  <c r="E32" i="6" s="1"/>
  <c r="E20" i="6"/>
  <c r="E21" i="6"/>
  <c r="K8" i="1" s="1"/>
  <c r="AH8" i="1" s="1"/>
  <c r="E22" i="6"/>
  <c r="E23" i="6"/>
  <c r="E24" i="6"/>
  <c r="E25" i="6"/>
  <c r="E26" i="6"/>
  <c r="D38" i="4"/>
  <c r="C39" i="4"/>
  <c r="C35" i="4"/>
  <c r="E16" i="12"/>
  <c r="F14" i="12"/>
  <c r="F15" i="12"/>
  <c r="F17" i="12"/>
  <c r="E19" i="12"/>
  <c r="E21" i="12"/>
  <c r="E22" i="12"/>
  <c r="F23" i="12"/>
  <c r="F24" i="12"/>
  <c r="C43" i="9"/>
  <c r="K47" i="9"/>
  <c r="B65" i="63"/>
  <c r="I73" i="9"/>
  <c r="F73" i="9"/>
  <c r="P73" i="9"/>
  <c r="D107" i="9"/>
  <c r="C107" i="9" s="1"/>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F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C10" i="12" s="1"/>
  <c r="BB12" i="3"/>
  <c r="F9" i="12"/>
  <c r="D9" i="12"/>
  <c r="D10" i="12" s="1"/>
  <c r="E9" i="12"/>
  <c r="G9" i="12"/>
  <c r="K5" i="3"/>
  <c r="J5" i="3"/>
  <c r="BE10" i="3"/>
  <c r="BD13" i="3"/>
  <c r="BE13" i="3"/>
  <c r="BF13" i="3"/>
  <c r="BF5" i="3" s="1"/>
  <c r="BG13" i="3"/>
  <c r="BG5" i="3"/>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C40"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W9" i="21"/>
  <c r="J32" i="21"/>
  <c r="AC32" i="21" s="1"/>
  <c r="G13" i="3"/>
  <c r="B18" i="3" s="1"/>
  <c r="AW18" i="3" s="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c r="BL570" i="3"/>
  <c r="AZ570" i="3"/>
  <c r="BE5" i="3"/>
  <c r="F42" i="21"/>
  <c r="S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B32" i="21"/>
  <c r="W28" i="21"/>
  <c r="AC46" i="21"/>
  <c r="AC26" i="2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A21" i="39"/>
  <c r="AC19" i="39"/>
  <c r="AC38" i="39"/>
  <c r="W29" i="39"/>
  <c r="S29" i="39"/>
  <c r="AC21" i="39"/>
  <c r="AC17" i="39"/>
  <c r="S14" i="39"/>
  <c r="AB15" i="39"/>
  <c r="U11" i="39"/>
  <c r="AB38" i="39"/>
  <c r="U31" i="39"/>
  <c r="AB31" i="39"/>
  <c r="S25" i="39"/>
  <c r="S38" i="39"/>
  <c r="S22" i="31"/>
  <c r="D18" i="9"/>
  <c r="M44" i="9" s="1"/>
  <c r="M43" i="9"/>
  <c r="B22" i="63"/>
  <c r="M20" i="15"/>
  <c r="D96" i="9"/>
  <c r="F28" i="15"/>
  <c r="M18" i="15"/>
  <c r="A18" i="64"/>
  <c r="B74" i="63"/>
  <c r="C53" i="10"/>
  <c r="A25" i="64" s="1"/>
  <c r="A18" i="51"/>
  <c r="B14" i="63"/>
  <c r="BA16" i="3"/>
  <c r="BA17" i="3"/>
  <c r="AZ17" i="3"/>
  <c r="F3" i="35"/>
  <c r="K1" i="43"/>
  <c r="K1" i="12"/>
  <c r="G1" i="44"/>
  <c r="I4" i="6"/>
  <c r="G3" i="46"/>
  <c r="AZ15" i="3"/>
  <c r="BK5" i="3"/>
  <c r="BO5" i="3"/>
  <c r="BP5" i="3"/>
  <c r="BN5" i="3"/>
  <c r="BL18" i="3"/>
  <c r="AZ18" i="3" s="1"/>
  <c r="BC5" i="3"/>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c r="B10" i="1"/>
  <c r="E10" i="1" s="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W29" i="21"/>
  <c r="G96" i="40"/>
  <c r="J27" i="40"/>
  <c r="W37" i="40"/>
  <c r="S17" i="40"/>
  <c r="W30" i="40"/>
  <c r="S34" i="40"/>
  <c r="U17" i="40"/>
  <c r="U38" i="40"/>
  <c r="S40" i="40"/>
  <c r="S42" i="40"/>
  <c r="G105" i="39"/>
  <c r="J31" i="39"/>
  <c r="W31" i="39" s="1"/>
  <c r="S45" i="39"/>
  <c r="W41" i="39"/>
  <c r="AB33" i="39"/>
  <c r="AC46"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BA5" i="3"/>
  <c r="G29" i="6"/>
  <c r="E29" i="6"/>
  <c r="K15" i="1" s="1"/>
  <c r="AZ16" i="3"/>
  <c r="A3" i="55"/>
  <c r="B56" i="63"/>
  <c r="E4" i="4"/>
  <c r="B21" i="55" s="1"/>
  <c r="B72" i="63" s="1"/>
  <c r="C4" i="4"/>
  <c r="B20" i="55" s="1"/>
  <c r="B70" i="63" s="1"/>
  <c r="G66" i="36"/>
  <c r="J18" i="36"/>
  <c r="AE6" i="1"/>
  <c r="W18" i="36"/>
  <c r="AC18" i="36"/>
  <c r="AG6" i="1"/>
  <c r="L20" i="6"/>
  <c r="C45" i="9"/>
  <c r="H14" i="66"/>
  <c r="B7" i="66"/>
  <c r="I1" i="65"/>
  <c r="O40" i="9"/>
  <c r="K31" i="9"/>
  <c r="K32" i="9"/>
  <c r="R7" i="54"/>
  <c r="B52" i="63"/>
  <c r="N76" i="9"/>
  <c r="C46" i="9"/>
  <c r="K33" i="9"/>
  <c r="O41" i="9"/>
  <c r="I14" i="66"/>
  <c r="B8" i="66"/>
  <c r="K34" i="9"/>
  <c r="R8" i="54"/>
  <c r="B54" i="63"/>
  <c r="D70" i="39"/>
  <c r="C72" i="39"/>
  <c r="C67" i="40"/>
  <c r="D65" i="40"/>
  <c r="E65" i="40" s="1"/>
  <c r="F65" i="40" s="1"/>
  <c r="F67" i="40" s="1"/>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G30" i="6"/>
  <c r="G31" i="6" s="1"/>
  <c r="H1" i="65"/>
  <c r="H51" i="46"/>
  <c r="X7" i="46"/>
  <c r="E17" i="46"/>
  <c r="N17" i="46"/>
  <c r="O17" i="46"/>
  <c r="M17" i="46"/>
  <c r="L17" i="46"/>
  <c r="H22" i="46"/>
  <c r="Y11" i="46"/>
  <c r="Y13" i="46" s="1"/>
  <c r="H101" i="46"/>
  <c r="H102" i="46" s="1"/>
  <c r="G22" i="46"/>
  <c r="J22" i="46"/>
  <c r="F101" i="46"/>
  <c r="F103" i="46" s="1"/>
  <c r="D101" i="46"/>
  <c r="D106" i="46" s="1"/>
  <c r="E28" i="6"/>
  <c r="O11" i="1"/>
  <c r="P11" i="1" s="1"/>
  <c r="O13" i="1"/>
  <c r="P13" i="1" s="1"/>
  <c r="O12" i="1"/>
  <c r="P12" i="1" s="1"/>
  <c r="AP7" i="1"/>
  <c r="G13" i="1"/>
  <c r="E52" i="37"/>
  <c r="F52" i="37" s="1"/>
  <c r="G52" i="37" s="1"/>
  <c r="H52" i="37" s="1"/>
  <c r="I52" i="37" s="1"/>
  <c r="J52" i="37" s="1"/>
  <c r="K52" i="37" s="1"/>
  <c r="L52" i="37" s="1"/>
  <c r="D46" i="36"/>
  <c r="E48" i="35"/>
  <c r="F48" i="35" s="1"/>
  <c r="G48" i="35" s="1"/>
  <c r="H48" i="35" s="1"/>
  <c r="D59" i="34"/>
  <c r="G6" i="1"/>
  <c r="H70" i="46"/>
  <c r="H73" i="46"/>
  <c r="H50" i="46"/>
  <c r="H48" i="46"/>
  <c r="F35" i="46"/>
  <c r="I17" i="46"/>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9" i="59"/>
  <c r="C8" i="59"/>
  <c r="T8" i="59"/>
  <c r="P21" i="46"/>
  <c r="B9" i="59"/>
  <c r="B8" i="59"/>
  <c r="S8" i="59"/>
  <c r="D9" i="59"/>
  <c r="P22" i="46"/>
  <c r="P23" i="46"/>
  <c r="P25" i="46"/>
  <c r="B73" i="39" s="1"/>
  <c r="P24" i="46"/>
  <c r="B68" i="40" s="1"/>
  <c r="F33" i="44"/>
  <c r="F31" i="15"/>
  <c r="F58" i="15"/>
  <c r="M17" i="15"/>
  <c r="M19" i="44"/>
  <c r="E70" i="39"/>
  <c r="F70" i="39" s="1"/>
  <c r="F72" i="39" s="1"/>
  <c r="D72" i="39"/>
  <c r="V8" i="59"/>
  <c r="D8" i="59"/>
  <c r="K14" i="1"/>
  <c r="M14" i="1" s="1"/>
  <c r="E30" i="6"/>
  <c r="E46" i="36"/>
  <c r="E59" i="34"/>
  <c r="C23" i="46"/>
  <c r="C21" i="46" s="1"/>
  <c r="C7" i="46"/>
  <c r="D7" i="59"/>
  <c r="D6" i="59"/>
  <c r="G20" i="46"/>
  <c r="E41" i="46"/>
  <c r="C41" i="46"/>
  <c r="S5" i="46"/>
  <c r="S2" i="46"/>
  <c r="S3" i="46"/>
  <c r="S7" i="46"/>
  <c r="S6" i="46"/>
  <c r="S4" i="46"/>
  <c r="F46" i="36"/>
  <c r="G46" i="36" s="1"/>
  <c r="H46" i="36" s="1"/>
  <c r="I46" i="36" s="1"/>
  <c r="J46" i="36" s="1"/>
  <c r="K46" i="36" s="1"/>
  <c r="L46" i="36" s="1"/>
  <c r="M46" i="36" s="1"/>
  <c r="N46" i="36" s="1"/>
  <c r="O46" i="36" s="1"/>
  <c r="M20" i="46"/>
  <c r="C19" i="46"/>
  <c r="I48" i="35"/>
  <c r="J48" i="35"/>
  <c r="K48" i="35"/>
  <c r="L48" i="35" s="1"/>
  <c r="F10" i="67"/>
  <c r="F42" i="15"/>
  <c r="F45" i="44"/>
  <c r="E14" i="67"/>
  <c r="F8" i="67"/>
  <c r="M8" i="15"/>
  <c r="F8" i="44"/>
  <c r="E8" i="67"/>
  <c r="F7" i="15"/>
  <c r="F11" i="44"/>
  <c r="F40" i="44"/>
  <c r="I7" i="65"/>
  <c r="F18" i="44"/>
  <c r="B9" i="67"/>
  <c r="J5" i="65"/>
  <c r="F10" i="44"/>
  <c r="L49" i="44"/>
  <c r="B8" i="67"/>
  <c r="N4" i="65"/>
  <c r="E11" i="67"/>
  <c r="F40" i="15"/>
  <c r="M26" i="44"/>
  <c r="F9" i="44"/>
  <c r="B13" i="67"/>
  <c r="F15" i="44"/>
  <c r="J7" i="65"/>
  <c r="J15" i="15"/>
  <c r="M26" i="15"/>
  <c r="B12" i="67"/>
  <c r="M30" i="44"/>
  <c r="F46" i="44"/>
  <c r="M24" i="44"/>
  <c r="F9" i="15"/>
  <c r="F38" i="44"/>
  <c r="M24" i="15"/>
  <c r="F36" i="15"/>
  <c r="E10" i="67"/>
  <c r="M9" i="15"/>
  <c r="M31" i="44"/>
  <c r="J36" i="15"/>
  <c r="F16" i="15"/>
  <c r="M22" i="15"/>
  <c r="M23" i="44"/>
  <c r="F12" i="67"/>
  <c r="F13" i="15"/>
  <c r="E9" i="67"/>
  <c r="F6" i="15"/>
  <c r="B10" i="67"/>
  <c r="N3" i="65"/>
  <c r="C19" i="44"/>
  <c r="I5" i="65"/>
  <c r="N7" i="65"/>
  <c r="E12" i="67"/>
  <c r="F39" i="44"/>
  <c r="J3" i="65"/>
  <c r="M23" i="15"/>
  <c r="L48" i="15"/>
  <c r="B11" i="67"/>
  <c r="F26" i="15"/>
  <c r="J17" i="44"/>
  <c r="M10" i="44"/>
  <c r="E13" i="67"/>
  <c r="F38" i="15"/>
  <c r="M29" i="44"/>
  <c r="F14" i="67"/>
  <c r="M28" i="44"/>
  <c r="I4" i="65"/>
  <c r="F9" i="67"/>
  <c r="L48" i="44"/>
  <c r="I6" i="65"/>
  <c r="F8" i="15"/>
  <c r="F43" i="44"/>
  <c r="F43" i="15"/>
  <c r="M28" i="15"/>
  <c r="F11" i="67"/>
  <c r="M25" i="44"/>
  <c r="F37" i="15"/>
  <c r="N6" i="65"/>
  <c r="N5" i="65"/>
  <c r="L47" i="15"/>
  <c r="I3" i="65"/>
  <c r="M11" i="44"/>
  <c r="F37" i="44"/>
  <c r="J6" i="65"/>
  <c r="M29" i="15"/>
  <c r="B14" i="67"/>
  <c r="J4" i="65"/>
  <c r="F28" i="44"/>
  <c r="M6" i="15"/>
  <c r="M27" i="15"/>
  <c r="M8" i="44"/>
  <c r="F13" i="67"/>
  <c r="G1" i="73" l="1"/>
  <c r="G1" i="71"/>
  <c r="E15" i="6"/>
  <c r="E67" i="39" s="1"/>
  <c r="E12" i="6"/>
  <c r="E11" i="6"/>
  <c r="E63" i="39" s="1"/>
  <c r="E14" i="6"/>
  <c r="E66" i="39" s="1"/>
  <c r="E13" i="6"/>
  <c r="E10" i="6"/>
  <c r="E62" i="40"/>
  <c r="G103" i="46"/>
  <c r="E61" i="40"/>
  <c r="E58" i="40"/>
  <c r="E109" i="46"/>
  <c r="B116" i="46"/>
  <c r="C116" i="46" s="1"/>
  <c r="A25" i="51"/>
  <c r="B18" i="63" s="1"/>
  <c r="K17" i="4"/>
  <c r="A22" i="51" s="1"/>
  <c r="B16" i="63" s="1"/>
  <c r="C51" i="10"/>
  <c r="A4" i="64"/>
  <c r="J57" i="39"/>
  <c r="G7" i="1"/>
  <c r="G65" i="40"/>
  <c r="H65" i="40" s="1"/>
  <c r="E67" i="40"/>
  <c r="D67" i="40"/>
  <c r="J51" i="71"/>
  <c r="J51" i="73"/>
  <c r="AC43" i="39"/>
  <c r="S11" i="39"/>
  <c r="B11" i="52"/>
  <c r="E6" i="52"/>
  <c r="G105" i="46"/>
  <c r="I117" i="46"/>
  <c r="J117" i="46" s="1"/>
  <c r="K117" i="46" s="1"/>
  <c r="L117" i="46" s="1"/>
  <c r="M117" i="46" s="1"/>
  <c r="I115" i="46"/>
  <c r="J115" i="46" s="1"/>
  <c r="K115" i="46" s="1"/>
  <c r="L115" i="46" s="1"/>
  <c r="M115" i="46" s="1"/>
  <c r="E107" i="46"/>
  <c r="M9" i="1"/>
  <c r="AO9" i="1"/>
  <c r="F30" i="6"/>
  <c r="M7" i="1"/>
  <c r="AH7" i="1"/>
  <c r="BL13" i="3"/>
  <c r="AZ13" i="3" s="1"/>
  <c r="E21" i="52"/>
  <c r="F34" i="73"/>
  <c r="M20" i="73"/>
  <c r="M20" i="71"/>
  <c r="F34" i="71"/>
  <c r="F61" i="71" s="1"/>
  <c r="F34" i="15"/>
  <c r="F61" i="15" s="1"/>
  <c r="W34" i="39"/>
  <c r="S34" i="39"/>
  <c r="U34" i="39"/>
  <c r="AB43" i="39"/>
  <c r="AC44" i="39"/>
  <c r="U41" i="39"/>
  <c r="S31" i="39"/>
  <c r="AB29" i="39"/>
  <c r="U27" i="39"/>
  <c r="S27" i="39"/>
  <c r="U23" i="39"/>
  <c r="U19" i="39"/>
  <c r="AC31" i="39"/>
  <c r="W27" i="39"/>
  <c r="S23" i="39"/>
  <c r="G17" i="46"/>
  <c r="C16" i="46" s="1"/>
  <c r="F23" i="21"/>
  <c r="F85" i="21"/>
  <c r="G85" i="21" s="1"/>
  <c r="J23" i="21"/>
  <c r="H23" i="21"/>
  <c r="G81" i="21"/>
  <c r="F19" i="21"/>
  <c r="AA19" i="21" s="1"/>
  <c r="J19" i="21"/>
  <c r="H19" i="21"/>
  <c r="AB19" i="21" s="1"/>
  <c r="F79" i="21"/>
  <c r="G79" i="21" s="1"/>
  <c r="H17" i="21"/>
  <c r="AB17" i="21" s="1"/>
  <c r="F17" i="21"/>
  <c r="S17" i="21" s="1"/>
  <c r="J17" i="21"/>
  <c r="F77" i="21"/>
  <c r="G77" i="21" s="1"/>
  <c r="J15" i="21"/>
  <c r="AC15" i="21" s="1"/>
  <c r="F15" i="21"/>
  <c r="H15" i="21"/>
  <c r="AB15" i="21" s="1"/>
  <c r="F69" i="21"/>
  <c r="S10" i="21"/>
  <c r="W10" i="21"/>
  <c r="W8" i="21"/>
  <c r="E8" i="52"/>
  <c r="W15" i="21"/>
  <c r="U15" i="21"/>
  <c r="M48" i="35"/>
  <c r="N48" i="35" s="1"/>
  <c r="O48" i="35" s="1"/>
  <c r="F7" i="35"/>
  <c r="J7" i="35"/>
  <c r="M52" i="37"/>
  <c r="F59" i="34"/>
  <c r="F7" i="36"/>
  <c r="H7" i="36"/>
  <c r="H7" i="35"/>
  <c r="G67" i="40"/>
  <c r="J7" i="36"/>
  <c r="G70" i="39"/>
  <c r="E72" i="39"/>
  <c r="F58" i="21"/>
  <c r="D58" i="33"/>
  <c r="AP9" i="1"/>
  <c r="G9" i="1"/>
  <c r="J51" i="15"/>
  <c r="C42" i="1"/>
  <c r="C28" i="73" s="1"/>
  <c r="AA43" i="21"/>
  <c r="U43" i="21"/>
  <c r="H113" i="21"/>
  <c r="J37" i="21"/>
  <c r="H37" i="21"/>
  <c r="F37" i="21"/>
  <c r="W32" i="21"/>
  <c r="W42" i="21"/>
  <c r="AA42" i="21"/>
  <c r="U42" i="21"/>
  <c r="S39" i="21"/>
  <c r="U39" i="21"/>
  <c r="AA38" i="21"/>
  <c r="AB36" i="21"/>
  <c r="AC35" i="21"/>
  <c r="AC34" i="21"/>
  <c r="S34" i="21"/>
  <c r="AB34" i="21"/>
  <c r="AC27" i="21"/>
  <c r="S27" i="21"/>
  <c r="S21" i="21"/>
  <c r="U19" i="21"/>
  <c r="S19" i="21"/>
  <c r="AA17" i="21"/>
  <c r="U17" i="21"/>
  <c r="B16" i="52"/>
  <c r="E11" i="52"/>
  <c r="P75" i="15"/>
  <c r="C5" i="46"/>
  <c r="D5" i="46"/>
  <c r="C39" i="46"/>
  <c r="G39" i="46" s="1"/>
  <c r="I39" i="46" s="1"/>
  <c r="C31" i="39"/>
  <c r="E39" i="46"/>
  <c r="C38" i="46"/>
  <c r="B54" i="46"/>
  <c r="C34" i="46"/>
  <c r="T11" i="46"/>
  <c r="V11" i="46" s="1"/>
  <c r="T8" i="46"/>
  <c r="V8" i="46" s="1"/>
  <c r="T15" i="46"/>
  <c r="V15" i="46" s="1"/>
  <c r="T9" i="46"/>
  <c r="V9" i="46" s="1"/>
  <c r="C37" i="46"/>
  <c r="C33" i="46"/>
  <c r="C36" i="46"/>
  <c r="T10" i="46"/>
  <c r="V10" i="46" s="1"/>
  <c r="T13" i="46"/>
  <c r="V13" i="46" s="1"/>
  <c r="T12" i="46"/>
  <c r="V12" i="46" s="1"/>
  <c r="T14" i="46"/>
  <c r="V14" i="46" s="1"/>
  <c r="T16" i="46"/>
  <c r="V16" i="46" s="1"/>
  <c r="C35" i="46"/>
  <c r="T2" i="46"/>
  <c r="V2" i="46" s="1"/>
  <c r="AP8" i="1"/>
  <c r="AP16" i="1" s="1"/>
  <c r="F22" i="11" s="1"/>
  <c r="G8" i="1"/>
  <c r="T4" i="46"/>
  <c r="V4" i="46" s="1"/>
  <c r="T7" i="46"/>
  <c r="V7" i="46" s="1"/>
  <c r="T6" i="46"/>
  <c r="V6" i="46" s="1"/>
  <c r="T3" i="46"/>
  <c r="V3" i="46" s="1"/>
  <c r="T5" i="46"/>
  <c r="V5" i="46" s="1"/>
  <c r="C29" i="46"/>
  <c r="E29" i="46" s="1"/>
  <c r="K106" i="46"/>
  <c r="M106" i="46"/>
  <c r="G109" i="46"/>
  <c r="G102" i="46"/>
  <c r="B117" i="46"/>
  <c r="C117" i="46" s="1"/>
  <c r="D118" i="46"/>
  <c r="E118" i="46" s="1"/>
  <c r="F118" i="46" s="1"/>
  <c r="B115" i="46"/>
  <c r="C115" i="46" s="1"/>
  <c r="L103" i="46"/>
  <c r="L106" i="46"/>
  <c r="E106" i="46"/>
  <c r="L105" i="46"/>
  <c r="E103" i="46"/>
  <c r="K105" i="46"/>
  <c r="K103" i="46"/>
  <c r="M105" i="46"/>
  <c r="D107" i="46"/>
  <c r="H103"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M102" i="46"/>
  <c r="D22" i="46"/>
  <c r="J103" i="46"/>
  <c r="N104" i="46"/>
  <c r="D103" i="46"/>
  <c r="C103" i="46"/>
  <c r="J107" i="46"/>
  <c r="I105" i="46"/>
  <c r="D109" i="46"/>
  <c r="H104" i="46"/>
  <c r="H105" i="46"/>
  <c r="BL5" i="3"/>
  <c r="C106" i="46"/>
  <c r="C104" i="46"/>
  <c r="J102" i="46"/>
  <c r="N109" i="46"/>
  <c r="F102" i="46"/>
  <c r="F109" i="46"/>
  <c r="Q16" i="1"/>
  <c r="D12" i="11"/>
  <c r="C12" i="11" s="1"/>
  <c r="K16" i="1"/>
  <c r="J109" i="46"/>
  <c r="C105" i="46"/>
  <c r="C102" i="46"/>
  <c r="C107" i="46"/>
  <c r="J105" i="46"/>
  <c r="J104" i="46"/>
  <c r="N103" i="46"/>
  <c r="D104" i="46"/>
  <c r="D105" i="46"/>
  <c r="H106" i="46"/>
  <c r="D102" i="46"/>
  <c r="H109" i="46"/>
  <c r="H107" i="46"/>
  <c r="G16" i="1"/>
  <c r="H16" i="1"/>
  <c r="E8" i="6"/>
  <c r="F27" i="6" s="1"/>
  <c r="L19" i="6"/>
  <c r="L27" i="6" s="1"/>
  <c r="F106" i="46"/>
  <c r="F107" i="46"/>
  <c r="F104" i="46"/>
  <c r="F105" i="46"/>
  <c r="G22" i="3"/>
  <c r="AZ22" i="3"/>
  <c r="AZ5" i="3" s="1"/>
  <c r="C30" i="46"/>
  <c r="E30" i="46" s="1"/>
  <c r="O10" i="1"/>
  <c r="P10" i="1" s="1"/>
  <c r="I107" i="46"/>
  <c r="N102" i="46"/>
  <c r="N106" i="46"/>
  <c r="I103" i="46"/>
  <c r="N107" i="46"/>
  <c r="I104" i="46"/>
  <c r="I109" i="46"/>
  <c r="M104" i="46"/>
  <c r="I106" i="46"/>
  <c r="M109" i="46"/>
  <c r="M103" i="46"/>
  <c r="O14" i="1"/>
  <c r="P14" i="1" s="1"/>
  <c r="O6" i="1"/>
  <c r="P6" i="1" s="1"/>
  <c r="M8" i="1"/>
  <c r="B13" i="52"/>
  <c r="B5" i="52"/>
  <c r="E13" i="52"/>
  <c r="E9" i="52"/>
  <c r="B22" i="52"/>
  <c r="B7" i="52"/>
  <c r="B6" i="52"/>
  <c r="E10" i="52"/>
  <c r="B8" i="52"/>
  <c r="B9" i="52"/>
  <c r="E16" i="52"/>
  <c r="B14" i="52"/>
  <c r="E15" i="52"/>
  <c r="E17" i="52"/>
  <c r="B4" i="52"/>
  <c r="B10" i="52"/>
  <c r="E22" i="52"/>
  <c r="E5" i="52"/>
  <c r="E4" i="52"/>
  <c r="E7" i="52"/>
  <c r="E14" i="52"/>
  <c r="E20" i="46"/>
  <c r="J1" i="65"/>
  <c r="Q73" i="44"/>
  <c r="Q72" i="15"/>
  <c r="M9" i="44"/>
  <c r="J8" i="44" s="1"/>
  <c r="J22" i="44"/>
  <c r="J54" i="44"/>
  <c r="J58" i="44"/>
  <c r="J56" i="44" s="1"/>
  <c r="J59" i="44" s="1"/>
  <c r="Q52" i="44" s="1"/>
  <c r="L57" i="44"/>
  <c r="J60" i="44"/>
  <c r="I55" i="44"/>
  <c r="J61" i="44"/>
  <c r="Q50" i="44" s="1"/>
  <c r="C36" i="44"/>
  <c r="L58" i="15"/>
  <c r="L59" i="15"/>
  <c r="L59" i="44"/>
  <c r="L60" i="44"/>
  <c r="J53" i="15"/>
  <c r="J57" i="15"/>
  <c r="J55" i="15" s="1"/>
  <c r="J58" i="15" s="1"/>
  <c r="Q51" i="15" s="1"/>
  <c r="I54" i="15"/>
  <c r="L56" i="15"/>
  <c r="L57" i="15"/>
  <c r="L60" i="15"/>
  <c r="F65" i="15"/>
  <c r="F64" i="15"/>
  <c r="F63" i="15"/>
  <c r="C4" i="65"/>
  <c r="B39" i="1" s="1"/>
  <c r="F50" i="15"/>
  <c r="C8" i="44"/>
  <c r="C29" i="44"/>
  <c r="F67" i="15"/>
  <c r="C27" i="15"/>
  <c r="F70" i="15"/>
  <c r="M7" i="15"/>
  <c r="J6" i="15" s="1"/>
  <c r="F49" i="15"/>
  <c r="C6" i="15"/>
  <c r="M29" i="73"/>
  <c r="L48" i="73"/>
  <c r="F26" i="73"/>
  <c r="F36" i="73"/>
  <c r="M26" i="73"/>
  <c r="F13" i="73"/>
  <c r="M24" i="73"/>
  <c r="F37" i="73"/>
  <c r="J15" i="73"/>
  <c r="M6" i="73"/>
  <c r="F42" i="73"/>
  <c r="L47" i="73"/>
  <c r="F9" i="73"/>
  <c r="M22" i="71"/>
  <c r="M28" i="71"/>
  <c r="F43" i="71"/>
  <c r="M26" i="71"/>
  <c r="M24" i="71"/>
  <c r="F42" i="71"/>
  <c r="M9" i="71"/>
  <c r="F6" i="71"/>
  <c r="J36" i="71"/>
  <c r="L48" i="71"/>
  <c r="F40" i="71"/>
  <c r="F38" i="71"/>
  <c r="L47" i="71"/>
  <c r="F9" i="71"/>
  <c r="C18" i="44"/>
  <c r="F7" i="73"/>
  <c r="F38" i="73"/>
  <c r="M8" i="73"/>
  <c r="F40" i="73"/>
  <c r="F16" i="73"/>
  <c r="M22" i="73"/>
  <c r="F26" i="71"/>
  <c r="F13" i="71"/>
  <c r="M8" i="71"/>
  <c r="M27" i="71"/>
  <c r="F37" i="71"/>
  <c r="F36" i="71"/>
  <c r="M23" i="71"/>
  <c r="J15" i="71"/>
  <c r="F8" i="71"/>
  <c r="E2" i="65"/>
  <c r="F43" i="73"/>
  <c r="M28" i="73"/>
  <c r="M23" i="73"/>
  <c r="J36" i="73"/>
  <c r="M9" i="73"/>
  <c r="M27" i="73"/>
  <c r="F6" i="73"/>
  <c r="F8" i="73"/>
  <c r="F16" i="71"/>
  <c r="M29" i="71"/>
  <c r="M6" i="71"/>
  <c r="F7" i="71"/>
  <c r="C16" i="15"/>
  <c r="E3" i="65"/>
  <c r="F50" i="71" l="1"/>
  <c r="L58" i="71"/>
  <c r="Q74" i="71" s="1"/>
  <c r="F49" i="71"/>
  <c r="M7" i="71"/>
  <c r="J6" i="71" s="1"/>
  <c r="J18" i="71" s="1"/>
  <c r="F65" i="71"/>
  <c r="F67" i="71"/>
  <c r="L57" i="71"/>
  <c r="J53" i="71"/>
  <c r="Q53" i="71" s="1"/>
  <c r="I54" i="71"/>
  <c r="L56" i="71"/>
  <c r="L60" i="71"/>
  <c r="J57" i="71"/>
  <c r="J55" i="71" s="1"/>
  <c r="J58" i="71" s="1"/>
  <c r="Q51" i="71" s="1"/>
  <c r="Q72" i="71"/>
  <c r="F63" i="71"/>
  <c r="C6" i="71"/>
  <c r="C32" i="71" s="1"/>
  <c r="F64" i="71"/>
  <c r="F70" i="71"/>
  <c r="C27" i="71"/>
  <c r="F50" i="73"/>
  <c r="L58" i="73"/>
  <c r="Q61" i="73" s="1"/>
  <c r="F67" i="73"/>
  <c r="F64" i="73"/>
  <c r="Q72" i="73"/>
  <c r="F63" i="73"/>
  <c r="F65" i="73"/>
  <c r="C27" i="73"/>
  <c r="F70" i="73"/>
  <c r="J53" i="73"/>
  <c r="F1" i="73" s="1"/>
  <c r="L59" i="71"/>
  <c r="E64" i="39"/>
  <c r="E59" i="40"/>
  <c r="E65" i="39"/>
  <c r="E60" i="40"/>
  <c r="A9" i="51"/>
  <c r="B9" i="63" s="1"/>
  <c r="A9" i="64"/>
  <c r="Q53" i="73"/>
  <c r="L56" i="73"/>
  <c r="L59" i="73"/>
  <c r="J57" i="73"/>
  <c r="J55" i="73" s="1"/>
  <c r="J58" i="73" s="1"/>
  <c r="Q51" i="73" s="1"/>
  <c r="I54" i="73"/>
  <c r="I65" i="40"/>
  <c r="H67" i="40"/>
  <c r="L60" i="73"/>
  <c r="Q74" i="73"/>
  <c r="L57" i="73"/>
  <c r="F49" i="73"/>
  <c r="M7" i="73"/>
  <c r="J6" i="73" s="1"/>
  <c r="J18" i="73" s="1"/>
  <c r="C6" i="73"/>
  <c r="O9" i="1"/>
  <c r="P9" i="1" s="1"/>
  <c r="O7" i="1"/>
  <c r="P7" i="1" s="1"/>
  <c r="F61" i="73"/>
  <c r="B40" i="1"/>
  <c r="F24" i="71" s="1"/>
  <c r="C24" i="71" s="1"/>
  <c r="M11" i="73"/>
  <c r="J10" i="73" s="1"/>
  <c r="J5" i="73" s="1"/>
  <c r="F11" i="73"/>
  <c r="U23" i="21"/>
  <c r="AB23" i="21"/>
  <c r="W23" i="21"/>
  <c r="AC23" i="21"/>
  <c r="S23" i="21"/>
  <c r="AA23" i="21"/>
  <c r="W19" i="21"/>
  <c r="AC19" i="21"/>
  <c r="AC17" i="21"/>
  <c r="W17" i="21"/>
  <c r="S15" i="21"/>
  <c r="AA15" i="21"/>
  <c r="G69" i="21"/>
  <c r="H69" i="21" s="1"/>
  <c r="I69" i="21" s="1"/>
  <c r="J69" i="21" s="1"/>
  <c r="K69" i="21" s="1"/>
  <c r="L69" i="21" s="1"/>
  <c r="M69" i="21" s="1"/>
  <c r="C28" i="71"/>
  <c r="C25" i="12"/>
  <c r="C27" i="43"/>
  <c r="C28" i="15"/>
  <c r="C30" i="44"/>
  <c r="C31" i="43"/>
  <c r="C15" i="43"/>
  <c r="G58" i="21"/>
  <c r="W7" i="36"/>
  <c r="AC7" i="36"/>
  <c r="V36" i="36" s="1"/>
  <c r="I36" i="36" s="1"/>
  <c r="U7" i="35"/>
  <c r="AB7" i="35"/>
  <c r="T38" i="35" s="1"/>
  <c r="G38" i="35" s="1"/>
  <c r="U7" i="36"/>
  <c r="AB7" i="36"/>
  <c r="T36" i="36" s="1"/>
  <c r="G36" i="36" s="1"/>
  <c r="N52" i="37"/>
  <c r="AA7" i="35"/>
  <c r="R38" i="35" s="1"/>
  <c r="S7" i="35"/>
  <c r="E58" i="33"/>
  <c r="H70" i="39"/>
  <c r="G72" i="39"/>
  <c r="AA7" i="36"/>
  <c r="R36" i="36" s="1"/>
  <c r="S7" i="36"/>
  <c r="G59" i="34"/>
  <c r="AC7" i="35"/>
  <c r="V38" i="35" s="1"/>
  <c r="I38" i="35" s="1"/>
  <c r="W7" i="35"/>
  <c r="S37" i="21"/>
  <c r="AA37" i="21"/>
  <c r="W37" i="21"/>
  <c r="AC37" i="21"/>
  <c r="U37" i="21"/>
  <c r="AB37" i="21"/>
  <c r="C33" i="71"/>
  <c r="Q61" i="71"/>
  <c r="Q67" i="71"/>
  <c r="Q58" i="71"/>
  <c r="F11" i="71"/>
  <c r="M11" i="71"/>
  <c r="J10" i="71" s="1"/>
  <c r="E38" i="46"/>
  <c r="G38" i="46"/>
  <c r="I38" i="46" s="1"/>
  <c r="G35" i="46"/>
  <c r="I35" i="46" s="1"/>
  <c r="E35" i="46"/>
  <c r="G36" i="46"/>
  <c r="I36" i="46" s="1"/>
  <c r="E36" i="46"/>
  <c r="G37" i="46"/>
  <c r="I37" i="46" s="1"/>
  <c r="E37" i="46"/>
  <c r="E33" i="46"/>
  <c r="C26" i="46" s="1"/>
  <c r="B2" i="46" s="1"/>
  <c r="G33" i="46"/>
  <c r="I33" i="46" s="1"/>
  <c r="C27" i="46" s="1"/>
  <c r="E34" i="46"/>
  <c r="G34" i="46"/>
  <c r="I34" i="46" s="1"/>
  <c r="D113" i="46"/>
  <c r="F33" i="12"/>
  <c r="C34" i="12" s="1"/>
  <c r="D33" i="12" s="1"/>
  <c r="F24" i="43"/>
  <c r="C26" i="43" s="1"/>
  <c r="D24" i="43" s="1"/>
  <c r="F18" i="11"/>
  <c r="C18" i="11" s="1"/>
  <c r="E58" i="39"/>
  <c r="E68" i="39" s="1"/>
  <c r="F31" i="6"/>
  <c r="E27" i="6"/>
  <c r="E53" i="40"/>
  <c r="E16" i="6"/>
  <c r="H12" i="39"/>
  <c r="J12" i="40"/>
  <c r="F12" i="40"/>
  <c r="H12" i="40"/>
  <c r="F12" i="39"/>
  <c r="J12" i="39"/>
  <c r="E3" i="6"/>
  <c r="D16" i="12" s="1"/>
  <c r="G5" i="3"/>
  <c r="B3" i="3" s="1"/>
  <c r="C15" i="12"/>
  <c r="E6" i="6"/>
  <c r="D45" i="9"/>
  <c r="D46" i="9"/>
  <c r="D10" i="11"/>
  <c r="D16" i="43"/>
  <c r="C16" i="43" s="1"/>
  <c r="L38" i="9"/>
  <c r="B14" i="66" s="1"/>
  <c r="B1" i="66" s="1"/>
  <c r="C21" i="4"/>
  <c r="O8" i="1"/>
  <c r="P8" i="1" s="1"/>
  <c r="M16" i="1"/>
  <c r="C48" i="15"/>
  <c r="F17" i="11"/>
  <c r="C17" i="11" s="1"/>
  <c r="J18" i="15"/>
  <c r="J20" i="44"/>
  <c r="F11" i="15"/>
  <c r="M11" i="15"/>
  <c r="J10" i="15" s="1"/>
  <c r="J5" i="15" s="1"/>
  <c r="F13" i="44"/>
  <c r="C12" i="44" s="1"/>
  <c r="C7" i="44" s="1"/>
  <c r="M13" i="44"/>
  <c r="J12" i="44" s="1"/>
  <c r="J7" i="44" s="1"/>
  <c r="F1" i="15"/>
  <c r="Q53" i="15"/>
  <c r="Q76" i="44"/>
  <c r="Q63" i="44"/>
  <c r="Q62" i="15"/>
  <c r="Q75" i="15"/>
  <c r="L47" i="44"/>
  <c r="Q54" i="44"/>
  <c r="F1" i="44"/>
  <c r="P28" i="46"/>
  <c r="O28" i="46"/>
  <c r="M28" i="46"/>
  <c r="N28" i="46"/>
  <c r="C33" i="15"/>
  <c r="C32" i="15"/>
  <c r="C34" i="44"/>
  <c r="Q58" i="15"/>
  <c r="Q67" i="15"/>
  <c r="Q62" i="44"/>
  <c r="Q75" i="44"/>
  <c r="Q61" i="15"/>
  <c r="Q74" i="15"/>
  <c r="C16" i="71"/>
  <c r="E7" i="67"/>
  <c r="B7" i="67"/>
  <c r="F7" i="67"/>
  <c r="AE7" i="1"/>
  <c r="C16" i="73"/>
  <c r="AE8" i="1"/>
  <c r="F1" i="71" l="1"/>
  <c r="J5" i="71"/>
  <c r="J24" i="71" s="1"/>
  <c r="Q75" i="71"/>
  <c r="Q62" i="71"/>
  <c r="C48" i="73"/>
  <c r="C48" i="71"/>
  <c r="P16" i="1"/>
  <c r="C13" i="12" s="1"/>
  <c r="C17" i="12" s="1"/>
  <c r="F21" i="43"/>
  <c r="Q75" i="73"/>
  <c r="Q62" i="73"/>
  <c r="Q67" i="73"/>
  <c r="Q58" i="73"/>
  <c r="J65" i="40"/>
  <c r="I67" i="40"/>
  <c r="F24" i="15"/>
  <c r="C24" i="15" s="1"/>
  <c r="E22" i="3"/>
  <c r="C33" i="21"/>
  <c r="C32" i="73"/>
  <c r="C33" i="73"/>
  <c r="F24" i="73"/>
  <c r="C24" i="73" s="1"/>
  <c r="F26" i="44"/>
  <c r="C26" i="44" s="1"/>
  <c r="F26" i="12"/>
  <c r="C27" i="12" s="1"/>
  <c r="D26" i="12" s="1"/>
  <c r="C32" i="12" s="1"/>
  <c r="D30" i="12" s="1"/>
  <c r="C52" i="73"/>
  <c r="C47" i="73" s="1"/>
  <c r="C10" i="73"/>
  <c r="C5" i="73" s="1"/>
  <c r="J26" i="73"/>
  <c r="J24" i="73"/>
  <c r="H72" i="39"/>
  <c r="I70" i="39"/>
  <c r="G41" i="36"/>
  <c r="H41" i="36" s="1"/>
  <c r="G40" i="36"/>
  <c r="H40" i="36" s="1"/>
  <c r="G42" i="35"/>
  <c r="H42" i="35" s="1"/>
  <c r="G43" i="35"/>
  <c r="H43" i="35" s="1"/>
  <c r="I40" i="36"/>
  <c r="J40" i="36" s="1"/>
  <c r="H58" i="21"/>
  <c r="I42" i="35"/>
  <c r="J42" i="35" s="1"/>
  <c r="H59" i="34"/>
  <c r="R37" i="36"/>
  <c r="E36" i="36"/>
  <c r="F58" i="33"/>
  <c r="R39" i="35"/>
  <c r="E38" i="35"/>
  <c r="I43" i="35" s="1"/>
  <c r="J43" i="35" s="1"/>
  <c r="O52" i="37"/>
  <c r="H7" i="37" s="1"/>
  <c r="J7" i="37"/>
  <c r="J26" i="71"/>
  <c r="C10" i="71"/>
  <c r="C5" i="71" s="1"/>
  <c r="C52" i="71"/>
  <c r="E3" i="67"/>
  <c r="E4" i="67"/>
  <c r="C19" i="11"/>
  <c r="C20" i="11" s="1"/>
  <c r="C21" i="11" s="1"/>
  <c r="C22" i="11" s="1"/>
  <c r="C23" i="11" s="1"/>
  <c r="B2" i="11" s="1"/>
  <c r="K19" i="6"/>
  <c r="K22" i="6"/>
  <c r="K24" i="6"/>
  <c r="M24" i="6" s="1"/>
  <c r="I24" i="6" s="1"/>
  <c r="S24" i="6" s="1"/>
  <c r="K23" i="6"/>
  <c r="K20" i="6"/>
  <c r="K21" i="6"/>
  <c r="K26" i="6"/>
  <c r="M26" i="6" s="1"/>
  <c r="I26" i="6" s="1"/>
  <c r="S26" i="6" s="1"/>
  <c r="E31" i="6"/>
  <c r="K25" i="6"/>
  <c r="M25" i="6" s="1"/>
  <c r="I25" i="6" s="1"/>
  <c r="S25" i="6" s="1"/>
  <c r="AA12" i="39"/>
  <c r="S12" i="39"/>
  <c r="AA12" i="40"/>
  <c r="S12" i="40"/>
  <c r="AB12" i="39"/>
  <c r="U12" i="39"/>
  <c r="AC12" i="39"/>
  <c r="W12" i="39"/>
  <c r="U12" i="40"/>
  <c r="AB12" i="40"/>
  <c r="AC12" i="40"/>
  <c r="W12" i="40"/>
  <c r="E297" i="3"/>
  <c r="E395" i="3"/>
  <c r="AN6" i="3"/>
  <c r="E280" i="3"/>
  <c r="E59" i="3"/>
  <c r="E270" i="3"/>
  <c r="E464" i="3"/>
  <c r="E157" i="3"/>
  <c r="E209" i="3"/>
  <c r="E161" i="3"/>
  <c r="E450" i="3"/>
  <c r="E492" i="3"/>
  <c r="E149" i="3"/>
  <c r="E295" i="3"/>
  <c r="E249" i="3"/>
  <c r="E89" i="3"/>
  <c r="E549"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11" i="3"/>
  <c r="E41" i="3"/>
  <c r="E418" i="3"/>
  <c r="E92" i="3"/>
  <c r="E414" i="3"/>
  <c r="E202" i="3"/>
  <c r="E131" i="3"/>
  <c r="E304" i="3"/>
  <c r="E16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250" i="3"/>
  <c r="E471" i="3"/>
  <c r="E408" i="3"/>
  <c r="E238" i="3"/>
  <c r="E44" i="3"/>
  <c r="E36" i="3"/>
  <c r="E237" i="3"/>
  <c r="E428"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50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85"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475" i="3"/>
  <c r="E421" i="3"/>
  <c r="E206" i="3"/>
  <c r="E132" i="3"/>
  <c r="E333" i="3"/>
  <c r="E91" i="3"/>
  <c r="E115" i="3"/>
  <c r="E359" i="3"/>
  <c r="E195" i="3"/>
  <c r="E391" i="3"/>
  <c r="E321" i="3"/>
  <c r="E127" i="3"/>
  <c r="E311" i="3"/>
  <c r="E263" i="3"/>
  <c r="E424" i="3"/>
  <c r="E82" i="3"/>
  <c r="E164" i="3"/>
  <c r="E99" i="3"/>
  <c r="E262" i="3"/>
  <c r="E101" i="3"/>
  <c r="E162"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M6" i="3"/>
  <c r="E241" i="3"/>
  <c r="E69" i="3"/>
  <c r="E446" i="3"/>
  <c r="E152" i="3"/>
  <c r="E437" i="3"/>
  <c r="E46" i="3"/>
  <c r="E221" i="3"/>
  <c r="E457" i="3"/>
  <c r="E31" i="3"/>
  <c r="X6" i="3"/>
  <c r="AA6" i="3"/>
  <c r="AD6" i="3"/>
  <c r="E222" i="3"/>
  <c r="E388" i="3"/>
  <c r="E430" i="3"/>
  <c r="E146" i="3"/>
  <c r="E77" i="3"/>
  <c r="E434" i="3"/>
  <c r="E552" i="3"/>
  <c r="E57" i="3"/>
  <c r="E283" i="3"/>
  <c r="E535" i="3"/>
  <c r="E156" i="3"/>
  <c r="E381" i="3"/>
  <c r="E49" i="3"/>
  <c r="E427" i="3"/>
  <c r="E193" i="3"/>
  <c r="E278" i="3"/>
  <c r="E104" i="3"/>
  <c r="E94" i="3"/>
  <c r="E534" i="3"/>
  <c r="E376" i="3"/>
  <c r="E387" i="3"/>
  <c r="E294" i="3"/>
  <c r="R6" i="3"/>
  <c r="E21" i="3"/>
  <c r="E125" i="3"/>
  <c r="E561" i="3"/>
  <c r="E23" i="3"/>
  <c r="E443" i="3"/>
  <c r="E265" i="3"/>
  <c r="E194" i="3"/>
  <c r="AM6" i="3"/>
  <c r="E78" i="3"/>
  <c r="E337" i="3"/>
  <c r="E390" i="3"/>
  <c r="E158" i="3"/>
  <c r="E296" i="3"/>
  <c r="E472" i="3"/>
  <c r="E187" i="3"/>
  <c r="E253" i="3"/>
  <c r="E225" i="3"/>
  <c r="E537" i="3"/>
  <c r="E199" i="3"/>
  <c r="AY6" i="3"/>
  <c r="B2" i="67"/>
  <c r="C14" i="12"/>
  <c r="O16" i="1"/>
  <c r="B4" i="46"/>
  <c r="D4" i="46"/>
  <c r="B3" i="46"/>
  <c r="C7" i="66"/>
  <c r="C8" i="66"/>
  <c r="C16" i="12"/>
  <c r="D19" i="12"/>
  <c r="C19" i="12" s="1"/>
  <c r="L16" i="1"/>
  <c r="N16" i="1"/>
  <c r="C29" i="43" s="1"/>
  <c r="C13" i="43"/>
  <c r="O5" i="54"/>
  <c r="B45" i="63" s="1"/>
  <c r="D22" i="12"/>
  <c r="C22" i="12" s="1"/>
  <c r="C20" i="12" s="1"/>
  <c r="D13" i="11"/>
  <c r="C13" i="11" s="1"/>
  <c r="J28" i="44"/>
  <c r="J31" i="44" s="1"/>
  <c r="J26" i="44"/>
  <c r="J26" i="15"/>
  <c r="J24" i="15"/>
  <c r="C40" i="44"/>
  <c r="C23" i="43"/>
  <c r="D21" i="43" s="1"/>
  <c r="C10" i="15"/>
  <c r="C5" i="15" s="1"/>
  <c r="C52" i="15"/>
  <c r="C47" i="15" s="1"/>
  <c r="F41" i="15"/>
  <c r="L52" i="44"/>
  <c r="AE9" i="1"/>
  <c r="F41" i="73"/>
  <c r="F41" i="71"/>
  <c r="C47" i="71" l="1"/>
  <c r="C65" i="71" s="1"/>
  <c r="M23" i="6"/>
  <c r="I23" i="6" s="1"/>
  <c r="S23" i="6" s="1"/>
  <c r="S10" i="1"/>
  <c r="J67" i="40"/>
  <c r="K65" i="40"/>
  <c r="F68" i="15"/>
  <c r="J29" i="15"/>
  <c r="F68" i="71"/>
  <c r="J29" i="71"/>
  <c r="H33" i="21"/>
  <c r="J33" i="21"/>
  <c r="F33" i="21"/>
  <c r="F68" i="73"/>
  <c r="J29" i="73"/>
  <c r="C59" i="73"/>
  <c r="C65" i="73"/>
  <c r="C60" i="73"/>
  <c r="C38" i="73"/>
  <c r="U7" i="37"/>
  <c r="AB7" i="37"/>
  <c r="T42" i="37" s="1"/>
  <c r="G42" i="37" s="1"/>
  <c r="AC7" i="37"/>
  <c r="V42" i="37" s="1"/>
  <c r="I42" i="37" s="1"/>
  <c r="W7" i="37"/>
  <c r="C39" i="35"/>
  <c r="B3" i="35" s="1"/>
  <c r="B2" i="35" s="1"/>
  <c r="C38" i="35"/>
  <c r="E40" i="36"/>
  <c r="F40" i="36" s="1"/>
  <c r="E41" i="36"/>
  <c r="F41" i="36" s="1"/>
  <c r="I59" i="34"/>
  <c r="I58" i="21"/>
  <c r="J58" i="21" s="1"/>
  <c r="K58" i="21" s="1"/>
  <c r="L58" i="21" s="1"/>
  <c r="M58" i="21" s="1"/>
  <c r="N58" i="21" s="1"/>
  <c r="O58" i="21" s="1"/>
  <c r="J7" i="21"/>
  <c r="H7" i="21"/>
  <c r="I72" i="39"/>
  <c r="J70" i="39"/>
  <c r="F7" i="37"/>
  <c r="E43" i="35"/>
  <c r="F43" i="35" s="1"/>
  <c r="E42" i="35"/>
  <c r="F42" i="35" s="1"/>
  <c r="G58" i="33"/>
  <c r="C37" i="36"/>
  <c r="B3" i="36" s="1"/>
  <c r="B2" i="36" s="1"/>
  <c r="C36" i="36"/>
  <c r="F7" i="21"/>
  <c r="I41" i="36"/>
  <c r="J41" i="36" s="1"/>
  <c r="C59" i="71"/>
  <c r="C38" i="71"/>
  <c r="B3" i="67"/>
  <c r="AC6" i="3"/>
  <c r="B4" i="67"/>
  <c r="C18" i="12"/>
  <c r="C23" i="12" s="1"/>
  <c r="M21" i="6"/>
  <c r="I21" i="6" s="1"/>
  <c r="S21" i="6" s="1"/>
  <c r="S8" i="1"/>
  <c r="M22" i="6"/>
  <c r="I22" i="6" s="1"/>
  <c r="S22" i="6" s="1"/>
  <c r="S9" i="1"/>
  <c r="S7" i="1"/>
  <c r="M20" i="6"/>
  <c r="I20" i="6" s="1"/>
  <c r="S20" i="6" s="1"/>
  <c r="K27" i="6"/>
  <c r="M19" i="6"/>
  <c r="S6" i="1"/>
  <c r="H6" i="3"/>
  <c r="E6" i="3" s="1"/>
  <c r="D3" i="6"/>
  <c r="B66" i="1"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C17" i="43"/>
  <c r="C14" i="43"/>
  <c r="Q69" i="44"/>
  <c r="L58" i="44"/>
  <c r="L61" i="44" s="1"/>
  <c r="B5" i="11"/>
  <c r="B3" i="11"/>
  <c r="C38" i="15"/>
  <c r="Q58" i="44"/>
  <c r="Q67" i="44"/>
  <c r="Q49" i="44"/>
  <c r="Q55" i="44" s="1"/>
  <c r="C65" i="15"/>
  <c r="C59" i="15"/>
  <c r="C60" i="15"/>
  <c r="C17" i="15"/>
  <c r="C17" i="71"/>
  <c r="C17" i="73"/>
  <c r="C60" i="71" l="1"/>
  <c r="L65" i="40"/>
  <c r="K67" i="40"/>
  <c r="S16" i="1"/>
  <c r="W33" i="21"/>
  <c r="AC33" i="21"/>
  <c r="S33" i="21"/>
  <c r="AA33" i="21"/>
  <c r="U33" i="21"/>
  <c r="AB33" i="21"/>
  <c r="H58" i="33"/>
  <c r="J72" i="39"/>
  <c r="K70" i="39"/>
  <c r="U7" i="21"/>
  <c r="AB7" i="21"/>
  <c r="J59" i="34"/>
  <c r="I46" i="37"/>
  <c r="J46" i="37" s="1"/>
  <c r="AA7" i="21"/>
  <c r="S7" i="21"/>
  <c r="AA7" i="37"/>
  <c r="R42" i="37" s="1"/>
  <c r="S7" i="37"/>
  <c r="AC7" i="21"/>
  <c r="W7" i="21"/>
  <c r="G47" i="37"/>
  <c r="H47" i="37" s="1"/>
  <c r="G46" i="37"/>
  <c r="H46" i="37" s="1"/>
  <c r="T8" i="1"/>
  <c r="T10" i="1"/>
  <c r="T13" i="1"/>
  <c r="T9" i="1"/>
  <c r="I19" i="6"/>
  <c r="M27" i="6"/>
  <c r="C18" i="43"/>
  <c r="C19" i="43" s="1"/>
  <c r="C25" i="43" s="1"/>
  <c r="C24" i="43" s="1"/>
  <c r="E63" i="40"/>
  <c r="E45" i="9"/>
  <c r="K38" i="9"/>
  <c r="C14" i="66" s="1"/>
  <c r="B2" i="66" s="1"/>
  <c r="F46" i="9"/>
  <c r="C22" i="4"/>
  <c r="F45" i="9"/>
  <c r="E46" i="9"/>
  <c r="C40" i="39"/>
  <c r="D8" i="6"/>
  <c r="D9" i="6"/>
  <c r="D14" i="6"/>
  <c r="D5" i="6"/>
  <c r="D23" i="6"/>
  <c r="D26" i="6"/>
  <c r="H23" i="6"/>
  <c r="H24" i="6"/>
  <c r="D13" i="6"/>
  <c r="D12" i="6"/>
  <c r="D15" i="6"/>
  <c r="D10" i="6"/>
  <c r="D11" i="6"/>
  <c r="D29" i="6"/>
  <c r="D19" i="6"/>
  <c r="D22" i="6"/>
  <c r="D25" i="6"/>
  <c r="D28" i="6"/>
  <c r="D30" i="6" s="1"/>
  <c r="D20" i="6"/>
  <c r="H25" i="6"/>
  <c r="H26" i="6"/>
  <c r="D21" i="6"/>
  <c r="D24" i="6"/>
  <c r="D6" i="6"/>
  <c r="H20" i="6"/>
  <c r="H21" i="6"/>
  <c r="R21" i="6" s="1"/>
  <c r="R8" i="1" s="1"/>
  <c r="H22" i="6"/>
  <c r="B4" i="11"/>
  <c r="Q68" i="44"/>
  <c r="Q77" i="44" s="1"/>
  <c r="Q59" i="44"/>
  <c r="Q64" i="44" s="1"/>
  <c r="F35" i="15"/>
  <c r="M21" i="15"/>
  <c r="C14" i="15"/>
  <c r="C14" i="71"/>
  <c r="L67" i="40" l="1"/>
  <c r="M65" i="40"/>
  <c r="T6" i="1"/>
  <c r="T12" i="1"/>
  <c r="T7" i="1"/>
  <c r="T11" i="1"/>
  <c r="C15" i="71"/>
  <c r="C18" i="71"/>
  <c r="R43" i="37"/>
  <c r="E42" i="37"/>
  <c r="K59" i="34"/>
  <c r="K72" i="39"/>
  <c r="L70" i="39"/>
  <c r="I58" i="33"/>
  <c r="L46" i="71"/>
  <c r="C18" i="15"/>
  <c r="C15" i="15"/>
  <c r="I27" i="6"/>
  <c r="H19" i="6"/>
  <c r="R19" i="6" s="1"/>
  <c r="S19" i="6"/>
  <c r="S27" i="6" s="1"/>
  <c r="C22" i="43"/>
  <c r="C21" i="43" s="1"/>
  <c r="C28" i="43" s="1"/>
  <c r="C30" i="43" s="1"/>
  <c r="C32" i="43" s="1"/>
  <c r="B2" i="43" s="1"/>
  <c r="R22" i="6"/>
  <c r="R9" i="1" s="1"/>
  <c r="R24" i="6"/>
  <c r="R25" i="6"/>
  <c r="D27" i="6"/>
  <c r="D31" i="6" s="1"/>
  <c r="D16" i="6"/>
  <c r="C34" i="15"/>
  <c r="C31" i="15" s="1"/>
  <c r="F62" i="15"/>
  <c r="C61" i="15" s="1"/>
  <c r="C58" i="15" s="1"/>
  <c r="J20" i="15"/>
  <c r="R20" i="6"/>
  <c r="R7" i="1" s="1"/>
  <c r="I6" i="6"/>
  <c r="I5" i="6"/>
  <c r="R23" i="6"/>
  <c r="R10" i="1" s="1"/>
  <c r="N5" i="54"/>
  <c r="B43" i="63" s="1"/>
  <c r="A20" i="64"/>
  <c r="A20" i="51"/>
  <c r="B15" i="63" s="1"/>
  <c r="A6" i="64"/>
  <c r="A6" i="51"/>
  <c r="B7" i="63" s="1"/>
  <c r="D8" i="66"/>
  <c r="D7" i="66"/>
  <c r="R26" i="6"/>
  <c r="F40" i="39"/>
  <c r="J40" i="39"/>
  <c r="H40" i="39"/>
  <c r="R6" i="1"/>
  <c r="C14" i="73"/>
  <c r="M21" i="71"/>
  <c r="C16" i="44"/>
  <c r="F35" i="73"/>
  <c r="M21" i="73"/>
  <c r="F35" i="71"/>
  <c r="C20" i="44" l="1"/>
  <c r="C17" i="44"/>
  <c r="R16" i="1"/>
  <c r="R27" i="6"/>
  <c r="N65" i="40"/>
  <c r="N67" i="40" s="1"/>
  <c r="M67" i="40"/>
  <c r="C19" i="71"/>
  <c r="C18" i="73"/>
  <c r="C15" i="73"/>
  <c r="T16" i="1"/>
  <c r="J20" i="73"/>
  <c r="F62" i="73"/>
  <c r="C61" i="73" s="1"/>
  <c r="C58" i="73" s="1"/>
  <c r="C34" i="73"/>
  <c r="C31" i="73" s="1"/>
  <c r="J20" i="71"/>
  <c r="C34" i="71"/>
  <c r="C31" i="71" s="1"/>
  <c r="F62" i="71"/>
  <c r="C61" i="71" s="1"/>
  <c r="C58" i="71" s="1"/>
  <c r="C13" i="39"/>
  <c r="F13" i="39" s="1"/>
  <c r="C11" i="21"/>
  <c r="C20" i="71"/>
  <c r="C26" i="71" s="1"/>
  <c r="J58" i="33"/>
  <c r="K58" i="33" s="1"/>
  <c r="L58" i="33" s="1"/>
  <c r="M58" i="33" s="1"/>
  <c r="N58" i="33" s="1"/>
  <c r="O58" i="33" s="1"/>
  <c r="H7" i="33"/>
  <c r="J7" i="33"/>
  <c r="E46" i="37"/>
  <c r="F46" i="37" s="1"/>
  <c r="E47" i="37"/>
  <c r="F47" i="37" s="1"/>
  <c r="I47" i="37"/>
  <c r="J47" i="37" s="1"/>
  <c r="F7" i="33"/>
  <c r="M70" i="39"/>
  <c r="L72" i="39"/>
  <c r="L59" i="34"/>
  <c r="C42" i="37"/>
  <c r="C43" i="37"/>
  <c r="B3" i="37" s="1"/>
  <c r="B2" i="37" s="1"/>
  <c r="C19" i="15"/>
  <c r="C20" i="15" s="1"/>
  <c r="C23" i="15" s="1"/>
  <c r="H27" i="6"/>
  <c r="AB40" i="39"/>
  <c r="U40" i="39"/>
  <c r="AA40" i="39"/>
  <c r="S40" i="39"/>
  <c r="J13" i="39"/>
  <c r="H13" i="39"/>
  <c r="AC40" i="39"/>
  <c r="W40" i="39"/>
  <c r="B3" i="43"/>
  <c r="B4" i="43"/>
  <c r="B5" i="43"/>
  <c r="C21" i="44" l="1"/>
  <c r="C22" i="44" s="1"/>
  <c r="C25" i="44" s="1"/>
  <c r="J9" i="40"/>
  <c r="F9" i="40"/>
  <c r="H9" i="40"/>
  <c r="C19" i="73"/>
  <c r="C20" i="73" s="1"/>
  <c r="C26" i="73" s="1"/>
  <c r="C26" i="15"/>
  <c r="C29" i="15" s="1"/>
  <c r="C13" i="15" s="1"/>
  <c r="C23" i="71"/>
  <c r="C29" i="71" s="1"/>
  <c r="J14" i="71" s="1"/>
  <c r="F11" i="21"/>
  <c r="H11" i="21"/>
  <c r="J11" i="21"/>
  <c r="AA7" i="33"/>
  <c r="R48" i="33" s="1"/>
  <c r="S7" i="33"/>
  <c r="AB7" i="33"/>
  <c r="T48" i="33" s="1"/>
  <c r="G48" i="33" s="1"/>
  <c r="U7" i="33"/>
  <c r="M59" i="34"/>
  <c r="N70" i="39"/>
  <c r="N72" i="39" s="1"/>
  <c r="M72" i="39"/>
  <c r="AC7" i="33"/>
  <c r="V48" i="33" s="1"/>
  <c r="I48" i="33" s="1"/>
  <c r="W7" i="33"/>
  <c r="U13" i="39"/>
  <c r="AB13" i="39"/>
  <c r="AC13" i="39"/>
  <c r="W13" i="39"/>
  <c r="AA13" i="39"/>
  <c r="S13" i="39"/>
  <c r="C28" i="44" l="1"/>
  <c r="C31" i="44" s="1"/>
  <c r="Q51" i="44" s="1"/>
  <c r="J19" i="15"/>
  <c r="J17" i="15" s="1"/>
  <c r="C56" i="15"/>
  <c r="C63" i="15" s="1"/>
  <c r="C36" i="15"/>
  <c r="AA9" i="40"/>
  <c r="R44" i="40" s="1"/>
  <c r="S9" i="40"/>
  <c r="U9" i="40"/>
  <c r="AB9" i="40"/>
  <c r="T44" i="40" s="1"/>
  <c r="G44" i="40" s="1"/>
  <c r="AC9" i="40"/>
  <c r="V44" i="40" s="1"/>
  <c r="I44" i="40" s="1"/>
  <c r="I48" i="40" s="1"/>
  <c r="J48" i="40" s="1"/>
  <c r="W9" i="40"/>
  <c r="J14" i="15"/>
  <c r="J22" i="15" s="1"/>
  <c r="J59" i="15"/>
  <c r="J60" i="15" s="1"/>
  <c r="Q49" i="15" s="1"/>
  <c r="Q50" i="15"/>
  <c r="C23" i="73"/>
  <c r="C29" i="73" s="1"/>
  <c r="J14" i="73" s="1"/>
  <c r="J19" i="71"/>
  <c r="J17" i="71" s="1"/>
  <c r="C36" i="71"/>
  <c r="Q50" i="71"/>
  <c r="J59" i="71"/>
  <c r="J60" i="71" s="1"/>
  <c r="Q49" i="71" s="1"/>
  <c r="C56" i="71"/>
  <c r="C63" i="71" s="1"/>
  <c r="C13" i="71"/>
  <c r="C55" i="71" s="1"/>
  <c r="C64" i="71" s="1"/>
  <c r="W11" i="21"/>
  <c r="AC11" i="21"/>
  <c r="V48" i="21" s="1"/>
  <c r="I48" i="21" s="1"/>
  <c r="AA11" i="21"/>
  <c r="R48" i="21" s="1"/>
  <c r="S11" i="21"/>
  <c r="U11" i="21"/>
  <c r="AB11" i="21"/>
  <c r="T48" i="21" s="1"/>
  <c r="G48" i="21" s="1"/>
  <c r="J22" i="71"/>
  <c r="J13" i="71"/>
  <c r="J23" i="71" s="1"/>
  <c r="I52" i="33"/>
  <c r="J52" i="33" s="1"/>
  <c r="H9" i="39"/>
  <c r="J9" i="39"/>
  <c r="F9" i="39"/>
  <c r="N59" i="34"/>
  <c r="G53" i="33"/>
  <c r="H53" i="33" s="1"/>
  <c r="G52" i="33"/>
  <c r="H52" i="33" s="1"/>
  <c r="R49" i="33"/>
  <c r="E48" i="33"/>
  <c r="L46" i="15"/>
  <c r="C55" i="15"/>
  <c r="C64" i="15" s="1"/>
  <c r="Q71" i="15"/>
  <c r="C37" i="15"/>
  <c r="C30" i="15" s="1"/>
  <c r="C39" i="15" s="1"/>
  <c r="J35" i="15"/>
  <c r="L51" i="15"/>
  <c r="C38" i="44" l="1"/>
  <c r="J21" i="44"/>
  <c r="J19" i="44" s="1"/>
  <c r="C57" i="15"/>
  <c r="C66" i="15" s="1"/>
  <c r="C67" i="15" s="1"/>
  <c r="C70" i="15" s="1"/>
  <c r="C35" i="44"/>
  <c r="C33" i="44" s="1"/>
  <c r="J16" i="44"/>
  <c r="J24" i="44" s="1"/>
  <c r="C15" i="44"/>
  <c r="Q72" i="44" s="1"/>
  <c r="G48" i="40"/>
  <c r="H48" i="40" s="1"/>
  <c r="G49" i="40"/>
  <c r="H49" i="40" s="1"/>
  <c r="E44" i="40"/>
  <c r="R45" i="40"/>
  <c r="J13" i="15"/>
  <c r="J23" i="15" s="1"/>
  <c r="J16" i="15" s="1"/>
  <c r="J25" i="15" s="1"/>
  <c r="C13" i="73"/>
  <c r="J22" i="73"/>
  <c r="J13" i="73"/>
  <c r="J23" i="73" s="1"/>
  <c r="Q71" i="71"/>
  <c r="C36" i="73"/>
  <c r="J19" i="73"/>
  <c r="J17" i="73" s="1"/>
  <c r="C56" i="73"/>
  <c r="C63" i="73" s="1"/>
  <c r="J59" i="73"/>
  <c r="J60" i="73" s="1"/>
  <c r="Q49" i="73" s="1"/>
  <c r="Q50" i="73"/>
  <c r="C37" i="71"/>
  <c r="C30" i="71" s="1"/>
  <c r="C39" i="71" s="1"/>
  <c r="C40" i="71" s="1"/>
  <c r="J35" i="73"/>
  <c r="C57" i="71"/>
  <c r="C66" i="71" s="1"/>
  <c r="C67" i="71" s="1"/>
  <c r="C70" i="71" s="1"/>
  <c r="J35" i="71"/>
  <c r="J16" i="71"/>
  <c r="J25" i="71" s="1"/>
  <c r="E48" i="21"/>
  <c r="R49" i="21"/>
  <c r="G52" i="21"/>
  <c r="H52" i="21" s="1"/>
  <c r="G53" i="21"/>
  <c r="H53" i="21" s="1"/>
  <c r="I52" i="21"/>
  <c r="J52" i="21" s="1"/>
  <c r="I53" i="21"/>
  <c r="J53" i="21" s="1"/>
  <c r="C49" i="33"/>
  <c r="B3" i="33" s="1"/>
  <c r="B2" i="33" s="1"/>
  <c r="C48" i="33"/>
  <c r="O59" i="34"/>
  <c r="J7" i="34"/>
  <c r="E53" i="33"/>
  <c r="F53" i="33" s="1"/>
  <c r="E52" i="33"/>
  <c r="F52" i="33" s="1"/>
  <c r="AC9" i="39"/>
  <c r="V49" i="39" s="1"/>
  <c r="I49" i="39" s="1"/>
  <c r="W9" i="39"/>
  <c r="I53" i="33"/>
  <c r="J53" i="33" s="1"/>
  <c r="AA9" i="39"/>
  <c r="R49" i="39" s="1"/>
  <c r="S9" i="39"/>
  <c r="AB9" i="39"/>
  <c r="T49" i="39" s="1"/>
  <c r="G49" i="39" s="1"/>
  <c r="U9" i="39"/>
  <c r="Q68" i="15"/>
  <c r="J39" i="15"/>
  <c r="J40" i="15" s="1"/>
  <c r="Q70" i="15"/>
  <c r="Q69" i="15" s="1"/>
  <c r="C40" i="15"/>
  <c r="L51" i="71"/>
  <c r="C39" i="44" l="1"/>
  <c r="C32" i="44" s="1"/>
  <c r="C42" i="44" s="1"/>
  <c r="J15" i="44"/>
  <c r="J25" i="44" s="1"/>
  <c r="C43" i="44"/>
  <c r="C44" i="44" s="1"/>
  <c r="C45" i="44" s="1"/>
  <c r="B2" i="44" s="1"/>
  <c r="C45" i="40"/>
  <c r="C44" i="40"/>
  <c r="E49" i="40"/>
  <c r="F49" i="40" s="1"/>
  <c r="E48" i="40"/>
  <c r="F48" i="40" s="1"/>
  <c r="I49" i="40"/>
  <c r="J49" i="40" s="1"/>
  <c r="J16" i="73"/>
  <c r="J25" i="73" s="1"/>
  <c r="Q70" i="71"/>
  <c r="J39" i="71"/>
  <c r="J40" i="71" s="1"/>
  <c r="Q69" i="71"/>
  <c r="Q71" i="73"/>
  <c r="C37" i="73"/>
  <c r="C30" i="73" s="1"/>
  <c r="C39" i="73" s="1"/>
  <c r="J39" i="73" s="1"/>
  <c r="J40" i="73" s="1"/>
  <c r="C55" i="73"/>
  <c r="C64" i="73" s="1"/>
  <c r="C57" i="73" s="1"/>
  <c r="C66" i="73" s="1"/>
  <c r="C67" i="73" s="1"/>
  <c r="Q68" i="71"/>
  <c r="C48" i="21"/>
  <c r="C49" i="21"/>
  <c r="B3" i="21" s="1"/>
  <c r="E52" i="21"/>
  <c r="F52" i="21" s="1"/>
  <c r="E53" i="21"/>
  <c r="F53" i="21" s="1"/>
  <c r="C46" i="71"/>
  <c r="Q66" i="71"/>
  <c r="Q76" i="71" s="1"/>
  <c r="Q48" i="71"/>
  <c r="Q54" i="71" s="1"/>
  <c r="B2" i="71"/>
  <c r="Q57" i="71"/>
  <c r="Q63" i="71" s="1"/>
  <c r="C43" i="71"/>
  <c r="J42" i="71"/>
  <c r="J43" i="71" s="1"/>
  <c r="AC7" i="34"/>
  <c r="V49" i="34" s="1"/>
  <c r="I49" i="34" s="1"/>
  <c r="W7" i="34"/>
  <c r="I53" i="39"/>
  <c r="J53" i="39" s="1"/>
  <c r="G53" i="39"/>
  <c r="H53" i="39" s="1"/>
  <c r="G54" i="39"/>
  <c r="H54" i="39" s="1"/>
  <c r="E49" i="39"/>
  <c r="R50" i="39"/>
  <c r="H7" i="34"/>
  <c r="F7" i="34"/>
  <c r="Q71" i="44"/>
  <c r="Q70" i="44" s="1"/>
  <c r="J18" i="44"/>
  <c r="J27" i="44" s="1"/>
  <c r="Q48" i="15"/>
  <c r="Q54" i="15" s="1"/>
  <c r="C43" i="15"/>
  <c r="B2" i="15"/>
  <c r="Q57" i="15"/>
  <c r="Q63" i="15" s="1"/>
  <c r="Q66" i="15"/>
  <c r="Q76" i="15" s="1"/>
  <c r="J42" i="15"/>
  <c r="J43" i="15" s="1"/>
  <c r="C46" i="15"/>
  <c r="L51" i="73"/>
  <c r="B53" i="40" l="1"/>
  <c r="F53" i="40" s="1"/>
  <c r="B55" i="40"/>
  <c r="F55" i="40" s="1"/>
  <c r="B57" i="40"/>
  <c r="F57" i="40" s="1"/>
  <c r="B58" i="40"/>
  <c r="F58" i="40" s="1"/>
  <c r="B54" i="40"/>
  <c r="F54" i="40" s="1"/>
  <c r="F63" i="40"/>
  <c r="B2" i="40" s="1"/>
  <c r="B59" i="40"/>
  <c r="F59" i="40" s="1"/>
  <c r="B62" i="40"/>
  <c r="F62" i="40" s="1"/>
  <c r="B60" i="40"/>
  <c r="F60" i="40" s="1"/>
  <c r="B56" i="40"/>
  <c r="F56" i="40" s="1"/>
  <c r="B61" i="40"/>
  <c r="F61" i="40" s="1"/>
  <c r="B3" i="15"/>
  <c r="Q68" i="73"/>
  <c r="C70" i="73"/>
  <c r="C40" i="73"/>
  <c r="Q70" i="73"/>
  <c r="Q69" i="73" s="1"/>
  <c r="B3" i="71"/>
  <c r="L10" i="12"/>
  <c r="B2" i="21"/>
  <c r="E10" i="12"/>
  <c r="AB7" i="34"/>
  <c r="T49" i="34" s="1"/>
  <c r="G49" i="34" s="1"/>
  <c r="U7" i="34"/>
  <c r="C49" i="39"/>
  <c r="C50" i="39"/>
  <c r="AA7" i="34"/>
  <c r="R49" i="34" s="1"/>
  <c r="S7" i="34"/>
  <c r="E54" i="39"/>
  <c r="F54" i="39" s="1"/>
  <c r="E53" i="39"/>
  <c r="F53" i="39" s="1"/>
  <c r="I54" i="39"/>
  <c r="J54" i="39" s="1"/>
  <c r="I53" i="34"/>
  <c r="J53" i="34" s="1"/>
  <c r="B3" i="44"/>
  <c r="B5" i="44"/>
  <c r="B4" i="44"/>
  <c r="B3" i="40" l="1"/>
  <c r="B5" i="40"/>
  <c r="B4" i="40"/>
  <c r="C43" i="73"/>
  <c r="Q48" i="73"/>
  <c r="Q54" i="73" s="1"/>
  <c r="J42" i="73"/>
  <c r="J43" i="73" s="1"/>
  <c r="Q57" i="73"/>
  <c r="Q63" i="73" s="1"/>
  <c r="Q66" i="73"/>
  <c r="Q76" i="73" s="1"/>
  <c r="B2" i="73"/>
  <c r="C46" i="73"/>
  <c r="B59" i="39"/>
  <c r="F59" i="39" s="1"/>
  <c r="B63" i="39"/>
  <c r="F63" i="39" s="1"/>
  <c r="B67" i="39"/>
  <c r="F67" i="39" s="1"/>
  <c r="B60" i="39"/>
  <c r="F60" i="39" s="1"/>
  <c r="B64" i="39"/>
  <c r="F64" i="39" s="1"/>
  <c r="B61" i="39"/>
  <c r="F61" i="39" s="1"/>
  <c r="B65" i="39"/>
  <c r="F65" i="39" s="1"/>
  <c r="B58" i="39"/>
  <c r="F58" i="39" s="1"/>
  <c r="B62" i="39"/>
  <c r="F62" i="39" s="1"/>
  <c r="B66" i="39"/>
  <c r="F66" i="39" s="1"/>
  <c r="E49" i="34"/>
  <c r="R50" i="34"/>
  <c r="G53" i="34"/>
  <c r="H53" i="34" s="1"/>
  <c r="G54" i="34"/>
  <c r="H54" i="34" s="1"/>
  <c r="B3" i="73" l="1"/>
  <c r="C6" i="12" s="1"/>
  <c r="C24" i="12" s="1"/>
  <c r="C28" i="12" s="1"/>
  <c r="C26" i="12" s="1"/>
  <c r="C50" i="34"/>
  <c r="B3" i="34" s="1"/>
  <c r="B2" i="34" s="1"/>
  <c r="C49" i="34"/>
  <c r="F68" i="39"/>
  <c r="B2" i="39" s="1"/>
  <c r="E54" i="34"/>
  <c r="F54" i="34" s="1"/>
  <c r="E53" i="34"/>
  <c r="F53" i="34" s="1"/>
  <c r="I54" i="34"/>
  <c r="J54" i="34" s="1"/>
  <c r="C19" i="9"/>
  <c r="C29" i="12" l="1"/>
  <c r="C31" i="12" s="1"/>
  <c r="C30" i="12" s="1"/>
  <c r="C35" i="12"/>
  <c r="C33" i="12" s="1"/>
  <c r="L43" i="9"/>
  <c r="B3" i="39"/>
  <c r="B4" i="39"/>
  <c r="B5" i="39"/>
  <c r="C20" i="9"/>
  <c r="C21" i="9"/>
  <c r="C36" i="12" l="1"/>
  <c r="B2" i="12" s="1"/>
  <c r="B5" i="12" s="1"/>
  <c r="D19" i="9"/>
  <c r="B4" i="12" l="1"/>
  <c r="L44" i="9"/>
  <c r="G19" i="9"/>
  <c r="K20" i="9" s="1"/>
  <c r="D22" i="9"/>
  <c r="B3" i="12"/>
  <c r="D21" i="9"/>
  <c r="D20" i="9"/>
  <c r="G22" i="9" l="1"/>
  <c r="D27" i="9"/>
  <c r="N43" i="9"/>
  <c r="G21" i="9"/>
  <c r="C32" i="9"/>
  <c r="C33" i="9" s="1"/>
  <c r="D42" i="9" s="1"/>
  <c r="Q5" i="54" s="1"/>
  <c r="B47" i="63" s="1"/>
  <c r="G20" i="9"/>
  <c r="C34" i="9" l="1"/>
  <c r="M38" i="9" s="1"/>
  <c r="K27" i="9" s="1"/>
  <c r="O38" i="9"/>
  <c r="K25" i="9" s="1"/>
  <c r="O43" i="9"/>
  <c r="C35" i="9"/>
  <c r="F42" i="9" s="1"/>
  <c r="C42" i="9"/>
  <c r="N38" i="9"/>
  <c r="K28" i="9" s="1"/>
  <c r="K26" i="9"/>
  <c r="E42" i="9" l="1"/>
  <c r="P5" i="54" s="1"/>
  <c r="B46" i="63" s="1"/>
  <c r="D14" i="66"/>
  <c r="D63" i="9"/>
  <c r="R5" i="54"/>
  <c r="B48" i="63" s="1"/>
  <c r="N68" i="9"/>
  <c r="C44" i="9"/>
  <c r="G14" i="66" l="1"/>
  <c r="B6" i="66" s="1"/>
  <c r="N69" i="9"/>
  <c r="O39" i="9"/>
  <c r="F44" i="9"/>
  <c r="E44" i="9"/>
  <c r="D44" i="9"/>
  <c r="E14" i="66"/>
  <c r="B5" i="66"/>
  <c r="F14" i="66"/>
  <c r="C111" i="9"/>
  <c r="C104" i="9" s="1"/>
  <c r="C82" i="9"/>
  <c r="C81" i="9" s="1"/>
  <c r="C85" i="9" s="1"/>
  <c r="C86" i="9" s="1"/>
  <c r="D72" i="9" s="1"/>
  <c r="D70" i="9"/>
  <c r="D71" i="9"/>
  <c r="D66" i="9" s="1"/>
  <c r="N72" i="9" s="1"/>
  <c r="C103" i="9"/>
  <c r="C113" i="9" s="1"/>
  <c r="D77" i="9"/>
  <c r="N75" i="9" s="1"/>
  <c r="C90" i="9"/>
  <c r="C96" i="9"/>
  <c r="C91" i="9" s="1"/>
  <c r="C97" i="9" l="1"/>
  <c r="C98" i="9" s="1"/>
  <c r="E98" i="9" s="1"/>
  <c r="E99" i="9" s="1"/>
  <c r="D5" i="66"/>
  <c r="C5" i="66"/>
  <c r="M87" i="9"/>
  <c r="N87" i="9" s="1"/>
  <c r="M84" i="9"/>
  <c r="N84" i="9" s="1"/>
  <c r="M88" i="9"/>
  <c r="N88" i="9" s="1"/>
  <c r="M83" i="9"/>
  <c r="N83" i="9" s="1"/>
  <c r="M86" i="9"/>
  <c r="N86" i="9" s="1"/>
  <c r="M85" i="9"/>
  <c r="N85" i="9" s="1"/>
  <c r="C114" i="9"/>
  <c r="E114" i="9" s="1"/>
  <c r="E115" i="9" s="1"/>
  <c r="C99" i="9"/>
  <c r="R6" i="54"/>
  <c r="B50" i="63" s="1"/>
  <c r="K29" i="9"/>
  <c r="K30" i="9" s="1"/>
  <c r="D6" i="66"/>
  <c r="C6" i="66"/>
  <c r="C115" i="9" l="1"/>
  <c r="D76" i="9" s="1"/>
  <c r="D74" i="9" s="1"/>
  <c r="N74" i="9" s="1"/>
  <c r="O77" i="9" s="1"/>
  <c r="N89" i="9"/>
  <c r="O89" i="9" s="1"/>
  <c r="O78" i="9" l="1"/>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<sst xmlns="http://schemas.openxmlformats.org/spreadsheetml/2006/main" count="8113" uniqueCount="3268">
  <si>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</si>
  <si>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</si>
  <si>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</si>
  <si>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</si>
  <si>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</si>
  <si>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</si>
  <si>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</si>
  <si>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</si>
  <si>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</si>
  <si>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</si>
  <si>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</si>
  <si>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</si>
  <si>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</si>
  <si>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</si>
  <si>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</si>
  <si>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</si>
  <si>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</si>
  <si>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</si>
  <si>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</si>
  <si>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</si>
  <si>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</si>
  <si>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</si>
  <si>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</si>
  <si>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</si>
  <si>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</si>
  <si>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</si>
  <si>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</si>
  <si>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</si>
  <si>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</si>
  <si>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</si>
  <si>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</si>
  <si>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</si>
  <si>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</si>
  <si>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</si>
  <si>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</si>
  <si>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</si>
  <si>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</si>
  <si>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</si>
  <si>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</si>
  <si>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</si>
  <si>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</si>
  <si>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</si>
  <si>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</si>
  <si>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</si>
  <si>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</si>
  <si>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</si>
  <si>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</si>
  <si>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</si>
  <si>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</si>
  <si>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</si>
  <si>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</si>
  <si>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</si>
  <si>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</si>
  <si>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</si>
  <si>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</si>
  <si>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</si>
  <si>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</si>
  <si>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</si>
  <si>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</si>
  <si>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</si>
  <si>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</si>
  <si>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</si>
  <si>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</si>
  <si>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</si>
  <si>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</si>
  <si>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</si>
  <si>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</si>
  <si>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</si>
  <si>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</si>
  <si>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</si>
  <si>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</si>
  <si>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</si>
  <si>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</si>
  <si>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</si>
  <si>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</si>
  <si>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</si>
  <si>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</si>
  <si>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</si>
  <si>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</si>
  <si>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</si>
  <si>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</si>
  <si>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</si>
  <si>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</si>
  <si>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</si>
  <si>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</si>
  <si>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</si>
  <si>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</si>
  <si>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</si>
  <si>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</si>
  <si>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</si>
  <si>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</si>
  <si>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</si>
  <si>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</si>
  <si>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</si>
  <si>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</si>
  <si>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</si>
  <si>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</si>
  <si>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</si>
  <si>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</si>
  <si>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</si>
  <si>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</si>
  <si>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</si>
  <si>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</si>
  <si>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</si>
  <si>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</si>
  <si>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</si>
  <si>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</si>
  <si>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</si>
  <si>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</si>
  <si>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</si>
  <si>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</si>
  <si>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</si>
  <si>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</si>
  <si>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</si>
  <si>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</si>
  <si>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</si>
  <si>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</si>
  <si>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</si>
  <si>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</si>
  <si>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</si>
  <si>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</si>
  <si>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</si>
  <si>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</si>
  <si>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</si>
  <si>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</si>
  <si>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</si>
  <si>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</si>
  <si>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</si>
  <si>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</si>
  <si>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</si>
  <si>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</si>
  <si>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</si>
  <si>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</si>
  <si>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</si>
  <si>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</si>
  <si>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</si>
  <si>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</si>
  <si>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</si>
  <si>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</si>
  <si>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</si>
  <si>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</si>
  <si>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</si>
  <si>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</si>
  <si>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</si>
  <si>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</si>
  <si>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</si>
  <si>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</si>
  <si>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</si>
  <si>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</si>
  <si>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</si>
  <si>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</si>
  <si>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</si>
  <si>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</si>
  <si>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</si>
  <si>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</si>
  <si>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</si>
  <si>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</si>
  <si>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</si>
  <si>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</si>
  <si>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</si>
  <si>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</si>
  <si>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</si>
  <si>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</si>
  <si>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</si>
  <si>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</si>
  <si>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</si>
  <si>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</si>
  <si>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</si>
  <si>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</si>
  <si>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</si>
  <si>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</si>
  <si>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</si>
  <si>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</si>
  <si>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</si>
  <si>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</si>
  <si>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</si>
  <si>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</si>
  <si>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</si>
  <si>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</si>
  <si>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</si>
  <si>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</si>
  <si>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</si>
  <si>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</si>
  <si>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</si>
  <si>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</si>
  <si>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</si>
  <si>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</si>
  <si>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</si>
  <si>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</si>
  <si>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</si>
  <si>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</si>
  <si>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</si>
  <si>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</si>
  <si>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</si>
  <si>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</si>
  <si>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</si>
  <si>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</si>
  <si>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</si>
  <si>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</si>
  <si>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</si>
  <si>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</si>
  <si>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</si>
  <si>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</si>
  <si>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</si>
  <si>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</si>
  <si>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</si>
  <si>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</si>
  <si>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</si>
  <si>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</si>
  <si>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</si>
  <si>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</si>
  <si>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</si>
  <si>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</si>
  <si>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</si>
  <si>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</si>
  <si>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</si>
  <si>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</si>
  <si>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</si>
  <si>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</si>
  <si>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</si>
  <si>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</si>
  <si>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</si>
  <si>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</si>
  <si>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</si>
  <si>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</si>
  <si>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</si>
  <si>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</si>
  <si>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</si>
  <si>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</si>
  <si>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</si>
  <si>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</si>
  <si>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</si>
  <si>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</si>
  <si>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</si>
  <si>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</si>
  <si>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</si>
  <si>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</si>
  <si>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</si>
  <si>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</si>
  <si>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</si>
  <si>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</si>
  <si>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</si>
  <si>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</si>
  <si>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</si>
  <si>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</si>
  <si>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</si>
  <si>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</si>
  <si>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</si>
  <si>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</si>
  <si>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</si>
  <si>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</si>
  <si>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</si>
  <si>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</si>
  <si>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</si>
  <si>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</si>
  <si>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</si>
  <si>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</si>
  <si>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</si>
  <si>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</si>
  <si>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</si>
  <si>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</si>
  <si>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</si>
  <si>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</si>
  <si>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</si>
  <si>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</si>
  <si>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</si>
  <si>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</si>
  <si>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</si>
  <si>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</si>
  <si>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</si>
  <si>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</si>
  <si>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</si>
  <si>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</si>
  <si>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</si>
  <si>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</si>
  <si>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</si>
  <si>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</si>
  <si>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</si>
  <si>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</si>
  <si>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</si>
  <si>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</si>
  <si>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</si>
  <si>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</si>
  <si>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</si>
  <si>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</si>
  <si>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</si>
  <si>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</si>
  <si>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</si>
  <si>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</si>
  <si>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</si>
  <si>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</si>
  <si>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</si>
  <si>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</si>
  <si>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</si>
  <si>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</si>
  <si>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</si>
  <si>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</si>
  <si>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</si>
  <si>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</si>
  <si>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</si>
  <si>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</si>
  <si>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</si>
  <si>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</si>
  <si>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</si>
  <si>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</si>
  <si>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</si>
  <si>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</si>
  <si>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</si>
  <si>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</si>
  <si>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</si>
  <si>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</si>
  <si>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</si>
  <si>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</si>
  <si>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</si>
  <si>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</si>
  <si>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</si>
  <si>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</si>
  <si>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</si>
  <si>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</si>
  <si>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</si>
  <si>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</si>
  <si>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</si>
  <si>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</si>
  <si>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</si>
  <si>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</si>
  <si>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</si>
  <si>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</si>
  <si>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</si>
  <si>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</si>
  <si>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</si>
  <si>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</si>
  <si>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</si>
  <si>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</si>
  <si>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</si>
  <si>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</si>
  <si>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</si>
  <si>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</si>
  <si>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</si>
  <si>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</si>
  <si>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</si>
  <si>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</si>
  <si>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</si>
  <si>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</si>
  <si>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</si>
  <si>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</si>
  <si>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</si>
  <si>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</si>
  <si>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</si>
  <si>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</si>
  <si>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</si>
  <si>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</si>
  <si>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</si>
  <si>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</si>
  <si>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</si>
  <si>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</si>
  <si>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</si>
  <si>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</si>
  <si>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</si>
  <si>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</si>
  <si>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</si>
  <si>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</si>
  <si>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</si>
  <si>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</si>
  <si>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</si>
  <si>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</si>
  <si>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</si>
  <si>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</si>
  <si>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</si>
  <si>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</si>
  <si>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</si>
  <si>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</si>
  <si>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</si>
  <si>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</si>
  <si>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</si>
  <si>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</si>
  <si>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</si>
  <si>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</si>
  <si>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</si>
  <si>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</si>
  <si>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</si>
  <si>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</si>
  <si>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</si>
  <si>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</si>
  <si>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</si>
  <si>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</si>
  <si>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</si>
  <si>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</si>
  <si>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</si>
  <si>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</si>
  <si>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</si>
  <si>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</si>
  <si>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</si>
  <si>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</si>
  <si>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</si>
  <si>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</si>
  <si>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</si>
  <si>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</si>
  <si>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</si>
  <si>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</si>
  <si>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</si>
  <si>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</si>
  <si>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</si>
  <si>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</si>
  <si>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</si>
  <si>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</si>
  <si>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</si>
  <si>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</si>
  <si>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</si>
  <si>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</si>
  <si>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</si>
  <si>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</si>
  <si>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</si>
  <si>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</si>
  <si>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</si>
  <si>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</si>
  <si>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</si>
  <si>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</si>
  <si>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</si>
  <si>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</si>
  <si>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</si>
  <si>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</si>
  <si>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</si>
  <si>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</si>
  <si>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</si>
  <si>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</si>
  <si>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</si>
  <si>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</si>
  <si>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</si>
  <si>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</si>
  <si>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</si>
  <si>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</si>
  <si>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</si>
  <si>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</si>
  <si>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</si>
  <si>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</si>
  <si>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</si>
  <si>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</si>
  <si>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</si>
  <si>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</si>
  <si>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</si>
  <si>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</si>
  <si>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</si>
  <si>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</si>
  <si>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</si>
  <si>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</si>
  <si>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</si>
  <si>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</si>
  <si>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</si>
  <si>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</si>
  <si>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</si>
  <si>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</si>
  <si>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</si>
  <si>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</si>
  <si>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</si>
  <si>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</si>
  <si>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</si>
  <si>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</si>
  <si>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</si>
  <si>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</si>
  <si>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</si>
  <si>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</si>
  <si>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</si>
  <si>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</si>
  <si>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</si>
  <si>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</si>
  <si>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</si>
  <si>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</si>
  <si>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</si>
  <si>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</si>
  <si>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</si>
  <si>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</si>
  <si>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</si>
  <si>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</si>
  <si>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</si>
  <si>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</si>
  <si>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</si>
  <si>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</si>
  <si>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</si>
  <si>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</si>
  <si>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</si>
  <si>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</si>
  <si>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</si>
  <si>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</si>
  <si>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</si>
  <si>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</si>
  <si>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</si>
  <si>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</si>
  <si>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</si>
  <si>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</si>
  <si>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</si>
  <si>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</si>
  <si>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</si>
  <si>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</si>
  <si>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</si>
  <si>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</si>
  <si>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</si>
  <si>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</si>
  <si>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</si>
  <si>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</si>
  <si>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</si>
  <si>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</si>
  <si>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</si>
  <si>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</si>
  <si>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</si>
  <si>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</si>
  <si>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</si>
  <si>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</si>
  <si>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</si>
  <si>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</si>
  <si>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</si>
  <si>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</si>
  <si>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</si>
  <si>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</si>
  <si>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</si>
  <si>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</si>
  <si>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</si>
  <si>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</si>
  <si>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</si>
  <si>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</si>
  <si>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</si>
  <si>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</si>
  <si>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</si>
  <si>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</si>
  <si>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</si>
  <si>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</si>
  <si>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</si>
  <si>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</si>
  <si>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</si>
  <si>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</si>
  <si>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</si>
  <si>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</si>
  <si>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</si>
  <si>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</si>
  <si>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</si>
  <si>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</si>
  <si>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</si>
  <si>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</si>
  <si>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</si>
  <si>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</si>
  <si>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</si>
  <si>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</si>
  <si>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</si>
  <si>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</si>
  <si>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</si>
  <si>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</si>
  <si>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</si>
  <si>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</si>
  <si>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</si>
  <si>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</si>
  <si>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</si>
  <si>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</si>
  <si>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</si>
  <si>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</si>
  <si>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</si>
  <si>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</si>
  <si>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</si>
  <si>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</si>
  <si>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</si>
  <si>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</si>
  <si>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</si>
  <si>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</si>
  <si>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</si>
  <si>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</si>
  <si>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</si>
  <si>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</si>
  <si>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</si>
  <si>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</si>
  <si>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</si>
  <si>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</si>
  <si>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</si>
  <si>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</si>
  <si>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</si>
  <si>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</si>
  <si>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</si>
  <si>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</si>
  <si>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</si>
  <si>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</si>
  <si>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</si>
  <si>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</si>
  <si>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</si>
  <si>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</si>
  <si>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</si>
  <si>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</si>
  <si>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</si>
  <si>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</si>
  <si>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</si>
  <si>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</si>
  <si>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</si>
  <si>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</si>
  <si>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</si>
  <si>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</si>
  <si>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</si>
  <si>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</si>
  <si>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</si>
  <si>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</si>
  <si>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</si>
  <si>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</si>
  <si>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</si>
  <si>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</si>
  <si>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</si>
  <si>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</si>
  <si>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</si>
  <si>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</si>
  <si>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</si>
  <si>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</si>
  <si>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</si>
  <si>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</si>
  <si>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</si>
  <si>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</si>
  <si>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</si>
  <si>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</si>
  <si>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</si>
  <si>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</si>
  <si>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</si>
  <si>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</si>
  <si>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</si>
  <si>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</si>
  <si>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</si>
  <si>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</si>
  <si>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</si>
  <si>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</si>
  <si>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</si>
  <si>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</si>
  <si>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</si>
  <si>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</si>
  <si>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</si>
  <si>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</si>
  <si>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</si>
  <si>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</si>
  <si>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</si>
  <si>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</si>
  <si>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</si>
  <si>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</si>
  <si>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</si>
  <si>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</si>
  <si>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</si>
  <si>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</si>
  <si>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</si>
  <si>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</si>
  <si>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</si>
  <si>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</si>
  <si>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</si>
  <si>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</si>
  <si>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</si>
  <si>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</si>
  <si>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</si>
  <si>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</si>
  <si>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</si>
  <si>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</si>
  <si>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</si>
  <si>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</si>
  <si>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</si>
  <si>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</si>
  <si>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</si>
  <si>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</si>
  <si>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</si>
  <si>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</si>
  <si>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</si>
  <si>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</si>
  <si>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</si>
  <si>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</si>
  <si>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</si>
  <si>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</si>
  <si>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</si>
  <si>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</si>
  <si>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</si>
  <si>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</si>
  <si>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</si>
  <si>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</si>
  <si>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</si>
  <si>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</si>
  <si>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</si>
  <si>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</si>
  <si>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</si>
  <si>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</si>
  <si>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</si>
  <si>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</si>
  <si>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</si>
  <si>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</si>
  <si>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</si>
  <si>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</si>
  <si>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</si>
  <si>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</si>
  <si>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</si>
  <si>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</si>
  <si>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</si>
  <si>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</si>
  <si>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</si>
  <si>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</si>
  <si>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</si>
  <si>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</si>
  <si>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</si>
  <si>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</si>
  <si>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</si>
  <si>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</si>
  <si>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</si>
  <si>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</si>
  <si>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</si>
  <si>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</si>
  <si>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</si>
  <si>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</si>
  <si>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</si>
  <si>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</si>
  <si>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</si>
  <si>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</si>
  <si>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</si>
  <si>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</si>
  <si>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</si>
  <si>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</si>
  <si>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</si>
  <si>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</si>
  <si>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</si>
  <si>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</si>
  <si>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</si>
  <si>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</si>
  <si>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</si>
  <si>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</si>
  <si>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</si>
  <si>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</si>
  <si>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</si>
  <si>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</si>
  <si>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</si>
  <si>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</si>
  <si>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</si>
  <si>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</si>
  <si>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</si>
  <si>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</si>
  <si>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</si>
  <si>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</si>
  <si>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</si>
  <si>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</si>
  <si>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</si>
  <si>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</si>
  <si>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</si>
  <si>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</si>
  <si>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</si>
  <si>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</si>
  <si>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</si>
  <si>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</si>
  <si>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</si>
  <si>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</si>
  <si>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</si>
  <si>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</si>
  <si>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</si>
  <si>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</si>
  <si>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</si>
  <si>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</si>
  <si>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</si>
  <si>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</si>
  <si>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</si>
  <si>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</si>
  <si>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</si>
  <si>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</si>
  <si>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</si>
  <si>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</si>
  <si>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</si>
  <si>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</si>
  <si>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</si>
  <si>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</si>
  <si>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</si>
  <si>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</si>
  <si>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</si>
  <si>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</si>
  <si>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</si>
  <si>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</si>
  <si>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</si>
  <si>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</si>
  <si>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</si>
  <si>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</si>
  <si>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</si>
  <si>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</si>
  <si>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</si>
  <si>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</si>
  <si>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</si>
  <si>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</si>
  <si>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</si>
  <si>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</si>
  <si>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</si>
  <si>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</si>
  <si>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</si>
  <si>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</si>
  <si>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</si>
  <si>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</si>
  <si>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</si>
  <si>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</si>
  <si>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</si>
  <si>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</si>
  <si>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</si>
  <si>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</si>
  <si>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</si>
  <si>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</si>
  <si>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</si>
  <si>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</si>
  <si>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</si>
  <si>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</si>
  <si>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</si>
  <si>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</si>
  <si>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</si>
  <si>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</si>
  <si>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</si>
  <si>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</si>
  <si>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</si>
  <si>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</si>
  <si>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</si>
  <si>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</si>
  <si>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</si>
  <si>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</si>
  <si>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</si>
  <si>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</si>
  <si>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</si>
  <si>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</si>
  <si>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</si>
  <si>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</si>
  <si>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</si>
  <si>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</si>
  <si>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</si>
  <si>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</si>
  <si>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</si>
  <si>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</si>
  <si>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</si>
  <si>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</si>
  <si>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</si>
  <si>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</si>
  <si>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</si>
  <si>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</si>
  <si>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</si>
  <si>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</si>
  <si>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</si>
  <si>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</si>
  <si>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</si>
  <si>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</si>
  <si>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</si>
  <si>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</si>
  <si>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</si>
  <si>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</si>
  <si>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</si>
  <si>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</si>
  <si>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</si>
  <si>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</si>
  <si>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</si>
  <si>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</si>
  <si>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</si>
  <si>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</si>
  <si>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</si>
  <si>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</si>
  <si>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</si>
  <si>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</si>
  <si>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</si>
  <si>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</si>
  <si>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</si>
  <si>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</si>
  <si>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</si>
  <si>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</si>
  <si>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</si>
  <si>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</si>
  <si>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</si>
  <si>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</si>
  <si>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</si>
  <si>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</si>
  <si>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</si>
  <si>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</si>
  <si>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</si>
  <si>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</si>
  <si>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</si>
  <si>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</si>
  <si>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</si>
  <si>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</si>
  <si>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</si>
  <si>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</si>
  <si>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</si>
  <si>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</si>
  <si>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</si>
  <si>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</si>
  <si>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</si>
  <si>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</si>
  <si>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</si>
  <si>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</si>
  <si>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</si>
  <si>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</si>
  <si>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</si>
  <si>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</si>
  <si>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</si>
  <si>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</si>
  <si>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</si>
  <si>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</si>
  <si>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</si>
  <si>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</si>
  <si>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</si>
  <si>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</si>
  <si>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</si>
  <si>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</si>
  <si>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</si>
  <si>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</si>
  <si>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</si>
  <si>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</si>
  <si>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</si>
  <si>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</si>
  <si>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</si>
  <si>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</si>
  <si>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</si>
  <si>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</si>
  <si>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</si>
  <si>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</si>
  <si>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</si>
  <si>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</si>
  <si>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</si>
  <si>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</si>
  <si>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</si>
  <si>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</si>
  <si>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</si>
  <si>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</si>
  <si>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</si>
  <si>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</si>
  <si>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</si>
  <si>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</si>
  <si>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</si>
  <si>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</si>
  <si>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</si>
  <si>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</si>
  <si>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</si>
  <si>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</si>
  <si>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</si>
  <si>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</si>
  <si>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</si>
  <si>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</si>
  <si>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</si>
  <si>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</si>
  <si>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</si>
  <si>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</si>
  <si>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</si>
  <si>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</si>
  <si>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</si>
  <si>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</si>
  <si>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</si>
  <si>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</si>
  <si>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</si>
  <si>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</si>
  <si>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</si>
  <si>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</si>
  <si>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</si>
  <si>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</si>
  <si>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</si>
  <si>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</si>
  <si>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</si>
  <si>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</si>
  <si>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</si>
  <si>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</si>
  <si>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</si>
  <si>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</si>
  <si>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</si>
  <si>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</si>
  <si>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</si>
  <si>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</si>
  <si>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</si>
  <si>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</si>
  <si>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</si>
  <si>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</si>
  <si>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</si>
  <si>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</si>
  <si>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</si>
  <si>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</si>
  <si>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</si>
  <si>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</si>
  <si>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</si>
  <si>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</si>
  <si>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</si>
  <si>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</si>
  <si>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</si>
  <si>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</si>
  <si>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</si>
  <si>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</si>
  <si>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</si>
  <si>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</si>
  <si>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</si>
  <si>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</si>
  <si>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</si>
  <si>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</si>
  <si>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</si>
  <si>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</si>
  <si>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</si>
  <si>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</si>
  <si>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</si>
  <si>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</si>
  <si>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</si>
  <si>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</si>
  <si>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</si>
  <si>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</si>
  <si>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</si>
  <si>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</si>
  <si>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</si>
  <si>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</si>
  <si>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</si>
  <si>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</si>
  <si>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</si>
  <si>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</si>
  <si>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</si>
  <si>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</si>
  <si>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</si>
  <si>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</si>
  <si>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</si>
  <si>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</si>
  <si>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</si>
  <si>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</si>
  <si>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</si>
  <si>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</si>
  <si>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</si>
  <si>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</si>
  <si>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</si>
  <si>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</si>
  <si>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</si>
  <si>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</si>
  <si>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</si>
  <si>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</si>
  <si>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</si>
  <si>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</si>
  <si>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</si>
  <si>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</si>
  <si>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</si>
  <si>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</si>
  <si>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</si>
  <si>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</si>
  <si>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</si>
  <si>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</si>
  <si>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</si>
  <si>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</si>
  <si>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</si>
  <si>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</si>
  <si>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</si>
  <si>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</si>
  <si>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</si>
  <si>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</si>
  <si>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</si>
  <si>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</si>
  <si>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</si>
  <si>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</si>
  <si>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</si>
  <si>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</si>
  <si>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</si>
  <si>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</si>
  <si>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</si>
  <si>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</si>
  <si>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</si>
  <si>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</si>
  <si>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</si>
  <si>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</si>
  <si>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</si>
  <si>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</si>
  <si>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</si>
  <si>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</si>
  <si>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</si>
  <si>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</si>
  <si>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</si>
  <si>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</si>
  <si>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</si>
  <si>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</si>
  <si>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</si>
  <si>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</si>
  <si>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</si>
  <si>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</si>
  <si>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</si>
  <si>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</si>
  <si>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</si>
  <si>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</si>
  <si>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</si>
  <si>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</si>
  <si>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</si>
  <si>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</si>
  <si>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</si>
  <si>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</si>
  <si>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</si>
  <si>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</si>
  <si>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</si>
  <si>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</si>
  <si>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</si>
  <si>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</si>
  <si>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</si>
  <si>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</si>
  <si>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</si>
  <si>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</si>
  <si>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</si>
  <si>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</si>
  <si>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</si>
  <si>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</si>
  <si>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</si>
  <si>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</si>
  <si>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</si>
  <si>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</si>
  <si>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</si>
  <si>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</si>
  <si>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</si>
  <si>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</si>
  <si>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</si>
  <si>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</si>
  <si>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</si>
  <si>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</si>
  <si>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</si>
  <si>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</si>
  <si>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</si>
  <si>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</si>
  <si>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</si>
  <si>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</si>
  <si>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</si>
  <si>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</si>
  <si>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</si>
  <si>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</si>
  <si>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</si>
  <si>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</si>
  <si>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</si>
  <si>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</si>
  <si>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</si>
  <si>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</si>
  <si>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</si>
  <si>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</si>
  <si>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</si>
  <si>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</si>
  <si>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</si>
  <si>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</si>
  <si>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</si>
  <si>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</si>
  <si>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</si>
  <si>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</si>
  <si>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</si>
  <si>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</si>
  <si>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</si>
  <si>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</si>
  <si>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</si>
  <si>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</si>
  <si>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</si>
  <si>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</si>
  <si>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</si>
  <si>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</si>
  <si>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</si>
  <si>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</si>
  <si>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</si>
  <si>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</si>
  <si>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</si>
  <si>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</si>
  <si>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</si>
  <si>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</si>
  <si>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</si>
  <si>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</si>
  <si>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</si>
  <si>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</si>
  <si>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</si>
  <si>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</si>
  <si>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</si>
  <si>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</si>
  <si>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</si>
  <si>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</si>
  <si>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</si>
  <si>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</si>
  <si>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</si>
  <si>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</si>
  <si>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</si>
  <si>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</si>
  <si>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</si>
  <si>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</si>
  <si>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</si>
  <si>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</si>
  <si>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</si>
  <si>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</si>
  <si>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</si>
  <si>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</si>
  <si>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</si>
  <si>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</si>
  <si>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</si>
  <si>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</si>
  <si>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</si>
  <si>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</si>
  <si>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</si>
  <si>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</si>
  <si>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</si>
  <si>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</si>
  <si>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</si>
  <si>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</si>
  <si>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</si>
  <si>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</si>
  <si>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</si>
  <si>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</si>
  <si>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</si>
  <si>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</si>
  <si>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</si>
  <si>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</si>
  <si>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</si>
  <si>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</si>
  <si>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</si>
  <si>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</si>
  <si>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</si>
  <si>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</si>
  <si>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</si>
  <si>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</si>
  <si>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</si>
  <si>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</si>
  <si>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</si>
  <si>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</si>
  <si>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</si>
  <si>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</si>
  <si>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</si>
  <si>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</si>
  <si>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</si>
  <si>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</si>
  <si>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</si>
  <si>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</si>
  <si>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</si>
  <si>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</si>
  <si>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</si>
  <si>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</si>
  <si>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</si>
  <si>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</si>
  <si>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</si>
  <si>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</si>
  <si>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</si>
  <si>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</si>
  <si>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</si>
  <si>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</si>
  <si>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</si>
  <si>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</si>
  <si>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</si>
  <si>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</si>
  <si>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</si>
  <si>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</si>
  <si>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</si>
  <si>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</si>
  <si>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</si>
  <si>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</si>
  <si>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</si>
  <si>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</si>
  <si>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</si>
  <si>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</si>
  <si>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</si>
  <si>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</si>
  <si>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</si>
  <si>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</si>
  <si>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</si>
  <si>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</si>
  <si>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</si>
  <si>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</si>
  <si>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</si>
  <si>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</si>
  <si>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</si>
  <si>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</si>
  <si>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</si>
  <si>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</si>
  <si>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</si>
  <si>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</si>
  <si>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</si>
  <si>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</si>
  <si>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</si>
  <si>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</si>
  <si>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</si>
  <si>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</si>
  <si>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</si>
  <si>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</si>
  <si>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</si>
  <si>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</si>
  <si>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</si>
  <si>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</si>
  <si>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</si>
  <si>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</si>
  <si>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</si>
  <si>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</si>
  <si>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</si>
  <si>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</si>
  <si>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</si>
  <si>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</si>
  <si>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</si>
  <si>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</si>
  <si>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</si>
  <si>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</si>
  <si>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</si>
  <si>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</si>
  <si>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</si>
  <si>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</si>
  <si>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</si>
  <si>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</si>
  <si>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</si>
  <si>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</si>
  <si>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</si>
  <si>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</si>
  <si>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</si>
  <si>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</si>
  <si>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</si>
  <si>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</si>
  <si>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</si>
  <si>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</si>
  <si>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</si>
  <si>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</si>
  <si>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</si>
  <si>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</si>
  <si>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</si>
  <si>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</si>
  <si>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</si>
  <si>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</si>
  <si>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</si>
  <si>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</si>
  <si>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</si>
  <si>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</si>
  <si>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</si>
  <si>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</si>
  <si>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</si>
  <si>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</si>
  <si>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</si>
  <si>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</si>
  <si>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</si>
  <si>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</si>
  <si>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</si>
  <si>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</si>
  <si>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</si>
  <si>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</si>
  <si>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</si>
  <si>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</si>
  <si>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</si>
  <si>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</si>
  <si>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</si>
  <si>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</si>
  <si>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</si>
  <si>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</si>
  <si>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</si>
  <si>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</si>
  <si>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</si>
  <si>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</si>
  <si>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</si>
  <si>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</si>
  <si>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</si>
  <si>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</si>
  <si>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</si>
  <si>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</si>
  <si>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</si>
  <si>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</si>
  <si>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</si>
  <si>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</si>
  <si>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</si>
  <si>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</si>
  <si>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</si>
  <si>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</si>
  <si>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</si>
  <si>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</si>
  <si>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</si>
  <si>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</si>
  <si>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</si>
  <si>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</si>
  <si>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</si>
  <si>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</si>
  <si>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</si>
  <si>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</si>
  <si>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</si>
  <si>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</si>
  <si>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</si>
  <si>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</si>
  <si>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</si>
  <si>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</si>
  <si>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</si>
  <si>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</si>
  <si>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</si>
  <si>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</si>
  <si>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</si>
  <si>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</si>
  <si>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</si>
  <si>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</si>
  <si>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</si>
  <si>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</si>
  <si>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</si>
  <si>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</si>
  <si>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</si>
  <si>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</si>
  <si>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</si>
  <si>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</si>
  <si>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</si>
  <si>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</si>
  <si>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</si>
  <si>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</si>
  <si>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</si>
  <si>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</si>
  <si>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</si>
  <si>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</si>
  <si>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</si>
  <si>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</si>
  <si>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</si>
  <si>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</si>
  <si>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</si>
  <si>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</si>
  <si>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</si>
  <si>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</si>
  <si>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</si>
  <si>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</si>
  <si>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</si>
  <si>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</si>
  <si>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</si>
  <si>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</si>
  <si>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</si>
  <si>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</si>
  <si>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</si>
  <si>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</si>
  <si>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</si>
  <si>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</si>
  <si>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</si>
  <si>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</si>
  <si>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</si>
  <si>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</si>
  <si>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</si>
  <si>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</si>
  <si>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</si>
  <si>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</si>
  <si>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</si>
  <si>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</si>
  <si>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</si>
  <si>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</si>
  <si>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</si>
  <si>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</si>
  <si>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</si>
  <si>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</si>
  <si>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</si>
  <si>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</si>
  <si>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</si>
  <si>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</si>
  <si>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</si>
  <si>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</si>
  <si>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</si>
  <si>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</si>
  <si>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</si>
  <si>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</si>
  <si>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</si>
  <si>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</si>
  <si>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</si>
  <si>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</si>
  <si>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</si>
  <si>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</si>
  <si>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</si>
  <si>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</si>
  <si>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</si>
  <si>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</si>
  <si>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</si>
  <si>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</si>
  <si>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</si>
  <si>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</si>
  <si>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</si>
  <si>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</si>
  <si>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</si>
  <si>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</si>
  <si>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</si>
  <si>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</si>
  <si>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</si>
  <si>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</si>
  <si>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</si>
  <si>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</si>
  <si>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</si>
  <si>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</si>
  <si>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</si>
  <si>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</si>
  <si>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</si>
  <si>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</si>
  <si>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</si>
  <si>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</si>
  <si>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</si>
  <si>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</si>
  <si>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</si>
  <si>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</si>
  <si>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</si>
  <si>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</si>
  <si>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</si>
  <si>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</si>
  <si>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</si>
  <si>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</si>
  <si>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</si>
  <si>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</si>
  <si>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</si>
  <si>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</si>
  <si>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</si>
  <si>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</si>
  <si>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</si>
  <si>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</si>
  <si>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</si>
  <si>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</si>
  <si>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</si>
  <si>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</si>
  <si>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</si>
  <si>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</si>
  <si>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</si>
  <si>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</si>
  <si>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</si>
  <si>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</si>
  <si>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</si>
  <si>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</si>
  <si>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</si>
  <si>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</si>
  <si>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</si>
  <si>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</si>
  <si>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</si>
  <si>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</si>
  <si>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</si>
  <si>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</si>
  <si>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</si>
  <si>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</si>
  <si>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</si>
  <si>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</si>
  <si>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</si>
  <si>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</si>
  <si>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</si>
  <si>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</si>
  <si>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</si>
  <si>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</si>
  <si>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</si>
  <si>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</si>
  <si>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</si>
  <si>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</si>
  <si>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</si>
  <si>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</si>
  <si>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</si>
  <si>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</si>
  <si>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</si>
  <si>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</si>
  <si>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</si>
  <si>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</si>
  <si>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</si>
  <si>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</si>
  <si>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</si>
  <si>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</si>
  <si>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</si>
  <si>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</si>
  <si>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</si>
  <si>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</si>
  <si>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</si>
  <si>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</si>
  <si>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</si>
  <si>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</si>
  <si>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</si>
  <si>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</si>
  <si>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</si>
  <si>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</si>
  <si>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</si>
  <si>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</si>
  <si>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</si>
  <si>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</si>
  <si>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</si>
  <si>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</si>
  <si>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</si>
  <si>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</si>
  <si>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</si>
  <si>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</si>
  <si>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</si>
  <si>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</si>
  <si>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</si>
  <si>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</si>
  <si>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</si>
  <si>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</si>
  <si>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</si>
  <si>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</si>
  <si>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</si>
  <si>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</si>
  <si>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</si>
  <si>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</si>
  <si>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</si>
  <si>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</si>
  <si>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</si>
  <si>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</si>
  <si>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</si>
  <si>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</si>
  <si>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</si>
  <si>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</si>
  <si>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</si>
  <si>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</si>
  <si>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</si>
  <si>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</si>
  <si>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</si>
  <si>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</si>
  <si>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</si>
  <si>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</si>
  <si>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</si>
  <si>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</si>
  <si>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</si>
  <si>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</si>
  <si>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</si>
  <si>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</si>
  <si>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</si>
  <si>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</si>
  <si>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</si>
  <si>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</si>
  <si>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</si>
  <si>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</si>
  <si>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</si>
  <si>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</si>
  <si>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</si>
  <si>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</si>
  <si>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</si>
  <si>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</si>
  <si>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</si>
  <si>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</si>
  <si>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</si>
  <si>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</si>
  <si>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</si>
  <si>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</si>
  <si>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</si>
  <si>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</si>
  <si>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</si>
  <si>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</si>
  <si>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</si>
  <si>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</si>
  <si>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</si>
  <si>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</si>
  <si>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</si>
  <si>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</si>
  <si>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</si>
  <si>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</si>
  <si>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</si>
  <si>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</si>
  <si>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</si>
  <si>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</si>
  <si>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</si>
  <si>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</si>
  <si>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</si>
  <si>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</si>
  <si>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</si>
  <si>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</si>
  <si>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</si>
  <si>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</si>
  <si>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</si>
  <si>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</si>
  <si>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</si>
  <si>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</si>
  <si>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</si>
  <si>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</si>
  <si>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</si>
  <si>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</si>
  <si>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</si>
  <si>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</si>
  <si>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</si>
  <si>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</si>
  <si>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</si>
  <si>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</si>
  <si>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</si>
  <si>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</si>
  <si>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</si>
  <si>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</si>
  <si>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</si>
  <si>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</si>
  <si>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</si>
  <si>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</si>
  <si>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</si>
  <si>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</si>
  <si>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</si>
  <si>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</si>
  <si>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</si>
  <si>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</si>
  <si>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</si>
  <si>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</si>
  <si>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</si>
  <si>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</si>
  <si>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</si>
  <si>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</si>
  <si>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</si>
  <si>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</si>
  <si>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</si>
  <si>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</si>
  <si>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</si>
  <si>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</si>
  <si>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</si>
  <si>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</si>
  <si>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</si>
  <si>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</si>
  <si>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</si>
  <si>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</si>
  <si>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</si>
  <si>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</si>
  <si>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</si>
  <si>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</si>
  <si>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</si>
  <si>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</si>
  <si>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</si>
  <si>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</si>
  <si>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</si>
  <si>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</si>
  <si>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</si>
  <si>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</si>
  <si>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</si>
  <si>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</si>
  <si>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</si>
  <si>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</si>
  <si>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</si>
  <si>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</si>
  <si>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</si>
  <si>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</si>
  <si>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</si>
  <si>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</si>
  <si>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</si>
  <si>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</si>
  <si>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</si>
  <si>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</si>
  <si>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</si>
  <si>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</si>
  <si>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</si>
  <si>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</si>
  <si>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</si>
  <si>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</si>
  <si>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</si>
  <si>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</si>
  <si>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</si>
  <si>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</si>
  <si>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</si>
  <si>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</si>
  <si>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</si>
  <si>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</si>
  <si>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</si>
  <si>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</si>
  <si>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</si>
  <si>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</si>
  <si>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</si>
  <si>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</si>
  <si>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</si>
  <si>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</si>
  <si>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</si>
  <si>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</si>
  <si>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</si>
  <si>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</si>
  <si>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</si>
  <si>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</si>
  <si>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</si>
  <si>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</si>
  <si>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</si>
  <si>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</si>
  <si>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</si>
  <si>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</si>
  <si>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</si>
  <si>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</si>
  <si>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</si>
  <si>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</si>
  <si>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</si>
  <si>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</si>
  <si>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</si>
  <si>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</si>
  <si>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</si>
  <si>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</si>
  <si>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</si>
  <si>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</si>
  <si>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</si>
  <si>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</si>
  <si>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</si>
  <si>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</si>
  <si>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</si>
  <si>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</si>
  <si>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</si>
  <si>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</si>
  <si>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</si>
  <si>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</si>
  <si>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</si>
  <si>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</si>
  <si>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</si>
  <si>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</si>
  <si>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</si>
  <si>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</si>
  <si>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</si>
  <si>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</si>
  <si>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</si>
  <si>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</si>
  <si>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</si>
  <si>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</si>
  <si>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</si>
  <si>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</si>
  <si>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</si>
  <si>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</si>
  <si>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</si>
  <si>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</si>
  <si>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</si>
  <si>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</si>
  <si>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</si>
  <si>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</si>
  <si>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</si>
  <si>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</si>
  <si>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</si>
  <si>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</si>
  <si>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</si>
  <si>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</si>
  <si>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</si>
  <si>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</si>
  <si>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</si>
  <si>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</si>
  <si>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</si>
  <si>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</si>
  <si>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</si>
  <si>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</si>
  <si>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</si>
  <si>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</si>
  <si>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</si>
  <si>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</si>
  <si>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</si>
  <si>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</si>
  <si>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</si>
  <si>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</si>
  <si>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</si>
  <si>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</si>
  <si>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</si>
  <si>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</si>
  <si>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</si>
  <si>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</si>
  <si>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</si>
  <si>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</si>
  <si>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</si>
  <si>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</si>
  <si>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</si>
  <si>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</si>
  <si>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</si>
  <si>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</si>
  <si>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</si>
  <si>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</si>
  <si>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</si>
  <si>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</si>
  <si>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</si>
  <si>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</si>
  <si>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</si>
  <si>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</si>
  <si>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</si>
  <si>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</si>
  <si>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</si>
  <si>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</si>
  <si>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</si>
  <si>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</si>
  <si>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</si>
  <si>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</si>
  <si>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</si>
  <si>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</si>
  <si>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</si>
  <si>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</si>
  <si>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</si>
  <si>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</si>
  <si>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</si>
  <si>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</si>
  <si>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</si>
  <si>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</si>
  <si>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</si>
  <si>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</si>
  <si>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</si>
  <si>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</si>
  <si>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</si>
  <si>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</si>
  <si>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</si>
  <si>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</si>
  <si>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</si>
  <si>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</si>
  <si>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</si>
  <si>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</si>
  <si>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</si>
  <si>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</si>
  <si>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</si>
  <si>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</si>
  <si>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</si>
  <si>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</si>
  <si>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</si>
  <si>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</si>
  <si>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</si>
  <si>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</si>
  <si>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</si>
  <si>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</si>
  <si>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</si>
  <si>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</si>
  <si>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</si>
  <si>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</si>
  <si>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</si>
  <si>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</si>
  <si>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</si>
  <si>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</si>
  <si>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</si>
  <si>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</si>
  <si>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</si>
  <si>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</si>
  <si>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</si>
  <si>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</si>
  <si>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</si>
  <si>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</si>
  <si>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</si>
  <si>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</si>
  <si>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</si>
  <si>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</si>
  <si>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</si>
  <si>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</si>
  <si>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</si>
  <si>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</si>
  <si>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</si>
  <si>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</si>
  <si>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</si>
  <si>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</si>
  <si>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</si>
  <si>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</si>
  <si>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</si>
  <si>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</si>
  <si>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</si>
  <si>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</si>
  <si>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</si>
  <si>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</si>
  <si>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</si>
  <si>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</si>
  <si>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</si>
  <si>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</si>
  <si>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</si>
  <si>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</si>
  <si>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</si>
  <si>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</si>
  <si>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</si>
  <si>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</si>
  <si>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</si>
  <si>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</si>
  <si>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</si>
  <si>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</si>
  <si>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</si>
  <si>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</si>
  <si>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</si>
  <si>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</si>
  <si>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</si>
  <si>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</si>
  <si>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</si>
  <si>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</si>
  <si>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</si>
  <si>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</si>
  <si>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</si>
  <si>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</si>
  <si>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</si>
  <si>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</si>
  <si>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</si>
  <si>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</si>
  <si>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</si>
  <si>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</si>
  <si>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</si>
  <si>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</si>
  <si>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</si>
  <si>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</si>
  <si>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</si>
  <si>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</si>
  <si>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</si>
  <si>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</si>
  <si>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</si>
  <si>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</si>
  <si>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</si>
  <si>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</si>
  <si>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</si>
  <si>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</si>
  <si>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</si>
  <si>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</si>
  <si>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</si>
  <si>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</si>
  <si>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</si>
  <si>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</si>
  <si>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</si>
  <si>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</si>
  <si>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</si>
  <si>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</si>
  <si>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</si>
  <si>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</si>
  <si>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</si>
  <si>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</si>
  <si>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</si>
  <si>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</si>
  <si>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</si>
  <si>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</si>
  <si>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</si>
  <si>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</si>
  <si>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</si>
  <si>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</si>
  <si>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</si>
  <si>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</si>
  <si>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</si>
  <si>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</si>
  <si>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</si>
  <si>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</si>
  <si>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</si>
  <si>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</si>
  <si>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</si>
  <si>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</si>
  <si>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</si>
  <si>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</si>
  <si>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</si>
  <si>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</si>
  <si>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</si>
  <si>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</si>
  <si>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</si>
  <si>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</si>
  <si>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</si>
  <si>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</si>
  <si>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</si>
  <si>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</si>
  <si>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</si>
  <si>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</si>
  <si>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</si>
  <si>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</si>
  <si>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</si>
  <si>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</si>
  <si>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</si>
  <si>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</si>
  <si>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</si>
  <si>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</si>
  <si>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</si>
  <si>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</si>
  <si>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</si>
  <si>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</si>
  <si>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</si>
  <si>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</si>
  <si>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</si>
  <si>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</si>
  <si>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</si>
  <si>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</si>
  <si>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</si>
  <si>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</si>
  <si>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</si>
  <si>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</si>
  <si>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</si>
  <si>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</si>
  <si>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</si>
  <si>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</si>
  <si>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</si>
  <si>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</si>
  <si>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</si>
  <si>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</si>
  <si>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</si>
  <si>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</si>
  <si>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</si>
  <si>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</si>
  <si>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</si>
  <si>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</si>
  <si>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</si>
  <si>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</si>
  <si>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</si>
  <si>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</si>
  <si>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</si>
  <si>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</si>
  <si>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</si>
  <si>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</si>
  <si>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</si>
  <si>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</si>
  <si>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</si>
  <si>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</si>
  <si>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</si>
  <si>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</si>
  <si>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</si>
  <si>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</si>
  <si>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</si>
  <si>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</si>
  <si>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</si>
  <si>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</si>
  <si>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</si>
  <si>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</si>
  <si>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</si>
  <si>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</si>
  <si>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</si>
  <si>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</si>
  <si>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</si>
  <si>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</si>
  <si>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</si>
  <si>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</si>
  <si>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</si>
  <si>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</si>
  <si>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</si>
  <si>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</si>
  <si>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</si>
  <si>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</si>
  <si>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</si>
  <si>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</si>
  <si>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</si>
  <si>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</si>
  <si>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</si>
  <si>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</si>
  <si>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</si>
  <si>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</si>
  <si>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</si>
  <si>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</si>
  <si>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</si>
  <si>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</si>
  <si>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</si>
  <si>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</si>
  <si>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</si>
  <si>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</si>
  <si>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</si>
  <si>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</si>
  <si>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</si>
  <si>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</si>
  <si>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</si>
  <si>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</si>
  <si>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</si>
  <si>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</si>
  <si>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</si>
  <si>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</si>
  <si>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</si>
  <si>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</si>
  <si>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</si>
  <si>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</si>
  <si>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</si>
  <si>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</si>
  <si>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</si>
  <si>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</si>
  <si>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</si>
  <si>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</si>
  <si>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</si>
  <si>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</si>
  <si>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</si>
  <si>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</si>
  <si>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</si>
  <si>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</si>
  <si>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</si>
  <si>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</si>
  <si>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</si>
  <si>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</si>
  <si>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</si>
  <si>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</si>
  <si>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</si>
  <si>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</si>
  <si>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</si>
  <si>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</si>
  <si>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</si>
  <si>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</si>
  <si>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</si>
  <si>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</si>
  <si>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</si>
  <si>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</si>
  <si>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</si>
  <si>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</si>
  <si>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</si>
  <si>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</si>
  <si>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</si>
  <si>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</si>
  <si>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</si>
  <si>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</si>
  <si>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</si>
  <si>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</si>
  <si>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</si>
  <si>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</si>
  <si>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</si>
  <si>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</si>
  <si>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</si>
  <si>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</si>
  <si>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</si>
  <si>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</si>
  <si>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</si>
  <si>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</si>
  <si>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</si>
  <si>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</si>
  <si>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</si>
  <si>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</si>
  <si>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</si>
  <si>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</si>
  <si>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</si>
  <si>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</si>
  <si>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</si>
  <si>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</si>
  <si>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</si>
  <si>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</si>
  <si>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</si>
  <si>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</si>
  <si>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</si>
  <si>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</si>
  <si>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</si>
  <si>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</si>
  <si>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</si>
  <si>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</si>
  <si>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</si>
  <si>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</si>
  <si>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</si>
  <si>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</si>
  <si>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</si>
  <si>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</si>
  <si>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</si>
  <si>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</si>
  <si>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</si>
  <si>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</si>
  <si>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</si>
  <si>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</si>
  <si>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</si>
  <si>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</si>
  <si>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</si>
  <si>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</si>
  <si>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</si>
  <si>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</si>
  <si>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</si>
  <si>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</si>
  <si>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</si>
  <si>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</si>
  <si>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</si>
  <si>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</si>
  <si>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</si>
  <si>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</si>
  <si>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</si>
  <si>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</si>
  <si>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</si>
  <si>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</si>
  <si>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</si>
  <si>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</si>
  <si>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</si>
  <si>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</si>
  <si>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</si>
  <si>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</si>
  <si>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</si>
  <si>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</si>
  <si>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</si>
  <si>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</si>
  <si>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</si>
  <si>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</si>
  <si>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</si>
  <si>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</si>
  <si>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</si>
  <si>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</si>
  <si>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</si>
  <si>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</si>
  <si>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</si>
  <si>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</si>
  <si>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</si>
  <si>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</si>
  <si>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</si>
  <si>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</si>
  <si>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</si>
  <si>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</si>
  <si>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</si>
  <si>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</si>
  <si>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</si>
  <si>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</si>
  <si>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</si>
  <si>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</si>
  <si>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</si>
  <si>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</si>
  <si>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</si>
  <si>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</si>
  <si>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</si>
  <si>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</si>
  <si>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</si>
  <si>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</si>
  <si>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</si>
  <si>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</si>
  <si>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</si>
  <si>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</si>
  <si>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</si>
  <si>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</si>
  <si>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</si>
  <si>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</si>
  <si>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</si>
  <si>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</si>
  <si>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</si>
  <si>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</si>
  <si>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</si>
  <si>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</si>
  <si>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</si>
  <si>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</si>
  <si>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</si>
  <si>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</si>
  <si>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</si>
  <si>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</si>
  <si>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</si>
  <si>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</si>
  <si>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</si>
  <si>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</si>
  <si>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</si>
  <si>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</si>
  <si>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</si>
  <si>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</si>
  <si>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</si>
  <si>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</si>
  <si>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</si>
  <si>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</si>
  <si>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</si>
  <si>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</si>
  <si>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</si>
  <si>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</si>
  <si>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</si>
  <si>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</si>
  <si>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</si>
  <si>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</si>
  <si>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</si>
  <si>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</si>
  <si>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</si>
  <si>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</si>
  <si>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</si>
  <si>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</si>
  <si>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</si>
  <si>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</si>
  <si>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</si>
  <si>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</si>
  <si>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</si>
  <si>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</si>
  <si>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</si>
  <si>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</si>
  <si>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</si>
  <si>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</si>
  <si>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</si>
  <si>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</si>
  <si>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</si>
  <si>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</si>
  <si>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</si>
  <si>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</si>
  <si>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</si>
  <si>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</si>
  <si>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</si>
  <si>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</si>
  <si>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</si>
  <si>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</si>
  <si>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</si>
  <si>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</si>
  <si>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</si>
  <si>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</si>
  <si>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</si>
  <si>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</si>
  <si>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</si>
  <si>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</si>
  <si>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</si>
  <si>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</si>
  <si>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</si>
  <si>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</si>
  <si>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</si>
  <si>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</si>
  <si>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</si>
  <si>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</si>
  <si>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</si>
  <si>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</si>
  <si>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</si>
  <si>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</si>
  <si>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</si>
  <si>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</si>
  <si>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</si>
  <si>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</si>
  <si>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</si>
  <si>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</si>
  <si>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</si>
  <si>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</si>
  <si>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</si>
  <si>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</si>
  <si>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</si>
  <si>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</si>
  <si>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</si>
  <si>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</si>
  <si>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</si>
  <si>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</si>
  <si>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</si>
  <si>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</si>
  <si>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</si>
  <si>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</si>
  <si>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</si>
  <si>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</si>
  <si>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</si>
  <si>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</si>
  <si>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</si>
  <si>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</si>
  <si>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</si>
  <si>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</si>
  <si>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</si>
  <si>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</si>
  <si>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</si>
  <si>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</si>
  <si>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</si>
  <si>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</si>
  <si>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</si>
  <si>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</si>
  <si>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</si>
  <si>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</si>
  <si>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</si>
  <si>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</si>
  <si>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</si>
  <si>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</si>
  <si>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</si>
  <si>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</si>
  <si>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</si>
  <si>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</si>
  <si>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</si>
  <si>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</si>
  <si>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</si>
  <si>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</si>
  <si>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</si>
  <si>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</si>
  <si>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</si>
  <si>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</si>
  <si>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</si>
  <si>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</si>
  <si>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</si>
  <si>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</si>
  <si>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</si>
  <si>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</si>
  <si>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</si>
  <si>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</si>
  <si>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</si>
  <si>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</si>
  <si>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</si>
  <si>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</si>
  <si>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</si>
  <si>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</si>
  <si>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</si>
  <si>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</si>
  <si>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</si>
  <si>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</si>
  <si>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</si>
  <si>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</si>
  <si>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</si>
  <si>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</si>
  <si>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</si>
  <si>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</si>
  <si>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</si>
  <si>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</si>
  <si>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</si>
  <si>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</si>
  <si>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</si>
  <si>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</si>
  <si>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</si>
  <si>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</si>
  <si>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</si>
  <si>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</si>
  <si>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</si>
  <si>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</si>
  <si>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</si>
  <si>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</si>
  <si>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</si>
  <si>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</si>
  <si>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</si>
  <si>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</si>
  <si>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</si>
  <si>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</si>
  <si>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</si>
  <si>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</si>
  <si>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</si>
  <si>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</si>
  <si>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</si>
  <si>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</si>
  <si>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</si>
  <si>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</si>
  <si>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</si>
  <si>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</si>
  <si>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</si>
  <si>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</si>
  <si>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</si>
  <si>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</si>
  <si>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</si>
  <si>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</si>
  <si>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</si>
  <si>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</si>
  <si>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</si>
  <si>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</si>
  <si>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</si>
  <si>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</si>
  <si>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</si>
  <si>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</si>
  <si>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</si>
  <si>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</si>
  <si>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</si>
  <si>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</si>
  <si>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</si>
  <si>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</si>
  <si>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</si>
  <si>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</si>
  <si>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</si>
  <si>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</si>
  <si>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</si>
  <si>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</si>
  <si>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</si>
  <si>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</si>
  <si>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</si>
  <si>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</si>
  <si>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</si>
  <si>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</si>
  <si>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</si>
  <si>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</si>
  <si>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</si>
  <si>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</si>
  <si>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</si>
  <si>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</si>
  <si>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</si>
  <si>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</si>
  <si>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</si>
  <si>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</si>
  <si>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</si>
  <si>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</si>
  <si>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</si>
  <si>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</si>
  <si>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</si>
  <si>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</si>
  <si>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</si>
  <si>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</si>
  <si>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</si>
  <si>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</si>
  <si>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</si>
  <si>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</si>
  <si>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</si>
  <si>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</si>
  <si>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</si>
  <si>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</si>
  <si>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</si>
  <si>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</si>
  <si>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</si>
  <si>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</si>
  <si>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</si>
  <si>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</si>
  <si>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</si>
  <si>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</si>
  <si>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</si>
  <si>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</si>
  <si>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</si>
  <si>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</si>
  <si>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</si>
  <si>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</si>
  <si>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</si>
  <si>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</si>
  <si>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</si>
  <si>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</si>
  <si>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</si>
  <si>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</si>
  <si>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</si>
  <si>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</si>
  <si>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</si>
  <si>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</si>
  <si>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</si>
  <si>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</si>
  <si>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</si>
  <si>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</si>
  <si>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</si>
  <si>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</si>
  <si>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</si>
  <si>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</si>
  <si>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</si>
  <si>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</si>
  <si>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</si>
  <si>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</si>
  <si>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</si>
  <si>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</si>
  <si>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</si>
  <si>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</si>
  <si>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</si>
  <si>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</si>
  <si>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</si>
  <si>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</si>
  <si>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</si>
  <si>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</si>
  <si>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</si>
  <si>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</si>
  <si>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</si>
  <si>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</si>
  <si>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</si>
  <si>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</si>
  <si>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</si>
  <si>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</si>
  <si>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</si>
  <si>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</si>
  <si>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</si>
  <si>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</si>
  <si>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</si>
  <si>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</si>
  <si>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</si>
  <si>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</si>
  <si>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</si>
  <si>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</si>
  <si>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</si>
  <si>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</si>
  <si>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</si>
  <si>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</si>
  <si>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</si>
  <si>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</si>
  <si>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</si>
  <si>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</si>
  <si>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</si>
  <si>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</si>
  <si>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</si>
  <si>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</si>
  <si>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</si>
  <si>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</si>
  <si>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</si>
  <si>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</si>
  <si>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</si>
  <si>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</si>
  <si>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</si>
  <si>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</si>
  <si>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</si>
  <si>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</si>
  <si>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</si>
  <si>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</si>
  <si>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</si>
  <si>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</si>
  <si>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</si>
  <si>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</si>
  <si>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</si>
  <si>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</si>
  <si>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</si>
  <si>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</si>
  <si>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</si>
  <si>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</si>
  <si>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</si>
  <si>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</si>
  <si>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</si>
  <si>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</si>
  <si>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</si>
  <si>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</si>
  <si>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</si>
  <si>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</si>
  <si>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</si>
  <si>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</si>
  <si>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</si>
  <si>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</si>
  <si>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</si>
  <si>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</si>
  <si>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</si>
  <si>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</si>
  <si>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</si>
  <si>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</si>
  <si>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</si>
  <si>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</si>
  <si>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</si>
  <si>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</si>
  <si>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</si>
  <si>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</si>
  <si>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</si>
  <si>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</si>
  <si>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</si>
  <si>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</si>
  <si>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</si>
  <si>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</si>
  <si>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</si>
  <si>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</si>
  <si>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</si>
  <si>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</si>
  <si>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</si>
  <si>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</si>
  <si>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</si>
  <si>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</si>
  <si>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</si>
  <si>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</si>
  <si>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</si>
  <si>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</si>
  <si>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</si>
  <si>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</si>
  <si>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</si>
  <si>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</si>
  <si>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</si>
  <si>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</si>
  <si>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</si>
  <si>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</si>
  <si>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</si>
  <si>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</si>
  <si>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</si>
  <si>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</si>
  <si>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</si>
  <si>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</si>
  <si>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</si>
  <si>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</si>
  <si>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</si>
  <si>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</si>
  <si>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</si>
  <si>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</si>
  <si>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</si>
  <si>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</si>
  <si>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</si>
  <si>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</si>
  <si>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</si>
  <si>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</si>
  <si>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</si>
  <si>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</si>
  <si>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</si>
  <si>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</si>
  <si>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</si>
  <si>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</si>
  <si>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</si>
  <si>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</si>
  <si>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</si>
  <si>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</si>
  <si>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</si>
  <si>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</si>
  <si>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</si>
  <si>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</si>
  <si>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</si>
  <si>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</si>
  <si>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</si>
  <si>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</si>
  <si>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</si>
  <si>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</si>
  <si>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</si>
  <si>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</si>
  <si>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</si>
  <si>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</si>
  <si>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</si>
  <si>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</si>
  <si>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</si>
  <si>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</si>
  <si>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</si>
  <si>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</si>
  <si>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</si>
  <si>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</si>
  <si>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</si>
  <si>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</si>
  <si>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</si>
  <si>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</si>
  <si>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</si>
  <si>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</si>
  <si>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</si>
  <si>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</si>
  <si>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</si>
  <si>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</si>
  <si>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</si>
  <si>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</si>
  <si>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</si>
  <si>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</si>
  <si>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</si>
  <si>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</si>
  <si>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</si>
  <si>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</si>
  <si>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</si>
  <si>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</si>
  <si>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</si>
  <si>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</si>
  <si>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</si>
  <si>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</si>
  <si>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</si>
  <si>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</si>
  <si>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</si>
  <si>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</si>
  <si>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</si>
  <si>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</si>
  <si>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</si>
  <si>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</si>
  <si>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</si>
  <si>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</si>
  <si>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</si>
  <si>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</si>
  <si>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</si>
  <si>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</si>
  <si>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</si>
  <si>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</si>
  <si>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</si>
  <si>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</si>
  <si>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</si>
  <si>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</si>
  <si>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</si>
  <si>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</si>
  <si>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</si>
  <si>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</si>
  <si>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</si>
  <si>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</si>
  <si>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</si>
  <si>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</si>
  <si>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</si>
  <si>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</si>
  <si>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</si>
  <si>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</si>
  <si>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</si>
  <si>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</si>
  <si>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</si>
  <si>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</si>
  <si>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</si>
  <si>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</si>
  <si>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</si>
  <si>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</si>
  <si>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</si>
  <si>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</si>
  <si>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</si>
  <si>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</si>
  <si>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</si>
  <si>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</si>
  <si>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</si>
  <si>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</si>
  <si>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</si>
  <si>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</si>
  <si>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</si>
  <si>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</si>
  <si>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</si>
  <si>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</si>
  <si>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</si>
  <si>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</si>
  <si>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</si>
  <si>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</si>
  <si>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</si>
  <si>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</si>
  <si>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</si>
  <si>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</si>
  <si>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</si>
  <si>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</si>
  <si>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</si>
  <si>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</si>
  <si>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</si>
  <si>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</si>
  <si>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</si>
  <si>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</si>
  <si>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</si>
  <si>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</si>
  <si>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</si>
  <si>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</si>
  <si>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</si>
  <si>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</si>
  <si>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</si>
  <si>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</si>
  <si>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</si>
  <si>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</si>
  <si>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</si>
  <si>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</si>
  <si>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</si>
  <si>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</si>
  <si>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</si>
  <si>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</si>
  <si>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</si>
  <si>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</si>
  <si>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</si>
  <si>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</si>
  <si>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</si>
  <si>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</si>
  <si>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</si>
  <si>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</si>
  <si>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</si>
  <si>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</si>
  <si>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</si>
  <si>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</si>
  <si>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</si>
  <si>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</si>
  <si>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</si>
  <si>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</si>
  <si>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</si>
  <si>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</si>
  <si>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</si>
  <si>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</si>
  <si>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</si>
  <si>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</si>
  <si>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</si>
  <si>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</si>
  <si>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</si>
  <si>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</si>
  <si>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</si>
  <si>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</si>
  <si>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</si>
  <si>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</si>
  <si>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</si>
  <si>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</si>
  <si>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</si>
  <si>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</si>
  <si>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</si>
  <si>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</si>
  <si>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</si>
  <si>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</si>
  <si>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</si>
  <si>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</si>
  <si>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</si>
  <si>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</si>
  <si>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</si>
  <si>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</si>
  <si>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</si>
  <si>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</si>
  <si>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</si>
  <si>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</si>
  <si>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</si>
  <si>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</si>
  <si>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</si>
  <si>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</si>
  <si>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</si>
  <si>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</si>
  <si>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</si>
  <si>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</si>
  <si>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</si>
  <si>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</si>
  <si>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</si>
  <si>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</si>
  <si>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</si>
  <si>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</si>
  <si>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</si>
  <si>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</si>
  <si>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</si>
  <si>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</si>
  <si>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</si>
  <si>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</si>
  <si>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</si>
  <si>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</si>
  <si>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</si>
  <si>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</si>
  <si>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</si>
  <si>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</si>
  <si>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</si>
  <si>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</si>
  <si>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</si>
  <si>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</si>
  <si>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</si>
  <si>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</si>
  <si>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</si>
  <si>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</si>
  <si>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</si>
  <si>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</si>
  <si>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</si>
  <si>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</si>
  <si>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</si>
  <si>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</si>
  <si>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</si>
  <si>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</si>
  <si>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</si>
  <si>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</si>
  <si>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</si>
  <si>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</si>
  <si>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</si>
  <si>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</si>
  <si>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</si>
  <si>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</si>
  <si>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</si>
  <si>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</si>
  <si>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</si>
  <si>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</si>
  <si>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</si>
  <si>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</si>
  <si>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</si>
  <si>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</si>
  <si>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</si>
  <si>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</si>
  <si>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</si>
  <si>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</si>
  <si>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</si>
  <si>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</si>
  <si>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</si>
  <si>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</si>
  <si>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</si>
  <si>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</si>
  <si>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</si>
  <si>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</si>
  <si>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</si>
  <si>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</si>
  <si>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</si>
  <si>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</si>
  <si>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</si>
  <si>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</si>
  <si>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</si>
  <si>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</si>
  <si>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</si>
  <si>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</si>
  <si>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</si>
  <si>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</si>
  <si>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</si>
  <si>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</si>
  <si>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</si>
  <si>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</si>
  <si>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</si>
  <si>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</si>
  <si>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</si>
  <si>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</si>
  <si>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</si>
  <si>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</si>
  <si>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</si>
  <si>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</si>
  <si>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</si>
  <si>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</si>
  <si>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</si>
  <si>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</si>
  <si>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</si>
  <si>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</si>
  <si>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</si>
  <si>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</si>
  <si>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</si>
  <si>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</si>
  <si>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</si>
  <si>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</si>
  <si>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</si>
  <si>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</si>
  <si>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</si>
  <si>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</si>
  <si>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</si>
  <si>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</si>
  <si>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</si>
  <si>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</si>
  <si>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</si>
  <si>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</si>
  <si>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</si>
  <si>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</si>
  <si>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</si>
  <si>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</si>
  <si>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</si>
  <si>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</si>
  <si>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</si>
  <si>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</si>
  <si>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</si>
  <si>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</si>
  <si>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</si>
  <si>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</si>
  <si>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</si>
  <si>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</si>
  <si>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</si>
  <si>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</si>
  <si>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</si>
  <si>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</si>
  <si>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</si>
  <si>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</si>
  <si>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</si>
  <si>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</si>
  <si>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</si>
  <si>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</si>
  <si>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</si>
  <si>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</si>
  <si>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</si>
  <si>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</si>
  <si>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</si>
  <si>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</si>
  <si>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</si>
  <si>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</si>
  <si>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</si>
  <si>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</si>
  <si>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</si>
  <si>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</si>
  <si>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</si>
  <si>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</si>
  <si>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</si>
  <si>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</si>
  <si>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</si>
  <si>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</si>
  <si>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</si>
  <si>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</si>
  <si>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</si>
  <si>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</si>
  <si>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</si>
  <si>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</si>
  <si>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</si>
  <si>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</si>
  <si>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</si>
  <si>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</si>
  <si>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抵押价格</t>
  </si>
  <si>
    <t>其他：</t>
  </si>
  <si>
    <t>企业</t>
  </si>
  <si>
    <t>一致</t>
  </si>
  <si>
    <t>商业</t>
  </si>
  <si>
    <t>地上</t>
  </si>
  <si>
    <t>普通住宅</t>
  </si>
  <si>
    <t>地下</t>
  </si>
  <si>
    <t>车库</t>
  </si>
  <si>
    <t>住宅</t>
    <phoneticPr fontId="7" type="noConversion"/>
  </si>
  <si>
    <t>loft公寓</t>
  </si>
  <si>
    <t>商业</t>
    <phoneticPr fontId="7" type="noConversion"/>
  </si>
  <si>
    <t>地下车库</t>
    <phoneticPr fontId="7"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</si>
  <si>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</si>
  <si>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</si>
  <si>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</si>
  <si>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</si>
  <si>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</si>
  <si>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</si>
  <si>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</si>
  <si>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</si>
  <si>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</si>
  <si>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</si>
  <si>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</si>
  <si>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</si>
  <si>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</si>
  <si>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</si>
  <si>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</si>
  <si>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</si>
  <si>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</si>
  <si>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</si>
  <si>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</si>
  <si>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</si>
  <si>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</si>
  <si>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</si>
  <si>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</si>
  <si>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</si>
  <si>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</si>
  <si>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</si>
  <si>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</si>
  <si>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</si>
  <si>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综合用地(含住宅)</t>
  </si>
  <si>
    <t>已成交</t>
  </si>
  <si>
    <t>正常</t>
  </si>
  <si>
    <t>楼面地价</t>
  </si>
  <si>
    <t>否</t>
  </si>
  <si>
    <t>比较法-住宅、综合</t>
  </si>
  <si>
    <t>开工中</t>
  </si>
  <si>
    <t>商服40年、住宅70年</t>
  </si>
  <si>
    <t>3星</t>
  </si>
  <si>
    <t>2星</t>
  </si>
  <si>
    <t>一般</t>
  </si>
  <si>
    <t>剩余法-待开发</t>
  </si>
  <si>
    <t>不动产收益法</t>
  </si>
  <si>
    <t>按租金收入计税</t>
  </si>
  <si>
    <t>钢混</t>
  </si>
  <si>
    <t>项目全部</t>
  </si>
  <si>
    <t>土地</t>
  </si>
  <si>
    <t>序号</t>
    <phoneticPr fontId="228" type="noConversion"/>
  </si>
  <si>
    <t>建设内容</t>
  </si>
  <si>
    <t>办公</t>
    <phoneticPr fontId="228" type="noConversion"/>
  </si>
  <si>
    <t>住宅</t>
    <phoneticPr fontId="228" type="noConversion"/>
  </si>
  <si>
    <t>商业</t>
    <phoneticPr fontId="228" type="noConversion"/>
  </si>
  <si>
    <t>地下仓储</t>
  </si>
  <si>
    <t>人防</t>
    <phoneticPr fontId="228" type="noConversion"/>
  </si>
  <si>
    <t>公共服务配套</t>
    <phoneticPr fontId="228" type="noConversion"/>
  </si>
  <si>
    <t>一般机动车库</t>
  </si>
  <si>
    <t>人防区车库</t>
  </si>
  <si>
    <t>1#办公楼建筑分层面积表</t>
  </si>
  <si>
    <t>2#办公楼建筑分层面积表</t>
  </si>
  <si>
    <t>3#办公楼建筑分层面积表</t>
  </si>
  <si>
    <t>5#办公楼建筑分层面积表</t>
  </si>
  <si>
    <t>6#办公楼建筑分层面积表</t>
  </si>
  <si>
    <t>7#办公楼建筑分层面积表</t>
  </si>
  <si>
    <t>8#办公楼建筑分层面积表</t>
  </si>
  <si>
    <t>10#住宅楼建筑分层面积表</t>
  </si>
  <si>
    <t>11#住宅楼建筑分层面积表</t>
  </si>
  <si>
    <t>12#住宅楼建筑分层面积表</t>
  </si>
  <si>
    <t>13#住宅楼建筑分层面积表</t>
  </si>
  <si>
    <t>15#住宅楼建筑分层面积表</t>
  </si>
  <si>
    <t>16#住宅楼建筑分层面积表</t>
  </si>
  <si>
    <t>17#住宅楼建筑分层面积表</t>
  </si>
  <si>
    <t>18#住宅楼建筑分层面积表</t>
  </si>
  <si>
    <t>19#住宅楼建筑分层面积表</t>
  </si>
  <si>
    <t>20#住宅楼建筑分层面积表</t>
  </si>
  <si>
    <t>21#住宅楼建筑分层面积表</t>
  </si>
  <si>
    <t>22#住宅楼建筑分层面积表</t>
  </si>
  <si>
    <t>23#住宅楼建筑分层面积表</t>
  </si>
  <si>
    <t>25#住宅楼建筑分层面积表</t>
  </si>
  <si>
    <t>26#办公楼建筑分层面积表</t>
  </si>
  <si>
    <t>27#办公楼建筑分层面积表</t>
  </si>
  <si>
    <t>28#办公楼建筑分层面积表</t>
  </si>
  <si>
    <t>29#办公楼建筑分层面积表</t>
  </si>
  <si>
    <t>30#办公楼建筑分层面积表</t>
  </si>
  <si>
    <t>31#办公楼建筑分层面积表</t>
  </si>
  <si>
    <t>32#办公楼建筑分层面积表</t>
  </si>
  <si>
    <t>33#办公楼建筑分层面积表</t>
  </si>
  <si>
    <t>S1#商业楼建筑分层面积表</t>
  </si>
  <si>
    <t>S2#商业楼建筑分层面积表</t>
  </si>
  <si>
    <t>S3#商业楼建筑分层面积表</t>
  </si>
  <si>
    <t>S4#配套建筑分层面积表</t>
  </si>
  <si>
    <t>S5#幼儿园楼建筑分层面积表</t>
  </si>
  <si>
    <t>面积指标</t>
    <phoneticPr fontId="3" type="noConversion"/>
  </si>
  <si>
    <t>独立商业</t>
  </si>
  <si>
    <t>估价对象周边居住用地比例一般、居住小区规模和社区发展完善程度一般，周边有新力城、丰泽花园、联富花园等住宅项目，综合评价居住社区成熟度一般</t>
    <phoneticPr fontId="21" type="noConversion"/>
  </si>
  <si>
    <t>估价对象位于长堎工业区附近，周边商业氛围较差，人流量一般，商业繁华度较差</t>
    <phoneticPr fontId="21" type="noConversion"/>
  </si>
  <si>
    <t>估价对象周边道路状况较好、公共交通通达情况一般，有117路、119路等公交车、停车便捷程度较好，综合评价交通便捷度一般</t>
    <phoneticPr fontId="21" type="noConversion"/>
  </si>
  <si>
    <t>估价对象所在区域公共配套设施齐备情况较差</t>
    <phoneticPr fontId="21" type="noConversion"/>
  </si>
  <si>
    <t>估价对象所在区域基础设施水平一般</t>
    <phoneticPr fontId="21" type="noConversion"/>
  </si>
  <si>
    <t>区域自然环境一般：；人文环境：南昌工学院；综合评价环境状况一般</t>
    <phoneticPr fontId="21" type="noConversion"/>
  </si>
  <si>
    <t>城市支路</t>
    <phoneticPr fontId="21" type="noConversion"/>
  </si>
  <si>
    <t>不动产收益法车</t>
  </si>
  <si>
    <t>不动产收益法车</t>
    <phoneticPr fontId="14" type="noConversion"/>
  </si>
  <si>
    <t>土地（套用方法）</t>
  </si>
  <si>
    <t>押一</t>
  </si>
  <si>
    <t>新力城</t>
    <phoneticPr fontId="3" type="noConversion"/>
  </si>
  <si>
    <t>售价</t>
  </si>
  <si>
    <t>较差</t>
  </si>
  <si>
    <t>六通</t>
  </si>
  <si>
    <t>高速</t>
    <phoneticPr fontId="3" type="noConversion"/>
  </si>
  <si>
    <t>快速</t>
    <phoneticPr fontId="3" type="noConversion"/>
  </si>
  <si>
    <t>主</t>
    <phoneticPr fontId="3" type="noConversion"/>
  </si>
  <si>
    <t>次</t>
    <phoneticPr fontId="3" type="noConversion"/>
  </si>
  <si>
    <t>支路</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</si>
  <si>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</si>
  <si>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</si>
  <si>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</si>
  <si>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</si>
  <si>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</si>
  <si>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</si>
  <si>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</si>
  <si>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</si>
  <si>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</si>
  <si>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</si>
  <si>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</si>
  <si>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</si>
  <si>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</si>
  <si>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</si>
  <si>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</si>
  <si>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</si>
  <si>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</si>
  <si>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</si>
  <si>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</si>
  <si>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</si>
  <si>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</si>
  <si>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高层</t>
    <phoneticPr fontId="21" type="noConversion"/>
  </si>
  <si>
    <t>中档</t>
  </si>
  <si>
    <t>普通装修</t>
  </si>
  <si>
    <t>专业</t>
  </si>
  <si>
    <t>精装修</t>
  </si>
  <si>
    <t>较好</t>
  </si>
  <si>
    <t>住宅</t>
    <phoneticPr fontId="21" type="noConversion"/>
  </si>
  <si>
    <t>60-70（含）</t>
  </si>
  <si>
    <t>江铃时代城</t>
    <phoneticPr fontId="3" type="noConversion"/>
  </si>
  <si>
    <t>支路</t>
  </si>
  <si>
    <t>支路</t>
    <phoneticPr fontId="21" type="noConversion"/>
  </si>
  <si>
    <t>城开国际学园</t>
    <phoneticPr fontId="228" type="noConversion"/>
  </si>
  <si>
    <t>恒茂红谷新城</t>
    <phoneticPr fontId="228" type="noConversion"/>
  </si>
  <si>
    <t>洪鑫商住楼</t>
    <phoneticPr fontId="228" type="noConversion"/>
  </si>
  <si>
    <t>loft</t>
    <phoneticPr fontId="228" type="noConversion"/>
  </si>
  <si>
    <t>平层</t>
    <phoneticPr fontId="228" type="noConversion"/>
  </si>
  <si>
    <t>不动产收益法公寓</t>
  </si>
  <si>
    <t>不动产收益法公寓</t>
    <phoneticPr fontId="14"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</si>
  <si>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</si>
  <si>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</si>
  <si>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</si>
  <si>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</si>
  <si>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</si>
  <si>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合计</t>
    <phoneticPr fontId="228" type="noConversion"/>
  </si>
  <si>
    <t>1#办公楼</t>
    <phoneticPr fontId="228" type="noConversion"/>
  </si>
  <si>
    <t>2#办公楼</t>
    <phoneticPr fontId="228" type="noConversion"/>
  </si>
  <si>
    <t>3#办公楼</t>
    <phoneticPr fontId="228" type="noConversion"/>
  </si>
  <si>
    <t>5#办公楼</t>
    <phoneticPr fontId="228" type="noConversion"/>
  </si>
  <si>
    <t>6#办公楼</t>
    <phoneticPr fontId="228" type="noConversion"/>
  </si>
  <si>
    <t>7#办公楼</t>
    <phoneticPr fontId="228" type="noConversion"/>
  </si>
  <si>
    <t>8#办公楼</t>
    <phoneticPr fontId="228" type="noConversion"/>
  </si>
  <si>
    <t>10#住宅楼</t>
    <phoneticPr fontId="228" type="noConversion"/>
  </si>
  <si>
    <t>11#住宅楼</t>
    <phoneticPr fontId="228" type="noConversion"/>
  </si>
  <si>
    <t>12#住宅楼</t>
    <phoneticPr fontId="228" type="noConversion"/>
  </si>
  <si>
    <t>13#住宅楼</t>
    <phoneticPr fontId="228" type="noConversion"/>
  </si>
  <si>
    <t>15#住宅楼</t>
    <phoneticPr fontId="228" type="noConversion"/>
  </si>
  <si>
    <t>16#住宅楼</t>
    <phoneticPr fontId="228" type="noConversion"/>
  </si>
  <si>
    <t>17#住宅楼</t>
    <phoneticPr fontId="228" type="noConversion"/>
  </si>
  <si>
    <t>18#住宅楼</t>
    <phoneticPr fontId="228" type="noConversion"/>
  </si>
  <si>
    <t>19#住宅楼</t>
    <phoneticPr fontId="228" type="noConversion"/>
  </si>
  <si>
    <t>20#住宅楼</t>
    <phoneticPr fontId="228" type="noConversion"/>
  </si>
  <si>
    <t>21#住宅楼</t>
    <phoneticPr fontId="228" type="noConversion"/>
  </si>
  <si>
    <t>22#住宅楼</t>
    <phoneticPr fontId="228" type="noConversion"/>
  </si>
  <si>
    <t>23#住宅楼</t>
    <phoneticPr fontId="228" type="noConversion"/>
  </si>
  <si>
    <t>25#住宅楼</t>
    <phoneticPr fontId="228" type="noConversion"/>
  </si>
  <si>
    <t>26#办公楼</t>
    <phoneticPr fontId="228" type="noConversion"/>
  </si>
  <si>
    <t>27#办公楼</t>
    <phoneticPr fontId="228" type="noConversion"/>
  </si>
  <si>
    <t>28#办公楼</t>
    <phoneticPr fontId="228" type="noConversion"/>
  </si>
  <si>
    <t>29#办公楼</t>
    <phoneticPr fontId="228" type="noConversion"/>
  </si>
  <si>
    <t>30#办公楼</t>
    <phoneticPr fontId="228" type="noConversion"/>
  </si>
  <si>
    <t>31#办公楼</t>
    <phoneticPr fontId="228" type="noConversion"/>
  </si>
  <si>
    <t>32#办公楼</t>
    <phoneticPr fontId="228" type="noConversion"/>
  </si>
  <si>
    <t>33#办公楼</t>
    <phoneticPr fontId="228" type="noConversion"/>
  </si>
  <si>
    <t>S1#商业楼</t>
    <phoneticPr fontId="228" type="noConversion"/>
  </si>
  <si>
    <t>S2#商业楼</t>
    <phoneticPr fontId="228" type="noConversion"/>
  </si>
  <si>
    <t>S3#商业楼</t>
    <phoneticPr fontId="228" type="noConversion"/>
  </si>
  <si>
    <t>S5#幼儿园楼</t>
    <phoneticPr fontId="228" type="noConversion"/>
  </si>
  <si>
    <t>机动车库</t>
    <phoneticPr fontId="228" type="noConversion"/>
  </si>
  <si>
    <t>住宅、商业</t>
  </si>
  <si>
    <t>住宅、商业</t>
    <phoneticPr fontId="26" type="noConversion"/>
  </si>
  <si>
    <t>三通</t>
  </si>
  <si>
    <t>广东省</t>
    <phoneticPr fontId="6" type="noConversion"/>
  </si>
  <si>
    <t>汕尾市壹加捌房地产开发有限公司</t>
  </si>
  <si>
    <t>汕尾市壹加捌房地产开发有限公司</t>
    <phoneticPr fontId="6" type="noConversion"/>
  </si>
  <si>
    <t>住宅、住宿餐饮、批发零售</t>
    <phoneticPr fontId="6" type="noConversion"/>
  </si>
  <si>
    <t>办公楼</t>
  </si>
  <si>
    <t>公寓</t>
  </si>
  <si>
    <t>公寓</t>
    <phoneticPr fontId="7" type="noConversion"/>
  </si>
  <si>
    <t>创客空间</t>
  </si>
  <si>
    <t>创客空间</t>
    <phoneticPr fontId="7" type="noConversion"/>
  </si>
  <si>
    <t>汕尾中央商务区站前路东侧</t>
  </si>
  <si>
    <t>汕尾市</t>
  </si>
  <si>
    <t>城区</t>
  </si>
  <si>
    <t>挂牌</t>
  </si>
  <si>
    <t>SW-HCHZH-E25</t>
  </si>
  <si>
    <t>住宅、商服用地</t>
  </si>
  <si>
    <t>≥2.4且≤3.4</t>
  </si>
  <si>
    <t>≤25%</t>
  </si>
  <si>
    <t>≤200米</t>
  </si>
  <si>
    <t>2018-12-07</t>
  </si>
  <si>
    <t>2018-12-27</t>
  </si>
  <si>
    <t>2019-01-08</t>
  </si>
  <si>
    <t>汕尾网挂出让[2018]6号-2</t>
  </si>
  <si>
    <t>深圳市润投咨询有限公司</t>
  </si>
  <si>
    <t>SW-HCHZH-E17</t>
  </si>
  <si>
    <t>≥2.3且≤3.3</t>
  </si>
  <si>
    <t>汕尾网挂出让[2018]6号-1</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</si>
  <si>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</si>
  <si>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</si>
  <si>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</si>
  <si>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</si>
  <si>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</si>
  <si>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</si>
  <si>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</si>
  <si>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</si>
  <si>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</si>
  <si>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</si>
  <si>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</si>
  <si>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</si>
  <si>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</si>
  <si>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</si>
  <si>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</si>
  <si>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</si>
  <si>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汕尾市区红海东路南侧、和顺路东侧</t>
  </si>
  <si>
    <t>居住用地可兼容商业用地</t>
  </si>
  <si>
    <t>≥1.5且≤1.8</t>
  </si>
  <si>
    <t>&amp;lt;30</t>
  </si>
  <si>
    <t>&amp;lt;25</t>
  </si>
  <si>
    <t>2017-11-14</t>
  </si>
  <si>
    <t>2017-12-04</t>
  </si>
  <si>
    <t>2017-12-13</t>
  </si>
  <si>
    <t>汕尾[2017]8号-2</t>
  </si>
  <si>
    <t>汕尾市瑞达贸易有限公司</t>
  </si>
  <si>
    <t>住宅70年,商业40年</t>
  </si>
  <si>
    <t>汕尾市区站前横路南侧(现红海湾大道)、中轴西路东侧</t>
  </si>
  <si>
    <t>SW-PQX-N单元一号</t>
  </si>
  <si>
    <t>城镇住宅用地</t>
  </si>
  <si>
    <t>＞1且≤3.8</t>
  </si>
  <si>
    <t>≥80米且≤100米</t>
  </si>
  <si>
    <t>未开工</t>
  </si>
  <si>
    <t>2019-04-25</t>
  </si>
  <si>
    <t>2019-05-16</t>
  </si>
  <si>
    <t>2019-05-28</t>
  </si>
  <si>
    <t>汕尾网挂出让[2019]1号</t>
  </si>
  <si>
    <t>70年*40年</t>
  </si>
  <si>
    <t>汕尾市区中轴西路东侧</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</si>
</sst>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0"/>
      <color rgb="FF00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71" fillId="0" borderId="12" xfId="0" applyFont="1" applyFill="1" applyBorder="1" applyAlignment="1" applyProtection="1">
      <alignment horizontal="center" vertical="center"/>
      <protection locked="0"/>
    </xf>
    <xf numFmtId="0" fontId="71" fillId="6" borderId="12" xfId="0" applyFont="1" applyFill="1" applyBorder="1" applyAlignment="1" applyProtection="1">
      <alignment horizontal="center" vertical="center"/>
      <protection locked="0"/>
    </xf>
    <xf numFmtId="181" fontId="149" fillId="0" borderId="2" xfId="0" applyNumberFormat="1" applyFont="1" applyFill="1" applyBorder="1" applyAlignment="1" applyProtection="1">
      <alignment horizontal="center" vertical="center"/>
      <protection locked="0"/>
    </xf>
    <xf numFmtId="0" fontId="153" fillId="0" borderId="11" xfId="0" applyFont="1" applyFill="1" applyBorder="1" applyAlignment="1" applyProtection="1">
      <alignment vertical="center"/>
      <protection locked="0"/>
    </xf>
    <xf numFmtId="181" fontId="153" fillId="0" borderId="2" xfId="0" applyNumberFormat="1"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 fillId="0" borderId="74" xfId="15" applyNumberFormat="1" applyFont="1" applyFill="1" applyBorder="1" applyAlignment="1" applyProtection="1">
      <alignment horizontal="center" vertical="center" wrapText="1"/>
      <protection locked="0"/>
    </xf>
    <xf numFmtId="0" fontId="17" fillId="0" borderId="74" xfId="15"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lignment vertical="center"/>
    </xf>
    <xf numFmtId="0" fontId="17" fillId="0" borderId="74" xfId="16"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97" fillId="5" borderId="2" xfId="2" applyFont="1" applyFill="1" applyBorder="1" applyAlignment="1" applyProtection="1">
      <alignment vertical="center"/>
    </xf>
    <xf numFmtId="49" fontId="274" fillId="0" borderId="7" xfId="1" applyNumberFormat="1" applyFont="1" applyFill="1" applyBorder="1" applyAlignment="1" applyProtection="1">
      <alignment horizontal="center" vertical="center" wrapText="1"/>
      <protection locked="0"/>
    </xf>
    <xf numFmtId="0" fontId="274" fillId="0" borderId="12" xfId="1" applyFont="1" applyBorder="1" applyAlignment="1" applyProtection="1">
      <alignment horizontal="center" vertical="center" wrapText="1"/>
      <protection locked="0"/>
    </xf>
    <xf numFmtId="49" fontId="274" fillId="0" borderId="12" xfId="1" applyNumberFormat="1" applyFont="1" applyFill="1" applyBorder="1" applyAlignment="1" applyProtection="1">
      <alignment horizontal="center" vertical="center" wrapText="1"/>
      <protection locked="0"/>
    </xf>
    <xf numFmtId="0" fontId="163" fillId="0" borderId="0" xfId="0" applyFont="1" applyFill="1">
      <alignment vertical="center"/>
    </xf>
    <xf numFmtId="0" fontId="163" fillId="0" borderId="2" xfId="0" applyFont="1" applyFill="1" applyBorder="1" applyAlignment="1">
      <alignment horizontal="left" vertical="center"/>
    </xf>
    <xf numFmtId="0" fontId="163" fillId="0" borderId="2" xfId="0" applyFont="1" applyFill="1" applyBorder="1">
      <alignment vertical="center"/>
    </xf>
    <xf numFmtId="2" fontId="163" fillId="0" borderId="2" xfId="0" applyNumberFormat="1" applyFont="1" applyFill="1" applyBorder="1">
      <alignment vertical="center"/>
    </xf>
    <xf numFmtId="0" fontId="163" fillId="0" borderId="0" xfId="0" applyFont="1" applyFill="1" applyAlignment="1">
      <alignment horizontal="left" vertical="center"/>
    </xf>
    <xf numFmtId="0" fontId="0" fillId="18" borderId="0" xfId="0" applyFill="1" applyAlignment="1"/>
    <xf numFmtId="0" fontId="0" fillId="6" borderId="0" xfId="0"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2" xfId="0" applyFont="1" applyFill="1" applyBorder="1" applyAlignment="1">
      <alignment horizontal="center" vertical="center"/>
    </xf>
    <xf numFmtId="0" fontId="275" fillId="0" borderId="2" xfId="0" applyFont="1" applyFill="1" applyBorder="1" applyAlignment="1">
      <alignment horizontal="left" vertical="center" wrapText="1"/>
    </xf>
    <xf numFmtId="0" fontId="275" fillId="0" borderId="2"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广东省汕尾市区中轴西路东侧出让国有建设用地使用权抵押价格预评估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受贵公司委托，我公司对广东省汕尾市区中轴西路东侧出让国有建设用地使用权抵押价格进行了预评估。</v>
      </c>
      <c r="AM6" s="2856"/>
    </row>
    <row r="7" spans="1:55" s="2830" customFormat="1">
      <c r="A7" s="2831" t="s">
        <v>2657</v>
      </c>
      <c r="B7" s="2832" t="str">
        <f>'预评函-1'!A6</f>
        <v>估价对象为汕尾市壹加捌房地产开发有限公司使用的、位于广东省汕尾市区中轴西路东侧出让国有建设用地使用权。根据《国有土地使用证》[]，估价对象（分摊）出让国有建设用地使用权面积为59228平方米。根据《建设工程规划许可证》[]、《出让合同》[]，估价对象规划建筑面积为304328.8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广东省汕尾市区中轴西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2019年11月13日（评估专业人员勘察现场之日）</v>
      </c>
    </row>
    <row r="11" spans="1:55" s="2830" customFormat="1">
      <c r="A11" s="2831" t="s">
        <v>2665</v>
      </c>
      <c r="B11" s="2832" t="str">
        <f>'预评函-1'!A14</f>
        <v>根据《国有土地使用证》[]，本次评估估价对象证载（地类）用途为住宅、住宿餐饮、批发零售。</v>
      </c>
    </row>
    <row r="12" spans="1:55" s="2830" customFormat="1">
      <c r="A12" s="2831" t="s">
        <v>2666</v>
      </c>
      <c r="B12" s="2832" t="str">
        <f>'预评函-1'!A15</f>
        <v>本次评估设定用途即为证载用途住宅、住宿餐饮、批发零售。</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根据《国有土地使用证》[]，估价对象（分摊）出让国有建设用地使用权面积为59228平方米。根据《建设工程规划许可证》[]、《出让合同》[]，估价对象规划建筑面积为304328.8平方米。</v>
      </c>
    </row>
    <row r="16" spans="1:55" s="2830" customFormat="1">
      <c r="A16" s="2831" t="s">
        <v>2669</v>
      </c>
      <c r="B16" s="2832" t="str">
        <f>'预评函-1'!A22</f>
        <v>本次估价对象为出让国有建设用地使用权，《国有土地使用证》[]证载土地终止日期为住宅2089年8月31日、商业2059年8月31日、办公2059年8月31日、地下车库2059年8月31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11月13日，在规划利用条件下、设定土地开发程度为红线外“七通”、宗地内场地，设定用途为住宅、住宿餐饮、批发零售，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估价期日：2019年11月13日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t="str">
        <f>'预评函-2'!E5</f>
        <v>住宅、住宿餐饮、批发零售</v>
      </c>
      <c r="AV32" s="2836"/>
    </row>
    <row r="33" spans="1:2">
      <c r="A33" s="2831" t="s">
        <v>2713</v>
      </c>
      <c r="B33" s="2832">
        <f>'预评函-2'!F5</f>
        <v>258</v>
      </c>
    </row>
    <row r="34" spans="1:2">
      <c r="A34" s="2831" t="s">
        <v>2714</v>
      </c>
      <c r="B34" s="2832" t="str">
        <f>'预评函-2'!G5</f>
        <v>住宅、住宿餐饮、批发零售</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59228</v>
      </c>
    </row>
    <row r="44" spans="1:2">
      <c r="A44" s="2831" t="s">
        <v>2740</v>
      </c>
      <c r="B44" s="2832" t="str">
        <f>'预评函-2'!O3</f>
        <v>规划建筑面积/㎡</v>
      </c>
    </row>
    <row r="45" spans="1:2">
      <c r="A45" s="2831" t="s">
        <v>2722</v>
      </c>
      <c r="B45" s="2832">
        <f>'预评函-2'!O5</f>
        <v>304328.8</v>
      </c>
    </row>
    <row r="46" spans="1:2">
      <c r="A46" s="2831" t="s">
        <v>2723</v>
      </c>
      <c r="B46" s="2832">
        <f ca="1">'预评函-2'!P5</f>
        <v>13201</v>
      </c>
    </row>
    <row r="47" spans="1:2">
      <c r="A47" s="2831" t="s">
        <v>2724</v>
      </c>
      <c r="B47" s="2832">
        <f ca="1">'预评函-2'!Q5</f>
        <v>2569</v>
      </c>
    </row>
    <row r="48" spans="1:2">
      <c r="A48" s="2831" t="s">
        <v>2725</v>
      </c>
      <c r="B48" s="2832">
        <f ca="1">'预评函-2'!R5</f>
        <v>78189</v>
      </c>
    </row>
    <row r="49" spans="1:2">
      <c r="A49" s="2831" t="s">
        <v>2741</v>
      </c>
      <c r="B49" s="2832" t="str">
        <f>'预评函-2'!A6</f>
        <v>抵押价格</v>
      </c>
    </row>
    <row r="50" spans="1:2">
      <c r="A50" s="2831" t="s">
        <v>2726</v>
      </c>
      <c r="B50" s="2832">
        <f ca="1">'预评函-2'!R6</f>
        <v>78189</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H23" sqref="H23"/>
    </sheetView>
  </sheetViews>
  <sheetFormatPr defaultColWidth="10" defaultRowHeight="14.25"/>
  <cols>
    <col min="1" max="1" width="15.375" style="1673" customWidth="1"/>
    <col min="2" max="2" width="11.375" style="1673" customWidth="1"/>
    <col min="3" max="3" width="12.625" style="1673" customWidth="1"/>
    <col min="4" max="4" width="11.5" style="1673" customWidth="1"/>
    <col min="5" max="5" width="12.5" style="1673" customWidth="1"/>
    <col min="6" max="6" width="12.8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51" t="str">
        <f>IF(B10="北京市","北京市",C10)&amp;F10&amp;B16&amp;"国有建设用地使用权"&amp;B9&amp;"预评估"</f>
        <v>广东省汕尾市区中轴西路东侧出让国有建设用地使用权抵押价格预评估</v>
      </c>
      <c r="C1" s="3252"/>
      <c r="D1" s="3252"/>
      <c r="E1" s="3252"/>
      <c r="F1" s="3252"/>
      <c r="G1" s="3252"/>
      <c r="H1" s="3252"/>
      <c r="I1" s="3253"/>
      <c r="J1" s="1676"/>
      <c r="K1" s="2417" t="str">
        <f>IF(B10="北京市","北京市",C10)&amp;F10&amp;B16&amp;"国有建设用地使用权"&amp;B9</f>
        <v>广东省汕尾市区中轴西路东侧出让国有建设用地使用权抵押价格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广东省汕尾市区中轴西路东侧出让国有建设用地使用权</v>
      </c>
      <c r="L2" s="1705"/>
      <c r="M2" s="1705"/>
      <c r="N2" s="1676"/>
      <c r="O2" s="1677"/>
      <c r="P2" s="1676"/>
      <c r="Q2" s="1676"/>
      <c r="R2" s="1676"/>
      <c r="S2" s="1676"/>
      <c r="T2" s="1676"/>
      <c r="U2" s="1676"/>
    </row>
    <row r="3" spans="1:21">
      <c r="A3" s="1643" t="s">
        <v>1939</v>
      </c>
      <c r="B3" s="1644">
        <v>43782</v>
      </c>
      <c r="C3" s="1645" t="s">
        <v>1995</v>
      </c>
      <c r="D3" s="1644">
        <f>B3</f>
        <v>43782</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2992</v>
      </c>
      <c r="C8" s="1653"/>
      <c r="D8" s="3257" t="s">
        <v>1944</v>
      </c>
      <c r="E8" s="1826" t="s">
        <v>2997</v>
      </c>
      <c r="F8" s="1654"/>
      <c r="G8" s="1642"/>
      <c r="H8" s="1642"/>
      <c r="I8" s="1689"/>
      <c r="J8" s="1676"/>
      <c r="K8" s="1756"/>
      <c r="L8" s="1705"/>
      <c r="M8" s="1705"/>
      <c r="N8" s="1676"/>
      <c r="O8" s="1677"/>
      <c r="P8" s="1676"/>
      <c r="Q8" s="1676"/>
      <c r="R8" s="1676"/>
      <c r="S8" s="1676"/>
      <c r="T8" s="1676"/>
      <c r="U8" s="1676"/>
    </row>
    <row r="9" spans="1:21" ht="15" thickBot="1">
      <c r="A9" s="1655" t="s">
        <v>1943</v>
      </c>
      <c r="B9" s="1656" t="s">
        <v>2997</v>
      </c>
      <c r="C9" s="1657"/>
      <c r="D9" s="3258"/>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2998</v>
      </c>
      <c r="C10" s="1658" t="s">
        <v>3203</v>
      </c>
      <c r="D10" s="1649"/>
      <c r="E10" s="1659" t="s">
        <v>1946</v>
      </c>
      <c r="F10" s="1660" t="s">
        <v>3267</v>
      </c>
      <c r="G10" s="1727"/>
      <c r="H10" s="1728"/>
      <c r="I10" s="1649"/>
      <c r="J10" s="1676"/>
      <c r="K10" s="1756"/>
      <c r="L10" s="1705"/>
      <c r="M10" s="1705"/>
      <c r="N10" s="1676"/>
      <c r="O10" s="1677"/>
      <c r="P10" s="1676"/>
      <c r="Q10" s="1676"/>
      <c r="R10" s="1676"/>
      <c r="S10" s="1676"/>
      <c r="T10" s="1676"/>
      <c r="U10" s="1676"/>
    </row>
    <row r="11" spans="1:21" ht="42.75">
      <c r="A11" s="1679" t="s">
        <v>2000</v>
      </c>
      <c r="B11" s="1680" t="s">
        <v>2999</v>
      </c>
      <c r="C11" s="1661" t="s">
        <v>3205</v>
      </c>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54" t="s">
        <v>3206</v>
      </c>
      <c r="C12" s="3255"/>
      <c r="D12" s="3256"/>
      <c r="E12" s="1681" t="s">
        <v>2061</v>
      </c>
      <c r="F12" s="3272" t="s">
        <v>2890</v>
      </c>
      <c r="G12" s="3273"/>
      <c r="H12" s="3273"/>
      <c r="I12" s="3274"/>
      <c r="J12" s="1676"/>
      <c r="K12" s="1756"/>
      <c r="L12" s="1705"/>
      <c r="M12" s="1705"/>
      <c r="N12" s="1676"/>
      <c r="O12" s="1677"/>
      <c r="P12" s="1676"/>
      <c r="Q12" s="1676"/>
      <c r="R12" s="1676"/>
      <c r="S12" s="1676"/>
      <c r="T12" s="1676"/>
      <c r="U12" s="1676"/>
    </row>
    <row r="13" spans="1:21">
      <c r="A13" s="1669" t="s">
        <v>2059</v>
      </c>
      <c r="B13" s="3254" t="s">
        <v>3206</v>
      </c>
      <c r="C13" s="3255"/>
      <c r="D13" s="3256"/>
      <c r="E13" s="1681" t="s">
        <v>2061</v>
      </c>
      <c r="F13" s="3272" t="s">
        <v>2891</v>
      </c>
      <c r="G13" s="3273"/>
      <c r="H13" s="3273"/>
      <c r="I13" s="3274"/>
      <c r="J13" s="1676"/>
      <c r="K13" s="1756"/>
      <c r="L13" s="1705"/>
      <c r="M13" s="1705"/>
      <c r="N13" s="1676"/>
      <c r="O13" s="1677"/>
      <c r="P13" s="1676"/>
      <c r="Q13" s="1676"/>
      <c r="R13" s="1676"/>
      <c r="S13" s="1676"/>
      <c r="T13" s="1676"/>
      <c r="U13" s="1676"/>
    </row>
    <row r="14" spans="1:21">
      <c r="A14" s="1643" t="s">
        <v>2062</v>
      </c>
      <c r="B14" s="1681"/>
      <c r="C14" s="1827" t="s">
        <v>3000</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2987</v>
      </c>
      <c r="C16" s="1681" t="s">
        <v>1948</v>
      </c>
      <c r="D16" s="2608" t="s">
        <v>1949</v>
      </c>
      <c r="E16" s="1704" t="s">
        <v>3001</v>
      </c>
      <c r="F16" s="1704" t="s">
        <v>1677</v>
      </c>
      <c r="G16" s="1704" t="s">
        <v>35</v>
      </c>
      <c r="H16" s="1704"/>
      <c r="I16" s="1668" t="s">
        <v>1954</v>
      </c>
      <c r="J16" s="1676"/>
      <c r="K16" s="2418" t="str">
        <f>IF(D17="","",D16&amp;TEXT(D17,"yyyy年m月d日;;"))</f>
        <v>住宅2089年8月31日</v>
      </c>
      <c r="L16" s="1681" t="str">
        <f>IF(OR(K16="",M16=""),"","、")</f>
        <v>、</v>
      </c>
      <c r="M16" s="2418" t="str">
        <f>IF(E17="","",E16&amp;TEXT(E17,"yyyy年m月d日;;"))</f>
        <v>商业2059年8月31日</v>
      </c>
      <c r="N16" s="1681" t="str">
        <f>IF(OR(M16="",O16=""),"","、")</f>
        <v>、</v>
      </c>
      <c r="O16" s="2418" t="str">
        <f>IF(F17="","",F16&amp;TEXT(F17,"yyyy年m月d日;;"))</f>
        <v>办公2059年8月31日</v>
      </c>
      <c r="P16" s="1681" t="str">
        <f>IF(OR(O16="",Q16=""),"","、")</f>
        <v>、</v>
      </c>
      <c r="Q16" s="2418" t="str">
        <f>IF(G17="","",G16&amp;TEXT(G17,"yyyy年m月d日;;"))</f>
        <v>地下车库2059年8月31日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69276</v>
      </c>
      <c r="E17" s="1682">
        <v>58318</v>
      </c>
      <c r="F17" s="1682">
        <f>E17</f>
        <v>58318</v>
      </c>
      <c r="G17" s="1682">
        <f>F17</f>
        <v>58318</v>
      </c>
      <c r="H17" s="1682"/>
      <c r="I17" s="1682"/>
      <c r="J17" s="1676"/>
      <c r="K17" s="2417" t="str">
        <f>CONCATENATE(K16,L16,M16,N16,O16,P16,Q16,R16,S16,T16,,U16)</f>
        <v>住宅2089年8月31日、商业2059年8月31日、办公2059年8月31日、地下车库2059年8月31日</v>
      </c>
      <c r="L17" s="1705"/>
      <c r="M17" s="1705"/>
      <c r="N17" s="1676"/>
      <c r="O17" s="1677"/>
      <c r="P17" s="1676"/>
      <c r="Q17" s="1676"/>
      <c r="R17" s="1676"/>
      <c r="S17" s="1676"/>
      <c r="T17" s="1676"/>
      <c r="U17" s="1676"/>
    </row>
    <row r="18" spans="1:21">
      <c r="A18" s="1745"/>
      <c r="B18" s="1664"/>
      <c r="C18" s="1665" t="s">
        <v>1956</v>
      </c>
      <c r="D18" s="1666">
        <v>70</v>
      </c>
      <c r="E18" s="1666">
        <v>40</v>
      </c>
      <c r="F18" s="1666">
        <v>40</v>
      </c>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69.84</v>
      </c>
      <c r="E19" s="1667">
        <f>IF(B16="出让",IF(E17="","",ROUNDDOWN(MIN((E17-$D$3)/365,E18),2)),E18)</f>
        <v>39.82</v>
      </c>
      <c r="F19" s="1667">
        <f>IF(B16="出让",IF(F17="","",ROUNDDOWN(MIN((F17-$D$3)/365,F18),2)),F18)</f>
        <v>39.82</v>
      </c>
      <c r="G19" s="1667">
        <f>IF(B16="出让",IF(G17="","",ROUNDDOWN(MIN((G17-$D$3)/365,G18),2)),G18)</f>
        <v>39.82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69"/>
      <c r="E20" s="3270"/>
      <c r="F20" s="3270"/>
      <c r="G20" s="3270"/>
      <c r="H20" s="3270"/>
      <c r="I20" s="3271"/>
      <c r="J20" s="1676"/>
      <c r="K20" s="1756"/>
      <c r="L20" s="1705"/>
      <c r="M20" s="1705"/>
      <c r="N20" s="1676"/>
      <c r="O20" s="1677"/>
      <c r="P20" s="1676"/>
      <c r="Q20" s="1676"/>
      <c r="R20" s="1676"/>
      <c r="S20" s="1676"/>
      <c r="T20" s="1676"/>
      <c r="U20" s="1676"/>
    </row>
    <row r="21" spans="1:21">
      <c r="A21" s="1745" t="s">
        <v>1958</v>
      </c>
      <c r="B21" s="1746" t="s">
        <v>1959</v>
      </c>
      <c r="C21" s="1741">
        <f>'数据-汇总表'!E3</f>
        <v>304328.8</v>
      </c>
      <c r="D21" s="1742" t="s">
        <v>1960</v>
      </c>
      <c r="E21" s="3259" t="s">
        <v>1998</v>
      </c>
      <c r="F21" s="3260"/>
      <c r="G21" s="3260"/>
      <c r="H21" s="3260"/>
      <c r="I21" s="3261"/>
      <c r="J21" s="1676"/>
      <c r="K21" s="1756"/>
      <c r="L21" s="1705"/>
      <c r="M21" s="1705"/>
      <c r="N21" s="1676"/>
      <c r="O21" s="1677"/>
      <c r="P21" s="1676"/>
      <c r="Q21" s="1676"/>
      <c r="R21" s="1676"/>
      <c r="S21" s="1676"/>
      <c r="T21" s="1676"/>
      <c r="U21" s="1676"/>
    </row>
    <row r="22" spans="1:21">
      <c r="A22" s="3089" t="s">
        <v>952</v>
      </c>
      <c r="B22" s="1643" t="s">
        <v>1961</v>
      </c>
      <c r="C22" s="1668">
        <f>'数据-汇总表'!D3</f>
        <v>59228</v>
      </c>
      <c r="D22" s="1669" t="s">
        <v>1960</v>
      </c>
      <c r="E22" s="3259" t="s">
        <v>2892</v>
      </c>
      <c r="F22" s="3260"/>
      <c r="G22" s="3260"/>
      <c r="H22" s="3260"/>
      <c r="I22" s="3261"/>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62" t="s">
        <v>1966</v>
      </c>
      <c r="C24" s="3263"/>
      <c r="D24" s="3264" t="s">
        <v>1967</v>
      </c>
      <c r="E24" s="3265"/>
      <c r="F24" s="1690" t="s">
        <v>1968</v>
      </c>
      <c r="G24" s="1676"/>
      <c r="H24" s="1676"/>
      <c r="I24" s="1689"/>
      <c r="J24" s="1676"/>
      <c r="K24" s="3250"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5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5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36" t="s">
        <v>2001</v>
      </c>
      <c r="B31" s="1746" t="s">
        <v>2002</v>
      </c>
      <c r="C31" s="3275"/>
      <c r="D31" s="3276"/>
      <c r="E31" s="1676"/>
      <c r="F31" s="1676"/>
      <c r="G31" s="1676"/>
      <c r="H31" s="1676"/>
      <c r="I31" s="1689"/>
      <c r="J31" s="1676"/>
      <c r="K31" s="2420"/>
      <c r="L31" s="1676"/>
      <c r="M31" s="1676"/>
      <c r="N31" s="1676"/>
      <c r="O31" s="1676"/>
      <c r="P31" s="1676"/>
      <c r="Q31" s="1676"/>
      <c r="R31" s="1676"/>
      <c r="S31" s="1676"/>
      <c r="T31" s="1676"/>
      <c r="U31" s="1676"/>
    </row>
    <row r="32" spans="1:21">
      <c r="A32" s="3236"/>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36"/>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7"/>
      <c r="B34" s="1643" t="s">
        <v>2005</v>
      </c>
      <c r="C34" s="3238"/>
      <c r="D34" s="3239"/>
      <c r="E34" s="1676"/>
      <c r="F34" s="1676"/>
      <c r="G34" s="1676"/>
      <c r="H34" s="1676"/>
      <c r="I34" s="1689"/>
      <c r="J34" s="1676"/>
      <c r="K34" s="2420"/>
      <c r="L34" s="1676"/>
      <c r="M34" s="1676"/>
      <c r="N34" s="1676"/>
      <c r="O34" s="1676"/>
      <c r="P34" s="1676"/>
      <c r="Q34" s="1676"/>
      <c r="R34" s="1676"/>
      <c r="S34" s="1676"/>
      <c r="T34" s="1676"/>
      <c r="U34" s="1676"/>
    </row>
    <row r="35" spans="1:21">
      <c r="A35" s="3240" t="s">
        <v>847</v>
      </c>
      <c r="B35" s="1704"/>
      <c r="C35" s="1758" t="str">
        <f>IF(B35="场地平整","——","具体情况：")</f>
        <v>具体情况：</v>
      </c>
      <c r="D35" s="3242"/>
      <c r="E35" s="3243"/>
      <c r="F35" s="3243"/>
      <c r="G35" s="3243"/>
      <c r="H35" s="3243"/>
      <c r="I35" s="3244"/>
      <c r="J35" s="1676"/>
      <c r="K35" s="1757"/>
      <c r="L35" s="1705"/>
      <c r="M35" s="1705"/>
      <c r="N35" s="1676"/>
      <c r="O35" s="1677"/>
      <c r="P35" s="1676"/>
      <c r="Q35" s="1676"/>
      <c r="R35" s="1676"/>
      <c r="S35" s="1676"/>
      <c r="T35" s="1676"/>
      <c r="U35" s="1676"/>
    </row>
    <row r="36" spans="1:21">
      <c r="A36" s="3236"/>
      <c r="B36" s="3245" t="s">
        <v>2054</v>
      </c>
      <c r="C36" s="3246"/>
      <c r="D36" s="1774"/>
      <c r="E36" s="3247"/>
      <c r="F36" s="3247"/>
      <c r="G36" s="1669" t="str">
        <f>IF(B35="场地未平整","估价结果处理","")</f>
        <v/>
      </c>
      <c r="H36" s="3248"/>
      <c r="I36" s="3248"/>
      <c r="J36" s="1676"/>
      <c r="K36" s="1757"/>
      <c r="L36" s="1705"/>
      <c r="M36" s="1705"/>
      <c r="N36" s="1676"/>
      <c r="O36" s="1677"/>
      <c r="P36" s="1676"/>
      <c r="Q36" s="1676"/>
      <c r="R36" s="1676"/>
      <c r="S36" s="1676"/>
      <c r="T36" s="1676"/>
      <c r="U36" s="1676"/>
    </row>
    <row r="37" spans="1:21" ht="28.5">
      <c r="A37" s="3236"/>
      <c r="B37" s="3266"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36"/>
      <c r="B38" s="3267"/>
      <c r="C38" s="1651" t="s">
        <v>850</v>
      </c>
      <c r="D38" s="1773">
        <f>ROUNDDOWN(MIN(('数据-取费表'!$B$2-D37)/365,D34),1)</f>
        <v>119.9</v>
      </c>
      <c r="E38" s="1709" t="s">
        <v>851</v>
      </c>
      <c r="F38" s="1676"/>
      <c r="G38" s="1676"/>
      <c r="H38" s="1676"/>
      <c r="I38" s="1689"/>
      <c r="J38" s="1676"/>
      <c r="K38" s="1757"/>
      <c r="L38" s="1676"/>
      <c r="M38" s="1676"/>
      <c r="N38" s="1676"/>
      <c r="O38" s="1676"/>
      <c r="P38" s="1676"/>
      <c r="Q38" s="1676"/>
      <c r="R38" s="1676"/>
      <c r="S38" s="1676"/>
      <c r="T38" s="1676"/>
      <c r="U38" s="1676"/>
    </row>
    <row r="39" spans="1:21">
      <c r="A39" s="3237"/>
      <c r="B39" s="326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49" t="s">
        <v>1985</v>
      </c>
      <c r="T40" s="1713" t="str">
        <f>NUMBERSTRING(7-K40,1)&amp;"通"</f>
        <v>七通</v>
      </c>
      <c r="U40" s="1676"/>
    </row>
    <row r="41" spans="1:21">
      <c r="A41" s="1645"/>
      <c r="B41" s="3241" t="s">
        <v>1721</v>
      </c>
      <c r="C41" s="3241"/>
      <c r="D41" s="3241"/>
      <c r="E41" s="3241"/>
      <c r="F41" s="1714" t="str">
        <f>C10</f>
        <v>广东省</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9"/>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9" customFormat="1" ht="21" thickBot="1">
      <c r="A45" s="3020" t="s">
        <v>2893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9.875"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59228</v>
      </c>
      <c r="B3" s="22">
        <f>IF(C3="否",G5-AT5,G5)</f>
        <v>304328.8</v>
      </c>
      <c r="C3" s="23" t="s">
        <v>3042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325641.33999999997</v>
      </c>
      <c r="H5" s="27">
        <f t="shared" ref="H5:AT5" si="0">SUM(H13:H641)</f>
        <v>289508.8</v>
      </c>
      <c r="I5" s="27">
        <f t="shared" si="0"/>
        <v>132855.79999999999</v>
      </c>
      <c r="J5" s="27">
        <f t="shared" si="0"/>
        <v>0</v>
      </c>
      <c r="K5" s="27">
        <f t="shared" si="0"/>
        <v>71956.600000000006</v>
      </c>
      <c r="L5" s="27">
        <f t="shared" si="0"/>
        <v>0</v>
      </c>
      <c r="M5" s="27">
        <f t="shared" si="0"/>
        <v>8734</v>
      </c>
      <c r="N5" s="27">
        <f t="shared" si="0"/>
        <v>0</v>
      </c>
      <c r="O5" s="27">
        <f t="shared" si="0"/>
        <v>75962.399999999994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14820</v>
      </c>
      <c r="AD5" s="27">
        <f t="shared" si="0"/>
        <v>11520</v>
      </c>
      <c r="AE5" s="27">
        <f t="shared" si="0"/>
        <v>0</v>
      </c>
      <c r="AF5" s="27">
        <f t="shared" si="0"/>
        <v>0</v>
      </c>
      <c r="AG5" s="27">
        <f t="shared" si="0"/>
        <v>0</v>
      </c>
      <c r="AH5" s="27">
        <f t="shared" si="0"/>
        <v>0</v>
      </c>
      <c r="AI5" s="27">
        <f t="shared" si="0"/>
        <v>0</v>
      </c>
      <c r="AJ5" s="27">
        <f t="shared" si="0"/>
        <v>0</v>
      </c>
      <c r="AK5" s="27">
        <f t="shared" si="0"/>
        <v>0</v>
      </c>
      <c r="AL5" s="27">
        <f t="shared" si="0"/>
        <v>3300</v>
      </c>
      <c r="AM5" s="27">
        <f t="shared" si="0"/>
        <v>0</v>
      </c>
      <c r="AN5" s="27">
        <f t="shared" si="0"/>
        <v>0</v>
      </c>
      <c r="AO5" s="27">
        <f t="shared" si="0"/>
        <v>0</v>
      </c>
      <c r="AP5" s="27">
        <f t="shared" si="0"/>
        <v>0</v>
      </c>
      <c r="AQ5" s="27">
        <f t="shared" si="0"/>
        <v>0</v>
      </c>
      <c r="AR5" s="27">
        <f t="shared" si="0"/>
        <v>0</v>
      </c>
      <c r="AS5" s="27">
        <f t="shared" si="0"/>
        <v>0</v>
      </c>
      <c r="AT5" s="27">
        <f t="shared" si="0"/>
        <v>21312.54</v>
      </c>
      <c r="AU5" s="987"/>
      <c r="AV5" s="26" t="s">
        <v>168</v>
      </c>
      <c r="AW5" s="988"/>
      <c r="AX5" s="988"/>
      <c r="AY5" s="28" t="s">
        <v>3</v>
      </c>
      <c r="AZ5" s="29">
        <f t="shared" ref="AZ5:BT5" si="1">SUM(AZ13:AZ641)</f>
        <v>304328.8</v>
      </c>
      <c r="BA5" s="29">
        <f t="shared" si="1"/>
        <v>289508.8</v>
      </c>
      <c r="BB5" s="29">
        <f t="shared" si="1"/>
        <v>132855.79999999999</v>
      </c>
      <c r="BC5" s="29">
        <f t="shared" si="1"/>
        <v>71956.600000000006</v>
      </c>
      <c r="BD5" s="29">
        <f t="shared" si="1"/>
        <v>8734</v>
      </c>
      <c r="BE5" s="29">
        <f t="shared" si="1"/>
        <v>75962.399999999994</v>
      </c>
      <c r="BF5" s="29">
        <f t="shared" si="1"/>
        <v>0</v>
      </c>
      <c r="BG5" s="29">
        <f t="shared" si="1"/>
        <v>0</v>
      </c>
      <c r="BH5" s="29">
        <f t="shared" si="1"/>
        <v>0</v>
      </c>
      <c r="BI5" s="29">
        <f t="shared" si="1"/>
        <v>0</v>
      </c>
      <c r="BJ5" s="29">
        <f t="shared" si="1"/>
        <v>0</v>
      </c>
      <c r="BK5" s="29">
        <f t="shared" si="1"/>
        <v>0</v>
      </c>
      <c r="BL5" s="29">
        <f t="shared" si="1"/>
        <v>14820</v>
      </c>
      <c r="BM5" s="29">
        <f t="shared" si="1"/>
        <v>11520</v>
      </c>
      <c r="BN5" s="29">
        <f t="shared" si="1"/>
        <v>0</v>
      </c>
      <c r="BO5" s="29">
        <f t="shared" si="1"/>
        <v>0</v>
      </c>
      <c r="BP5" s="29">
        <f t="shared" si="1"/>
        <v>0</v>
      </c>
      <c r="BQ5" s="29">
        <f t="shared" si="1"/>
        <v>3300</v>
      </c>
      <c r="BR5" s="29">
        <f t="shared" si="1"/>
        <v>0</v>
      </c>
      <c r="BS5" s="29">
        <f t="shared" si="1"/>
        <v>0</v>
      </c>
      <c r="BT5" s="30">
        <f t="shared" si="1"/>
        <v>0</v>
      </c>
    </row>
    <row r="6" spans="1:72" s="37" customFormat="1" ht="12.75">
      <c r="A6" s="26" t="s">
        <v>169</v>
      </c>
      <c r="B6" s="31"/>
      <c r="C6" s="31"/>
      <c r="D6" s="32"/>
      <c r="E6" s="27">
        <f>H6+AC6+AT6</f>
        <v>59227.99</v>
      </c>
      <c r="F6" s="27" t="s">
        <v>1</v>
      </c>
      <c r="G6" s="27" t="s">
        <v>2</v>
      </c>
      <c r="H6" s="33">
        <f>SUMIF(I$12:AB$12,"总值",I6:AB6)</f>
        <v>56343.75</v>
      </c>
      <c r="I6" s="27">
        <f t="shared" ref="I6:AB6" si="2">ROUND($A$3*I5/$B$3,2)</f>
        <v>25856.19</v>
      </c>
      <c r="J6" s="27">
        <f t="shared" si="2"/>
        <v>0</v>
      </c>
      <c r="K6" s="27">
        <f t="shared" si="2"/>
        <v>14004.08</v>
      </c>
      <c r="L6" s="27">
        <f t="shared" si="2"/>
        <v>0</v>
      </c>
      <c r="M6" s="27">
        <f t="shared" si="2"/>
        <v>1699.8</v>
      </c>
      <c r="N6" s="27">
        <f t="shared" si="2"/>
        <v>0</v>
      </c>
      <c r="O6" s="27">
        <f t="shared" si="2"/>
        <v>14783.68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2884.24</v>
      </c>
      <c r="AD6" s="27">
        <f t="shared" ref="AD6:AS6" si="3">ROUND($A$3*AD5/$B$3,2)</f>
        <v>2242</v>
      </c>
      <c r="AE6" s="27">
        <f t="shared" si="3"/>
        <v>0</v>
      </c>
      <c r="AF6" s="27">
        <f t="shared" si="3"/>
        <v>0</v>
      </c>
      <c r="AG6" s="27">
        <f t="shared" si="3"/>
        <v>0</v>
      </c>
      <c r="AH6" s="27">
        <f t="shared" si="3"/>
        <v>0</v>
      </c>
      <c r="AI6" s="27">
        <f t="shared" si="3"/>
        <v>0</v>
      </c>
      <c r="AJ6" s="27">
        <f t="shared" si="3"/>
        <v>0</v>
      </c>
      <c r="AK6" s="27">
        <f t="shared" si="3"/>
        <v>0</v>
      </c>
      <c r="AL6" s="27">
        <f t="shared" si="3"/>
        <v>642.24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59228</v>
      </c>
      <c r="AZ6" s="27" t="s">
        <v>3</v>
      </c>
      <c r="BA6" s="27">
        <f>ROUND($AY$6*BA5/$AZ$5,2)</f>
        <v>56343.75</v>
      </c>
      <c r="BB6" s="27">
        <f>ROUND($AY$6*BB5/$AZ$5,2)</f>
        <v>25856.19</v>
      </c>
      <c r="BC6" s="27">
        <f t="shared" ref="BC6:BH6" si="4">ROUND($AY$6*BC5/$AZ$5,2)</f>
        <v>14004.08</v>
      </c>
      <c r="BD6" s="27">
        <f t="shared" si="4"/>
        <v>1699.8</v>
      </c>
      <c r="BE6" s="27">
        <f t="shared" si="4"/>
        <v>14783.68</v>
      </c>
      <c r="BF6" s="27">
        <f t="shared" si="4"/>
        <v>0</v>
      </c>
      <c r="BG6" s="27">
        <f t="shared" si="4"/>
        <v>0</v>
      </c>
      <c r="BH6" s="27">
        <f t="shared" si="4"/>
        <v>0</v>
      </c>
      <c r="BI6" s="27">
        <f t="shared" ref="BI6:BT6" si="5">ROUND($AY$6*BI5/$AZ$5,2)</f>
        <v>0</v>
      </c>
      <c r="BJ6" s="27">
        <f t="shared" si="5"/>
        <v>0</v>
      </c>
      <c r="BK6" s="27">
        <f t="shared" si="5"/>
        <v>0</v>
      </c>
      <c r="BL6" s="27">
        <f t="shared" si="5"/>
        <v>2884.25</v>
      </c>
      <c r="BM6" s="27">
        <f t="shared" si="5"/>
        <v>2242</v>
      </c>
      <c r="BN6" s="27">
        <f t="shared" si="5"/>
        <v>0</v>
      </c>
      <c r="BO6" s="27">
        <f t="shared" si="5"/>
        <v>0</v>
      </c>
      <c r="BP6" s="27">
        <f t="shared" si="5"/>
        <v>0</v>
      </c>
      <c r="BQ6" s="27">
        <f t="shared" si="5"/>
        <v>642.24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3002</v>
      </c>
      <c r="J9" s="51"/>
      <c r="K9" s="2967" t="s">
        <v>3002</v>
      </c>
      <c r="L9" s="51"/>
      <c r="M9" s="2967" t="s">
        <v>3002</v>
      </c>
      <c r="N9" s="51"/>
      <c r="O9" s="59" t="s">
        <v>3004</v>
      </c>
      <c r="P9" s="51"/>
      <c r="Q9" s="59" t="s">
        <v>3002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t="s">
        <v>3001</v>
      </c>
      <c r="L10" s="51"/>
      <c r="M10" s="2969" t="s">
        <v>3001</v>
      </c>
      <c r="N10" s="51"/>
      <c r="O10" s="66" t="s">
        <v>3005</v>
      </c>
      <c r="P10" s="51"/>
      <c r="Q10" s="66" t="s">
        <v>3001</v>
      </c>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3003</v>
      </c>
      <c r="J11" s="71"/>
      <c r="K11" s="2968" t="s">
        <v>3208</v>
      </c>
      <c r="L11" s="71"/>
      <c r="M11" s="70" t="s">
        <v>3100</v>
      </c>
      <c r="N11" s="71"/>
      <c r="O11" s="70" t="s">
        <v>3005</v>
      </c>
      <c r="P11" s="71"/>
      <c r="Q11" s="70" t="s">
        <v>3207</v>
      </c>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t="str">
        <f>O10</f>
        <v>车库</v>
      </c>
      <c r="BF11" s="50" t="str">
        <f>Q10</f>
        <v>商业</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公寓</v>
      </c>
      <c r="BD12" s="79" t="str">
        <f>M11</f>
        <v>独立商业</v>
      </c>
      <c r="BE12" s="50" t="str">
        <f>O11</f>
        <v>车库</v>
      </c>
      <c r="BF12" s="50" t="str">
        <f>Q11</f>
        <v>办公楼</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3175" t="s">
        <v>3099</v>
      </c>
      <c r="D13" s="2965" t="s">
        <v>1678</v>
      </c>
      <c r="E13" s="27">
        <f t="shared" ref="E13:E20" si="6">IF($C$3="是",ROUND($A$3*G13/$B$3,2),ROUND($A$3*(G13-AT13)/$B$3,2))</f>
        <v>59228</v>
      </c>
      <c r="F13" s="81"/>
      <c r="G13" s="82">
        <f t="shared" ref="G13:G20" si="7">H13+AC13+AT13</f>
        <v>325641.33999999997</v>
      </c>
      <c r="H13" s="33">
        <f t="shared" ref="H13:H20" si="8">SUMIF(I$12:AB$12,"总值",I13:AB13)</f>
        <v>289508.8</v>
      </c>
      <c r="I13" s="2966">
        <v>132855.79999999999</v>
      </c>
      <c r="J13" s="2966"/>
      <c r="K13" s="2966">
        <f>53291+18665.6</f>
        <v>71956.600000000006</v>
      </c>
      <c r="L13" s="2966"/>
      <c r="M13" s="2966">
        <v>8734</v>
      </c>
      <c r="N13" s="83"/>
      <c r="O13" s="83">
        <v>75962.399999999994</v>
      </c>
      <c r="P13" s="83"/>
      <c r="Q13" s="83">
        <v>0</v>
      </c>
      <c r="R13" s="83"/>
      <c r="S13" s="83"/>
      <c r="T13" s="83"/>
      <c r="U13" s="83"/>
      <c r="V13" s="83"/>
      <c r="W13" s="83"/>
      <c r="X13" s="83"/>
      <c r="Y13" s="83"/>
      <c r="Z13" s="83"/>
      <c r="AA13" s="83"/>
      <c r="AB13" s="83"/>
      <c r="AC13" s="27">
        <f t="shared" ref="AC13:AC20" si="9">SUMIF(AD$12:AS$12,"总值",AD13:AS13)</f>
        <v>14820</v>
      </c>
      <c r="AD13" s="2970">
        <f>3520+8000</f>
        <v>11520</v>
      </c>
      <c r="AE13" s="2970"/>
      <c r="AF13" s="2970"/>
      <c r="AG13" s="2970"/>
      <c r="AH13" s="2970"/>
      <c r="AI13" s="2970"/>
      <c r="AJ13" s="2970"/>
      <c r="AK13" s="2970"/>
      <c r="AL13" s="2970">
        <v>3300</v>
      </c>
      <c r="AM13" s="2970"/>
      <c r="AN13" s="2970"/>
      <c r="AO13" s="2970"/>
      <c r="AP13" s="2970"/>
      <c r="AQ13" s="2970"/>
      <c r="AR13" s="2970"/>
      <c r="AS13" s="2970"/>
      <c r="AT13" s="2971">
        <f>面积表!L41</f>
        <v>21312.54</v>
      </c>
      <c r="AU13" s="2972"/>
      <c r="AV13" s="17">
        <f t="shared" ref="AV13:AX20" si="10">A13</f>
        <v>0</v>
      </c>
      <c r="AW13" s="17">
        <f t="shared" si="10"/>
        <v>0</v>
      </c>
      <c r="AX13" s="17" t="str">
        <f t="shared" si="10"/>
        <v>面积指标</v>
      </c>
      <c r="AY13" s="995">
        <f t="shared" ref="AY13:AY20" si="11">ROUND($AY$6*AZ13/$AZ$5,2)</f>
        <v>59228</v>
      </c>
      <c r="AZ13" s="27">
        <f t="shared" ref="AZ13:AZ20" si="12">BA13+BL13</f>
        <v>304328.8</v>
      </c>
      <c r="BA13" s="27">
        <f t="shared" ref="BA13:BA20" si="13">SUM(BB13:BK13)</f>
        <v>289508.8</v>
      </c>
      <c r="BB13" s="27">
        <f t="shared" ref="BB13:BB20" si="14">IF($D13="是",I13-J13,0)</f>
        <v>132855.79999999999</v>
      </c>
      <c r="BC13" s="27">
        <f t="shared" ref="BC13:BC20" si="15">IF($D13="是",K13-L13,0)</f>
        <v>71956.600000000006</v>
      </c>
      <c r="BD13" s="27">
        <f t="shared" ref="BD13:BD20" si="16">IF($D13="是",M13-N13,0)</f>
        <v>8734</v>
      </c>
      <c r="BE13" s="27">
        <f t="shared" ref="BE13:BE20" si="17">IF($D13="是",O13-P13,0)</f>
        <v>75962.399999999994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14820</v>
      </c>
      <c r="BM13" s="27">
        <f t="shared" ref="BM13:BM20" si="25">IF($D13="是",AD13-AE13,0)</f>
        <v>11520</v>
      </c>
      <c r="BN13" s="27">
        <f t="shared" ref="BN13:BN20" si="26">IF($D13="是",AF13-AG13,0)</f>
        <v>0</v>
      </c>
      <c r="BO13" s="27">
        <f t="shared" ref="BO13:BO20" si="27">IF($D13="是",AH13-AI13,0)</f>
        <v>0</v>
      </c>
      <c r="BP13" s="27">
        <f t="shared" ref="BP13:BP20" si="28">IF($D13="是",AJ13-AK13,0)</f>
        <v>0</v>
      </c>
      <c r="BQ13" s="27">
        <f t="shared" ref="BQ13:BQ20" si="29">IF($D13="是",AL13-AM13,0)</f>
        <v>3300</v>
      </c>
      <c r="BR13" s="27">
        <f t="shared" ref="BR13:BR20" si="30">IF($D13="是",AN13-AO13,0)</f>
        <v>0</v>
      </c>
      <c r="BS13" s="27">
        <f t="shared" ref="BS13:BS20" si="31">IF($D13="是",AP13-AQ13,0)</f>
        <v>0</v>
      </c>
      <c r="BT13" s="36">
        <f t="shared" ref="BT13:BT20" si="32">IF($D13="是",AR13-AS13,0)</f>
        <v>0</v>
      </c>
    </row>
    <row r="14" spans="1:72" s="18" customFormat="1" ht="12.75">
      <c r="A14" s="2964"/>
      <c r="B14" s="2964"/>
      <c r="C14" s="3175"/>
      <c r="D14" s="2965" t="s">
        <v>1678</v>
      </c>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3175"/>
      <c r="D15" s="2965" t="s">
        <v>1678</v>
      </c>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3175"/>
      <c r="D16" s="2965" t="s">
        <v>1678</v>
      </c>
      <c r="E16" s="27">
        <f t="shared" si="6"/>
        <v>0</v>
      </c>
      <c r="F16" s="81"/>
      <c r="G16" s="82">
        <f t="shared" si="7"/>
        <v>0</v>
      </c>
      <c r="H16" s="33">
        <f t="shared" si="8"/>
        <v>0</v>
      </c>
      <c r="I16" s="2966"/>
      <c r="J16" s="2966"/>
      <c r="K16" s="2966"/>
      <c r="L16" s="2966"/>
      <c r="M16" s="2966"/>
      <c r="N16" s="83"/>
      <c r="O16" s="2966"/>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v>304328.8</v>
      </c>
      <c r="C17" s="3175"/>
      <c r="D17" s="2965" t="s">
        <v>1678</v>
      </c>
      <c r="E17" s="27">
        <f t="shared" si="6"/>
        <v>0</v>
      </c>
      <c r="F17" s="81"/>
      <c r="G17" s="82">
        <f t="shared" si="7"/>
        <v>0</v>
      </c>
      <c r="H17" s="33">
        <f t="shared" si="8"/>
        <v>0</v>
      </c>
      <c r="I17" s="2966"/>
      <c r="J17" s="2966"/>
      <c r="K17" s="2966"/>
      <c r="L17" s="2966"/>
      <c r="M17" s="2966"/>
      <c r="N17" s="83"/>
      <c r="O17" s="2966"/>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304328.8</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2964">
        <f>G13-B17</f>
        <v>21312.539999999979</v>
      </c>
      <c r="C18" s="3175"/>
      <c r="D18" s="2965" t="s">
        <v>1678</v>
      </c>
      <c r="E18" s="87">
        <f t="shared" si="6"/>
        <v>0</v>
      </c>
      <c r="F18" s="88"/>
      <c r="G18" s="89">
        <f t="shared" si="7"/>
        <v>0</v>
      </c>
      <c r="H18" s="90">
        <f t="shared" si="8"/>
        <v>0</v>
      </c>
      <c r="I18" s="1389"/>
      <c r="J18" s="91"/>
      <c r="K18" s="1389"/>
      <c r="L18" s="91"/>
      <c r="M18" s="91"/>
      <c r="N18" s="91"/>
      <c r="O18" s="2966"/>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21312.539999999979</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175"/>
      <c r="D19" s="2965" t="s">
        <v>1678</v>
      </c>
      <c r="E19" s="87">
        <f t="shared" si="6"/>
        <v>0</v>
      </c>
      <c r="F19" s="88"/>
      <c r="G19" s="89">
        <f t="shared" si="7"/>
        <v>0</v>
      </c>
      <c r="H19" s="90">
        <f t="shared" si="8"/>
        <v>0</v>
      </c>
      <c r="I19" s="1389"/>
      <c r="J19" s="91"/>
      <c r="K19" s="1389"/>
      <c r="L19" s="91"/>
      <c r="M19" s="91"/>
      <c r="N19" s="91"/>
      <c r="O19" s="2966"/>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3175"/>
      <c r="D20" s="80"/>
      <c r="E20" s="87">
        <f t="shared" si="6"/>
        <v>0</v>
      </c>
      <c r="F20" s="88"/>
      <c r="G20" s="89">
        <f t="shared" si="7"/>
        <v>0</v>
      </c>
      <c r="H20" s="90">
        <f t="shared" si="8"/>
        <v>0</v>
      </c>
      <c r="I20" s="1389"/>
      <c r="J20" s="91"/>
      <c r="K20" s="1389"/>
      <c r="L20" s="91"/>
      <c r="M20" s="91"/>
      <c r="N20" s="91"/>
      <c r="O20" s="2966"/>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2966"/>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42"/>
  <sheetViews>
    <sheetView workbookViewId="0">
      <pane xSplit="4" ySplit="4" topLeftCell="E5" activePane="bottomRight" state="frozen"/>
      <selection pane="topRight" activeCell="E1" sqref="E1"/>
      <selection pane="bottomLeft" activeCell="A5" sqref="A5"/>
      <selection pane="bottomRight" activeCell="H47" sqref="H47"/>
    </sheetView>
  </sheetViews>
  <sheetFormatPr defaultRowHeight="12"/>
  <cols>
    <col min="1" max="1" width="9" style="3205"/>
    <col min="2" max="2" width="23.625" style="3201" bestFit="1" customWidth="1"/>
    <col min="3" max="6" width="10.5" style="3201" bestFit="1" customWidth="1"/>
    <col min="7" max="12" width="9" style="3201"/>
    <col min="13" max="13" width="12.25" style="3201" bestFit="1" customWidth="1"/>
    <col min="14" max="16384" width="9" style="3201"/>
  </cols>
  <sheetData>
    <row r="1" spans="1:15">
      <c r="A1" s="3280" t="s">
        <v>3055</v>
      </c>
      <c r="B1" s="3281" t="s">
        <v>3056</v>
      </c>
      <c r="C1" s="3279" t="s">
        <v>2945</v>
      </c>
      <c r="D1" s="3279"/>
      <c r="E1" s="3279"/>
      <c r="F1" s="3279"/>
      <c r="G1" s="3279"/>
      <c r="H1" s="3279"/>
      <c r="I1" s="3279"/>
      <c r="J1" s="3279"/>
      <c r="K1" s="3279"/>
      <c r="L1" s="3279"/>
      <c r="M1" s="3279"/>
    </row>
    <row r="2" spans="1:15">
      <c r="A2" s="3280"/>
      <c r="B2" s="3281"/>
      <c r="C2" s="3279" t="s">
        <v>24</v>
      </c>
      <c r="D2" s="3279" t="s">
        <v>25</v>
      </c>
      <c r="E2" s="3279"/>
      <c r="F2" s="3279"/>
      <c r="G2" s="3279"/>
      <c r="H2" s="3279"/>
      <c r="I2" s="3279"/>
      <c r="J2" s="3279" t="s">
        <v>26</v>
      </c>
      <c r="K2" s="3279"/>
      <c r="L2" s="3279"/>
      <c r="M2" s="3279"/>
    </row>
    <row r="3" spans="1:15">
      <c r="A3" s="3280"/>
      <c r="B3" s="3281"/>
      <c r="C3" s="3279"/>
      <c r="D3" s="3279" t="s">
        <v>27</v>
      </c>
      <c r="E3" s="3279" t="s">
        <v>3057</v>
      </c>
      <c r="F3" s="3279" t="s">
        <v>3058</v>
      </c>
      <c r="G3" s="3279" t="s">
        <v>3059</v>
      </c>
      <c r="H3" s="3279" t="s">
        <v>3060</v>
      </c>
      <c r="I3" s="3279" t="s">
        <v>35</v>
      </c>
      <c r="J3" s="3279" t="s">
        <v>27</v>
      </c>
      <c r="K3" s="3279" t="s">
        <v>2314</v>
      </c>
      <c r="L3" s="3279" t="s">
        <v>3061</v>
      </c>
      <c r="M3" s="3279" t="s">
        <v>3062</v>
      </c>
    </row>
    <row r="4" spans="1:15">
      <c r="A4" s="3280"/>
      <c r="B4" s="3281"/>
      <c r="C4" s="3279"/>
      <c r="D4" s="3279"/>
      <c r="E4" s="3279"/>
      <c r="F4" s="3279"/>
      <c r="G4" s="3279"/>
      <c r="H4" s="3279"/>
      <c r="I4" s="3279"/>
      <c r="J4" s="3279"/>
      <c r="K4" s="3279"/>
      <c r="L4" s="3279"/>
      <c r="M4" s="3279"/>
    </row>
    <row r="5" spans="1:15">
      <c r="A5" s="3202">
        <v>1</v>
      </c>
      <c r="B5" s="3203" t="s">
        <v>3065</v>
      </c>
      <c r="C5" s="3203">
        <f>SUM(D5,J5)</f>
        <v>14845.83</v>
      </c>
      <c r="D5" s="3203">
        <f>SUM(E5:I5)</f>
        <v>14845.83</v>
      </c>
      <c r="E5" s="3203">
        <v>14466.43</v>
      </c>
      <c r="F5" s="3203"/>
      <c r="G5" s="3203">
        <v>379.4</v>
      </c>
      <c r="H5" s="3203"/>
      <c r="I5" s="3203"/>
      <c r="J5" s="3203">
        <f>SUM(K5:M5)</f>
        <v>0</v>
      </c>
      <c r="K5" s="3203"/>
      <c r="L5" s="3203"/>
      <c r="M5" s="3203"/>
      <c r="N5" s="3201">
        <v>14845.83</v>
      </c>
      <c r="O5" s="3201">
        <v>0</v>
      </c>
    </row>
    <row r="6" spans="1:15">
      <c r="A6" s="3202">
        <v>2</v>
      </c>
      <c r="B6" s="3203" t="s">
        <v>3066</v>
      </c>
      <c r="C6" s="3203">
        <f t="shared" ref="C6:C40" si="0">SUM(D6,J6)</f>
        <v>14845.83</v>
      </c>
      <c r="D6" s="3203">
        <f t="shared" ref="D6:D40" si="1">SUM(E6:I6)</f>
        <v>14807.64</v>
      </c>
      <c r="E6" s="3203">
        <v>14472.199999999999</v>
      </c>
      <c r="F6" s="3203"/>
      <c r="G6" s="3203">
        <v>335.44</v>
      </c>
      <c r="H6" s="3203"/>
      <c r="I6" s="3203"/>
      <c r="J6" s="3203">
        <f t="shared" ref="J6:J40" si="2">SUM(K6:M6)</f>
        <v>38.19</v>
      </c>
      <c r="K6" s="3203"/>
      <c r="L6" s="3203"/>
      <c r="M6" s="3203">
        <v>38.19</v>
      </c>
      <c r="N6" s="3201">
        <v>14845.83</v>
      </c>
      <c r="O6" s="3201">
        <v>0</v>
      </c>
    </row>
    <row r="7" spans="1:15">
      <c r="A7" s="3202">
        <v>3</v>
      </c>
      <c r="B7" s="3203" t="s">
        <v>3067</v>
      </c>
      <c r="C7" s="3203">
        <f t="shared" si="0"/>
        <v>11392.19</v>
      </c>
      <c r="D7" s="3203">
        <f t="shared" si="1"/>
        <v>11392.19</v>
      </c>
      <c r="E7" s="3203">
        <v>10945.02</v>
      </c>
      <c r="F7" s="3203"/>
      <c r="G7" s="3203">
        <v>447.17</v>
      </c>
      <c r="H7" s="3203"/>
      <c r="I7" s="3203"/>
      <c r="J7" s="3203">
        <f t="shared" si="2"/>
        <v>0</v>
      </c>
      <c r="K7" s="3203"/>
      <c r="L7" s="3203"/>
      <c r="M7" s="3203"/>
      <c r="N7" s="3201">
        <v>11392.19</v>
      </c>
      <c r="O7" s="3201">
        <v>0</v>
      </c>
    </row>
    <row r="8" spans="1:15">
      <c r="A8" s="3202">
        <v>4</v>
      </c>
      <c r="B8" s="3203" t="s">
        <v>3068</v>
      </c>
      <c r="C8" s="3203">
        <f t="shared" si="0"/>
        <v>11590.95</v>
      </c>
      <c r="D8" s="3203">
        <f t="shared" si="1"/>
        <v>11590.95</v>
      </c>
      <c r="E8" s="3203">
        <v>11071.11</v>
      </c>
      <c r="F8" s="3203"/>
      <c r="G8" s="3203">
        <v>519.84</v>
      </c>
      <c r="H8" s="3203"/>
      <c r="I8" s="3203"/>
      <c r="J8" s="3203">
        <f t="shared" si="2"/>
        <v>0</v>
      </c>
      <c r="K8" s="3203"/>
      <c r="L8" s="3203"/>
      <c r="M8" s="3203"/>
      <c r="N8" s="3201">
        <v>11590.95</v>
      </c>
      <c r="O8" s="3201">
        <v>0</v>
      </c>
    </row>
    <row r="9" spans="1:15">
      <c r="A9" s="3202">
        <v>5</v>
      </c>
      <c r="B9" s="3203" t="s">
        <v>3069</v>
      </c>
      <c r="C9" s="3203">
        <f t="shared" si="0"/>
        <v>11391.34</v>
      </c>
      <c r="D9" s="3203">
        <f t="shared" si="1"/>
        <v>11391.34</v>
      </c>
      <c r="E9" s="3203">
        <v>10944.17</v>
      </c>
      <c r="F9" s="3203"/>
      <c r="G9" s="3203">
        <v>447.17</v>
      </c>
      <c r="H9" s="3203"/>
      <c r="I9" s="3203"/>
      <c r="J9" s="3203">
        <f t="shared" si="2"/>
        <v>0</v>
      </c>
      <c r="K9" s="3203"/>
      <c r="L9" s="3203"/>
      <c r="M9" s="3203"/>
      <c r="N9" s="3201">
        <v>11391.34</v>
      </c>
      <c r="O9" s="3201">
        <v>0</v>
      </c>
    </row>
    <row r="10" spans="1:15">
      <c r="A10" s="3202">
        <v>6</v>
      </c>
      <c r="B10" s="3203" t="s">
        <v>3070</v>
      </c>
      <c r="C10" s="3203">
        <f t="shared" si="0"/>
        <v>11590.95</v>
      </c>
      <c r="D10" s="3203">
        <f t="shared" si="1"/>
        <v>11590.95</v>
      </c>
      <c r="E10" s="3203">
        <v>11071.11</v>
      </c>
      <c r="F10" s="3203"/>
      <c r="G10" s="3203">
        <v>519.84</v>
      </c>
      <c r="H10" s="3203"/>
      <c r="I10" s="3203"/>
      <c r="J10" s="3203">
        <f t="shared" si="2"/>
        <v>0</v>
      </c>
      <c r="K10" s="3203"/>
      <c r="L10" s="3203"/>
      <c r="M10" s="3203"/>
      <c r="N10" s="3201">
        <v>11590.95</v>
      </c>
      <c r="O10" s="3201">
        <v>0</v>
      </c>
    </row>
    <row r="11" spans="1:15">
      <c r="A11" s="3202">
        <v>7</v>
      </c>
      <c r="B11" s="3203" t="s">
        <v>3071</v>
      </c>
      <c r="C11" s="3203">
        <f t="shared" si="0"/>
        <v>17686.219999999998</v>
      </c>
      <c r="D11" s="3203">
        <f t="shared" si="1"/>
        <v>17395.53</v>
      </c>
      <c r="E11" s="3203">
        <v>16796.849999999999</v>
      </c>
      <c r="F11" s="3203"/>
      <c r="G11" s="3203">
        <v>598.67999999999995</v>
      </c>
      <c r="H11" s="3203"/>
      <c r="I11" s="3203"/>
      <c r="J11" s="3203">
        <f t="shared" si="2"/>
        <v>290.69</v>
      </c>
      <c r="K11" s="3203"/>
      <c r="L11" s="3203"/>
      <c r="M11" s="3203">
        <v>290.69</v>
      </c>
      <c r="N11" s="3201">
        <v>17686.219999999998</v>
      </c>
      <c r="O11" s="3201">
        <v>0</v>
      </c>
    </row>
    <row r="12" spans="1:15">
      <c r="A12" s="3202">
        <v>8</v>
      </c>
      <c r="B12" s="3203" t="s">
        <v>3072</v>
      </c>
      <c r="C12" s="3203">
        <f t="shared" si="0"/>
        <v>12683.525000000001</v>
      </c>
      <c r="D12" s="3203">
        <f t="shared" si="1"/>
        <v>12622.845000000001</v>
      </c>
      <c r="E12" s="3203"/>
      <c r="F12" s="3203">
        <v>12175.435000000001</v>
      </c>
      <c r="G12" s="3203">
        <v>447.41</v>
      </c>
      <c r="H12" s="3203"/>
      <c r="I12" s="3203"/>
      <c r="J12" s="3203">
        <f t="shared" si="2"/>
        <v>60.68</v>
      </c>
      <c r="K12" s="3203"/>
      <c r="L12" s="3203"/>
      <c r="M12" s="3203">
        <v>60.68</v>
      </c>
      <c r="N12" s="3201">
        <v>12683.525</v>
      </c>
      <c r="O12" s="3201">
        <v>0</v>
      </c>
    </row>
    <row r="13" spans="1:15">
      <c r="A13" s="3202">
        <v>9</v>
      </c>
      <c r="B13" s="3203" t="s">
        <v>3073</v>
      </c>
      <c r="C13" s="3203">
        <f t="shared" si="0"/>
        <v>12674.965</v>
      </c>
      <c r="D13" s="3203">
        <f t="shared" si="1"/>
        <v>12674.965</v>
      </c>
      <c r="E13" s="3203"/>
      <c r="F13" s="3203">
        <v>12172.195</v>
      </c>
      <c r="G13" s="3203">
        <v>502.77</v>
      </c>
      <c r="H13" s="3203"/>
      <c r="I13" s="3203"/>
      <c r="J13" s="3203">
        <f t="shared" si="2"/>
        <v>0</v>
      </c>
      <c r="K13" s="3203"/>
      <c r="L13" s="3203"/>
      <c r="M13" s="3203"/>
      <c r="N13" s="3201">
        <v>12674.965</v>
      </c>
      <c r="O13" s="3201">
        <v>0</v>
      </c>
    </row>
    <row r="14" spans="1:15">
      <c r="A14" s="3202">
        <v>10</v>
      </c>
      <c r="B14" s="3203" t="s">
        <v>3074</v>
      </c>
      <c r="C14" s="3203">
        <f t="shared" si="0"/>
        <v>12760.494999999999</v>
      </c>
      <c r="D14" s="3203">
        <f t="shared" si="1"/>
        <v>12760.494999999999</v>
      </c>
      <c r="E14" s="3203"/>
      <c r="F14" s="3203">
        <v>12172.195</v>
      </c>
      <c r="G14" s="3203">
        <v>588.29999999999995</v>
      </c>
      <c r="H14" s="3203"/>
      <c r="I14" s="3203"/>
      <c r="J14" s="3203">
        <f t="shared" si="2"/>
        <v>0</v>
      </c>
      <c r="K14" s="3203"/>
      <c r="L14" s="3203"/>
      <c r="M14" s="3203"/>
      <c r="N14" s="3201">
        <v>12760.495000000001</v>
      </c>
      <c r="O14" s="3201">
        <v>0</v>
      </c>
    </row>
    <row r="15" spans="1:15">
      <c r="A15" s="3202">
        <v>11</v>
      </c>
      <c r="B15" s="3203" t="s">
        <v>3075</v>
      </c>
      <c r="C15" s="3203">
        <f t="shared" si="0"/>
        <v>12924.695</v>
      </c>
      <c r="D15" s="3203">
        <f t="shared" si="1"/>
        <v>12802.375</v>
      </c>
      <c r="E15" s="3203"/>
      <c r="F15" s="3203">
        <v>12172.195</v>
      </c>
      <c r="G15" s="3203">
        <v>630.17999999999995</v>
      </c>
      <c r="H15" s="3203"/>
      <c r="I15" s="3203"/>
      <c r="J15" s="3203">
        <f t="shared" si="2"/>
        <v>122.32</v>
      </c>
      <c r="K15" s="3203"/>
      <c r="L15" s="3203"/>
      <c r="M15" s="3203">
        <v>122.32</v>
      </c>
      <c r="N15" s="3201">
        <v>12924.695</v>
      </c>
      <c r="O15" s="3201">
        <v>0</v>
      </c>
    </row>
    <row r="16" spans="1:15">
      <c r="A16" s="3202">
        <v>12</v>
      </c>
      <c r="B16" s="3203" t="s">
        <v>3076</v>
      </c>
      <c r="C16" s="3203">
        <f t="shared" si="0"/>
        <v>9078.8200000000015</v>
      </c>
      <c r="D16" s="3203">
        <f t="shared" si="1"/>
        <v>9078.8200000000015</v>
      </c>
      <c r="E16" s="3203"/>
      <c r="F16" s="3203">
        <v>9078.8200000000015</v>
      </c>
      <c r="G16" s="3203"/>
      <c r="H16" s="3203"/>
      <c r="I16" s="3203"/>
      <c r="J16" s="3203">
        <f t="shared" si="2"/>
        <v>0</v>
      </c>
      <c r="K16" s="3203"/>
      <c r="L16" s="3203"/>
      <c r="M16" s="3203"/>
      <c r="N16" s="3201">
        <v>9078.8200000000015</v>
      </c>
      <c r="O16" s="3201">
        <v>0</v>
      </c>
    </row>
    <row r="17" spans="1:15">
      <c r="A17" s="3202">
        <v>13</v>
      </c>
      <c r="B17" s="3203" t="s">
        <v>3077</v>
      </c>
      <c r="C17" s="3203">
        <f t="shared" si="0"/>
        <v>10579.220000000001</v>
      </c>
      <c r="D17" s="3203">
        <f t="shared" si="1"/>
        <v>10579.220000000001</v>
      </c>
      <c r="E17" s="3203"/>
      <c r="F17" s="3203">
        <v>10579.220000000001</v>
      </c>
      <c r="G17" s="3203"/>
      <c r="H17" s="3203"/>
      <c r="I17" s="3203"/>
      <c r="J17" s="3203">
        <f t="shared" si="2"/>
        <v>0</v>
      </c>
      <c r="K17" s="3203"/>
      <c r="L17" s="3203"/>
      <c r="M17" s="3203"/>
      <c r="N17" s="3201">
        <v>10579.220000000001</v>
      </c>
      <c r="O17" s="3201">
        <v>0</v>
      </c>
    </row>
    <row r="18" spans="1:15">
      <c r="A18" s="3202">
        <v>14</v>
      </c>
      <c r="B18" s="3203" t="s">
        <v>3078</v>
      </c>
      <c r="C18" s="3203">
        <f t="shared" si="0"/>
        <v>10579.220000000001</v>
      </c>
      <c r="D18" s="3203">
        <f t="shared" si="1"/>
        <v>10579.220000000001</v>
      </c>
      <c r="E18" s="3203"/>
      <c r="F18" s="3203">
        <v>10579.220000000001</v>
      </c>
      <c r="G18" s="3203"/>
      <c r="H18" s="3203"/>
      <c r="I18" s="3203"/>
      <c r="J18" s="3203">
        <f t="shared" si="2"/>
        <v>0</v>
      </c>
      <c r="K18" s="3203"/>
      <c r="L18" s="3203"/>
      <c r="M18" s="3203"/>
      <c r="N18" s="3201">
        <v>10579.220000000001</v>
      </c>
      <c r="O18" s="3201">
        <v>0</v>
      </c>
    </row>
    <row r="19" spans="1:15">
      <c r="A19" s="3202">
        <v>15</v>
      </c>
      <c r="B19" s="3203" t="s">
        <v>3079</v>
      </c>
      <c r="C19" s="3203">
        <f t="shared" si="0"/>
        <v>9078.8200000000015</v>
      </c>
      <c r="D19" s="3203">
        <f t="shared" si="1"/>
        <v>9078.8200000000015</v>
      </c>
      <c r="E19" s="3203"/>
      <c r="F19" s="3203">
        <v>9078.8200000000015</v>
      </c>
      <c r="G19" s="3203"/>
      <c r="H19" s="3203"/>
      <c r="I19" s="3203"/>
      <c r="J19" s="3203">
        <f t="shared" si="2"/>
        <v>0</v>
      </c>
      <c r="K19" s="3203"/>
      <c r="L19" s="3203"/>
      <c r="M19" s="3203"/>
      <c r="N19" s="3201">
        <v>9078.8200000000015</v>
      </c>
      <c r="O19" s="3201">
        <v>0</v>
      </c>
    </row>
    <row r="20" spans="1:15">
      <c r="A20" s="3202">
        <v>16</v>
      </c>
      <c r="B20" s="3203" t="s">
        <v>3080</v>
      </c>
      <c r="C20" s="3203">
        <f t="shared" si="0"/>
        <v>9078.8200000000015</v>
      </c>
      <c r="D20" s="3203">
        <f t="shared" si="1"/>
        <v>9078.8200000000015</v>
      </c>
      <c r="E20" s="3203"/>
      <c r="F20" s="3203">
        <v>9078.8200000000015</v>
      </c>
      <c r="G20" s="3203"/>
      <c r="H20" s="3203"/>
      <c r="I20" s="3203"/>
      <c r="J20" s="3203">
        <f t="shared" si="2"/>
        <v>0</v>
      </c>
      <c r="K20" s="3203"/>
      <c r="L20" s="3203"/>
      <c r="M20" s="3203"/>
      <c r="N20" s="3201">
        <v>9078.8200000000015</v>
      </c>
      <c r="O20" s="3201">
        <v>0</v>
      </c>
    </row>
    <row r="21" spans="1:15">
      <c r="A21" s="3202">
        <v>17</v>
      </c>
      <c r="B21" s="3203" t="s">
        <v>3081</v>
      </c>
      <c r="C21" s="3203">
        <f t="shared" si="0"/>
        <v>10579.220000000001</v>
      </c>
      <c r="D21" s="3203">
        <f t="shared" si="1"/>
        <v>10579.220000000001</v>
      </c>
      <c r="E21" s="3203"/>
      <c r="F21" s="3203">
        <v>10579.220000000001</v>
      </c>
      <c r="G21" s="3203"/>
      <c r="H21" s="3203"/>
      <c r="I21" s="3203"/>
      <c r="J21" s="3203">
        <f t="shared" si="2"/>
        <v>0</v>
      </c>
      <c r="K21" s="3203"/>
      <c r="L21" s="3203"/>
      <c r="M21" s="3203"/>
      <c r="N21" s="3201">
        <v>10579.220000000001</v>
      </c>
      <c r="O21" s="3201">
        <v>0</v>
      </c>
    </row>
    <row r="22" spans="1:15">
      <c r="A22" s="3202">
        <v>18</v>
      </c>
      <c r="B22" s="3203" t="s">
        <v>3082</v>
      </c>
      <c r="C22" s="3203">
        <f t="shared" si="0"/>
        <v>10579.220000000001</v>
      </c>
      <c r="D22" s="3203">
        <f t="shared" si="1"/>
        <v>10579.220000000001</v>
      </c>
      <c r="E22" s="3203"/>
      <c r="F22" s="3203">
        <v>10579.220000000001</v>
      </c>
      <c r="G22" s="3203"/>
      <c r="H22" s="3203"/>
      <c r="I22" s="3203"/>
      <c r="J22" s="3203">
        <f t="shared" si="2"/>
        <v>0</v>
      </c>
      <c r="K22" s="3203"/>
      <c r="L22" s="3203"/>
      <c r="M22" s="3203"/>
      <c r="N22" s="3201">
        <v>10579.220000000001</v>
      </c>
      <c r="O22" s="3201">
        <v>0</v>
      </c>
    </row>
    <row r="23" spans="1:15">
      <c r="A23" s="3202">
        <v>19</v>
      </c>
      <c r="B23" s="3203" t="s">
        <v>3083</v>
      </c>
      <c r="C23" s="3203">
        <f t="shared" si="0"/>
        <v>9078.8200000000015</v>
      </c>
      <c r="D23" s="3203">
        <f t="shared" si="1"/>
        <v>9078.8200000000015</v>
      </c>
      <c r="E23" s="3203"/>
      <c r="F23" s="3203">
        <v>9078.8200000000015</v>
      </c>
      <c r="G23" s="3203"/>
      <c r="H23" s="3203"/>
      <c r="I23" s="3203"/>
      <c r="J23" s="3203">
        <f t="shared" si="2"/>
        <v>0</v>
      </c>
      <c r="K23" s="3203"/>
      <c r="L23" s="3203"/>
      <c r="M23" s="3203"/>
      <c r="N23" s="3201">
        <v>9078.8200000000015</v>
      </c>
      <c r="O23" s="3201">
        <v>0</v>
      </c>
    </row>
    <row r="24" spans="1:15">
      <c r="A24" s="3202">
        <v>20</v>
      </c>
      <c r="B24" s="3203" t="s">
        <v>3084</v>
      </c>
      <c r="C24" s="3203">
        <f t="shared" si="0"/>
        <v>5666.0700000000006</v>
      </c>
      <c r="D24" s="3203">
        <f t="shared" si="1"/>
        <v>5666.0700000000006</v>
      </c>
      <c r="E24" s="3203"/>
      <c r="F24" s="3203">
        <v>5666.0700000000006</v>
      </c>
      <c r="G24" s="3203"/>
      <c r="H24" s="3203"/>
      <c r="I24" s="3203"/>
      <c r="J24" s="3203">
        <f t="shared" si="2"/>
        <v>0</v>
      </c>
      <c r="K24" s="3203"/>
      <c r="L24" s="3203"/>
      <c r="M24" s="3203"/>
      <c r="N24" s="3201">
        <v>5666.0700000000006</v>
      </c>
      <c r="O24" s="3201">
        <v>0</v>
      </c>
    </row>
    <row r="25" spans="1:15">
      <c r="A25" s="3202">
        <v>21</v>
      </c>
      <c r="B25" s="3203" t="s">
        <v>3085</v>
      </c>
      <c r="C25" s="3203">
        <f t="shared" si="0"/>
        <v>5666.07</v>
      </c>
      <c r="D25" s="3203">
        <f t="shared" si="1"/>
        <v>5351.88</v>
      </c>
      <c r="E25" s="3203"/>
      <c r="F25" s="3203">
        <v>5351.88</v>
      </c>
      <c r="G25" s="3203"/>
      <c r="H25" s="3203"/>
      <c r="I25" s="3203"/>
      <c r="J25" s="3203">
        <f t="shared" si="2"/>
        <v>314.19</v>
      </c>
      <c r="K25" s="3203"/>
      <c r="L25" s="3203"/>
      <c r="M25" s="3203">
        <v>314.19</v>
      </c>
      <c r="N25" s="3201">
        <v>5666.0700000000006</v>
      </c>
      <c r="O25" s="3201">
        <v>0</v>
      </c>
    </row>
    <row r="26" spans="1:15">
      <c r="A26" s="3202">
        <v>22</v>
      </c>
      <c r="B26" s="3203" t="s">
        <v>3086</v>
      </c>
      <c r="C26" s="3203">
        <f t="shared" si="0"/>
        <v>16955.139999999996</v>
      </c>
      <c r="D26" s="3203">
        <f t="shared" si="1"/>
        <v>16701.609999999997</v>
      </c>
      <c r="E26" s="3203">
        <v>16561.309999999998</v>
      </c>
      <c r="F26" s="3203"/>
      <c r="G26" s="3203">
        <v>140.30000000000001</v>
      </c>
      <c r="H26" s="3203"/>
      <c r="I26" s="3203"/>
      <c r="J26" s="3203">
        <f t="shared" si="2"/>
        <v>253.53</v>
      </c>
      <c r="K26" s="3203"/>
      <c r="L26" s="3203"/>
      <c r="M26" s="3203">
        <v>253.53</v>
      </c>
      <c r="N26" s="3201">
        <v>16955.14</v>
      </c>
      <c r="O26" s="3201">
        <v>0</v>
      </c>
    </row>
    <row r="27" spans="1:15">
      <c r="A27" s="3202">
        <v>23</v>
      </c>
      <c r="B27" s="3203" t="s">
        <v>3087</v>
      </c>
      <c r="C27" s="3203">
        <f t="shared" si="0"/>
        <v>16955.14</v>
      </c>
      <c r="D27" s="3203">
        <f t="shared" si="1"/>
        <v>16955.14</v>
      </c>
      <c r="E27" s="3203">
        <v>16561.309999999998</v>
      </c>
      <c r="F27" s="3203"/>
      <c r="G27" s="3203">
        <v>393.83</v>
      </c>
      <c r="H27" s="3203"/>
      <c r="I27" s="3203"/>
      <c r="J27" s="3203">
        <f t="shared" si="2"/>
        <v>0</v>
      </c>
      <c r="K27" s="3203"/>
      <c r="L27" s="3203"/>
      <c r="M27" s="3203"/>
      <c r="N27" s="3201">
        <v>16955.14</v>
      </c>
      <c r="O27" s="3201">
        <v>0</v>
      </c>
    </row>
    <row r="28" spans="1:15">
      <c r="A28" s="3202">
        <v>24</v>
      </c>
      <c r="B28" s="3203" t="s">
        <v>3088</v>
      </c>
      <c r="C28" s="3203">
        <f t="shared" si="0"/>
        <v>15130.000000000002</v>
      </c>
      <c r="D28" s="3203">
        <f t="shared" si="1"/>
        <v>15130.000000000002</v>
      </c>
      <c r="E28" s="3203">
        <v>15130.000000000002</v>
      </c>
      <c r="F28" s="3203"/>
      <c r="G28" s="3203"/>
      <c r="H28" s="3203"/>
      <c r="I28" s="3203"/>
      <c r="J28" s="3203">
        <f t="shared" si="2"/>
        <v>0</v>
      </c>
      <c r="K28" s="3203"/>
      <c r="L28" s="3203"/>
      <c r="M28" s="3203"/>
      <c r="N28" s="3201">
        <v>15130.000000000002</v>
      </c>
      <c r="O28" s="3201">
        <v>0</v>
      </c>
    </row>
    <row r="29" spans="1:15">
      <c r="A29" s="3202">
        <v>25</v>
      </c>
      <c r="B29" s="3203" t="s">
        <v>3089</v>
      </c>
      <c r="C29" s="3203">
        <f t="shared" si="0"/>
        <v>15130.000000000002</v>
      </c>
      <c r="D29" s="3203">
        <f t="shared" si="1"/>
        <v>15130.000000000002</v>
      </c>
      <c r="E29" s="3203">
        <v>15130.000000000002</v>
      </c>
      <c r="F29" s="3203"/>
      <c r="G29" s="3203"/>
      <c r="H29" s="3203"/>
      <c r="I29" s="3203"/>
      <c r="J29" s="3203">
        <f t="shared" si="2"/>
        <v>0</v>
      </c>
      <c r="K29" s="3203"/>
      <c r="L29" s="3203"/>
      <c r="M29" s="3203"/>
      <c r="N29" s="3201">
        <v>15130.000000000002</v>
      </c>
      <c r="O29" s="3201">
        <v>0</v>
      </c>
    </row>
    <row r="30" spans="1:15">
      <c r="A30" s="3202">
        <v>26</v>
      </c>
      <c r="B30" s="3203" t="s">
        <v>3090</v>
      </c>
      <c r="C30" s="3203">
        <f t="shared" si="0"/>
        <v>11762.985000000001</v>
      </c>
      <c r="D30" s="3203">
        <f t="shared" si="1"/>
        <v>11762.985000000001</v>
      </c>
      <c r="E30" s="3203">
        <v>11762.985000000001</v>
      </c>
      <c r="F30" s="3203"/>
      <c r="G30" s="3203"/>
      <c r="H30" s="3203"/>
      <c r="I30" s="3203"/>
      <c r="J30" s="3203">
        <f t="shared" si="2"/>
        <v>0</v>
      </c>
      <c r="K30" s="3203"/>
      <c r="L30" s="3203"/>
      <c r="M30" s="3203"/>
      <c r="N30" s="3201">
        <v>11762.985000000001</v>
      </c>
      <c r="O30" s="3201">
        <v>0</v>
      </c>
    </row>
    <row r="31" spans="1:15">
      <c r="A31" s="3202">
        <v>27</v>
      </c>
      <c r="B31" s="3203" t="s">
        <v>3091</v>
      </c>
      <c r="C31" s="3203">
        <f t="shared" si="0"/>
        <v>11762.985000000001</v>
      </c>
      <c r="D31" s="3203">
        <f t="shared" si="1"/>
        <v>11762.985000000001</v>
      </c>
      <c r="E31" s="3203">
        <v>11762.985000000001</v>
      </c>
      <c r="F31" s="3203"/>
      <c r="G31" s="3203"/>
      <c r="H31" s="3203"/>
      <c r="I31" s="3203"/>
      <c r="J31" s="3203">
        <f t="shared" si="2"/>
        <v>0</v>
      </c>
      <c r="K31" s="3203"/>
      <c r="L31" s="3203"/>
      <c r="M31" s="3203"/>
      <c r="N31" s="3201">
        <v>11762.985000000001</v>
      </c>
      <c r="O31" s="3201">
        <v>0</v>
      </c>
    </row>
    <row r="32" spans="1:15">
      <c r="A32" s="3202">
        <v>28</v>
      </c>
      <c r="B32" s="3203" t="s">
        <v>3092</v>
      </c>
      <c r="C32" s="3203">
        <f t="shared" si="0"/>
        <v>13434.589999999998</v>
      </c>
      <c r="D32" s="3203">
        <f t="shared" si="1"/>
        <v>13434.589999999998</v>
      </c>
      <c r="E32" s="3203">
        <v>13434.589999999998</v>
      </c>
      <c r="F32" s="3203"/>
      <c r="G32" s="3203"/>
      <c r="H32" s="3203"/>
      <c r="I32" s="3203"/>
      <c r="J32" s="3203">
        <f t="shared" si="2"/>
        <v>0</v>
      </c>
      <c r="K32" s="3203"/>
      <c r="L32" s="3203"/>
      <c r="M32" s="3203"/>
      <c r="N32" s="3201">
        <v>11762.985000000001</v>
      </c>
      <c r="O32" s="3201">
        <v>1671.6049999999977</v>
      </c>
    </row>
    <row r="33" spans="1:15">
      <c r="A33" s="3202">
        <v>29</v>
      </c>
      <c r="B33" s="3203" t="s">
        <v>3093</v>
      </c>
      <c r="C33" s="3203">
        <f t="shared" si="0"/>
        <v>13434.589999999998</v>
      </c>
      <c r="D33" s="3203">
        <f t="shared" si="1"/>
        <v>13434.589999999998</v>
      </c>
      <c r="E33" s="3203">
        <v>13434.589999999998</v>
      </c>
      <c r="F33" s="3203"/>
      <c r="G33" s="3203"/>
      <c r="H33" s="3203"/>
      <c r="I33" s="3203"/>
      <c r="J33" s="3203">
        <f t="shared" si="2"/>
        <v>0</v>
      </c>
      <c r="K33" s="3203"/>
      <c r="L33" s="3203"/>
      <c r="M33" s="3203"/>
      <c r="N33" s="3201">
        <v>13434.589999999998</v>
      </c>
      <c r="O33" s="3201">
        <v>0</v>
      </c>
    </row>
    <row r="34" spans="1:15">
      <c r="A34" s="3202">
        <v>30</v>
      </c>
      <c r="B34" s="3203" t="s">
        <v>3094</v>
      </c>
      <c r="C34" s="3203">
        <f t="shared" si="0"/>
        <v>1669.92</v>
      </c>
      <c r="D34" s="3203">
        <f t="shared" si="1"/>
        <v>1669.92</v>
      </c>
      <c r="E34" s="3203"/>
      <c r="F34" s="3203"/>
      <c r="G34" s="3203">
        <v>1669.92</v>
      </c>
      <c r="H34" s="3203"/>
      <c r="I34" s="3203"/>
      <c r="J34" s="3203">
        <f t="shared" si="2"/>
        <v>0</v>
      </c>
      <c r="K34" s="3203"/>
      <c r="L34" s="3203"/>
      <c r="M34" s="3203"/>
      <c r="N34" s="3201">
        <v>1669.92</v>
      </c>
      <c r="O34" s="3201">
        <v>0</v>
      </c>
    </row>
    <row r="35" spans="1:15">
      <c r="A35" s="3202">
        <v>31</v>
      </c>
      <c r="B35" s="3203" t="s">
        <v>3095</v>
      </c>
      <c r="C35" s="3203">
        <f t="shared" si="0"/>
        <v>1456.58</v>
      </c>
      <c r="D35" s="3203">
        <f t="shared" si="1"/>
        <v>666.93</v>
      </c>
      <c r="E35" s="3203"/>
      <c r="F35" s="3203"/>
      <c r="G35" s="3203">
        <v>666.93</v>
      </c>
      <c r="H35" s="3203"/>
      <c r="I35" s="3203"/>
      <c r="J35" s="3203">
        <f t="shared" si="2"/>
        <v>789.64999999999986</v>
      </c>
      <c r="K35" s="3203"/>
      <c r="L35" s="3203"/>
      <c r="M35" s="3203">
        <v>789.64999999999986</v>
      </c>
      <c r="N35" s="3201">
        <v>1456.58</v>
      </c>
      <c r="O35" s="3201">
        <v>0</v>
      </c>
    </row>
    <row r="36" spans="1:15">
      <c r="A36" s="3202">
        <v>32</v>
      </c>
      <c r="B36" s="3203" t="s">
        <v>3096</v>
      </c>
      <c r="C36" s="3203">
        <f t="shared" si="0"/>
        <v>1331.28</v>
      </c>
      <c r="D36" s="3203">
        <f t="shared" si="1"/>
        <v>680.75</v>
      </c>
      <c r="E36" s="3203"/>
      <c r="F36" s="3203"/>
      <c r="G36" s="3203">
        <v>680.75</v>
      </c>
      <c r="H36" s="3203"/>
      <c r="I36" s="3203"/>
      <c r="J36" s="3203">
        <f t="shared" si="2"/>
        <v>650.53</v>
      </c>
      <c r="K36" s="3203"/>
      <c r="L36" s="3203"/>
      <c r="M36" s="3203">
        <v>650.53</v>
      </c>
      <c r="N36" s="3201">
        <v>1331.28</v>
      </c>
      <c r="O36" s="3201">
        <v>0</v>
      </c>
    </row>
    <row r="37" spans="1:15">
      <c r="A37" s="3202">
        <v>33</v>
      </c>
      <c r="B37" s="3203" t="s">
        <v>3097</v>
      </c>
      <c r="C37" s="3203">
        <f t="shared" si="0"/>
        <v>0</v>
      </c>
      <c r="D37" s="3203">
        <f t="shared" si="1"/>
        <v>0</v>
      </c>
      <c r="E37" s="3203"/>
      <c r="F37" s="3203"/>
      <c r="G37" s="3203"/>
      <c r="H37" s="3203"/>
      <c r="I37" s="3203"/>
      <c r="J37" s="3203">
        <f t="shared" si="2"/>
        <v>0</v>
      </c>
      <c r="K37" s="3203"/>
      <c r="L37" s="3203"/>
      <c r="M37" s="3203"/>
      <c r="O37" s="3201">
        <v>0</v>
      </c>
    </row>
    <row r="38" spans="1:15">
      <c r="A38" s="3202">
        <v>34</v>
      </c>
      <c r="B38" s="3203" t="s">
        <v>3098</v>
      </c>
      <c r="C38" s="3203">
        <f t="shared" si="0"/>
        <v>1783.5</v>
      </c>
      <c r="D38" s="3203">
        <f t="shared" si="1"/>
        <v>0</v>
      </c>
      <c r="E38" s="3203"/>
      <c r="F38" s="3203"/>
      <c r="G38" s="3203"/>
      <c r="H38" s="3203"/>
      <c r="I38" s="3203"/>
      <c r="J38" s="3203">
        <f t="shared" si="2"/>
        <v>1783.5</v>
      </c>
      <c r="K38" s="3203"/>
      <c r="L38" s="3203"/>
      <c r="M38" s="3203">
        <v>1783.5</v>
      </c>
      <c r="N38" s="3201">
        <v>1783.5</v>
      </c>
      <c r="O38" s="3201">
        <v>0</v>
      </c>
    </row>
    <row r="39" spans="1:15">
      <c r="A39" s="3202">
        <v>35</v>
      </c>
      <c r="B39" s="3203" t="s">
        <v>3063</v>
      </c>
      <c r="C39" s="3203">
        <f t="shared" si="0"/>
        <v>82686</v>
      </c>
      <c r="D39" s="3203">
        <f t="shared" si="1"/>
        <v>61373.46</v>
      </c>
      <c r="E39" s="3203"/>
      <c r="F39" s="3203"/>
      <c r="G39" s="3203"/>
      <c r="H39" s="3203"/>
      <c r="I39" s="3203">
        <v>61373.46</v>
      </c>
      <c r="J39" s="3203">
        <f t="shared" si="2"/>
        <v>21312.54</v>
      </c>
      <c r="K39" s="3203"/>
      <c r="L39" s="3203">
        <v>21312.54</v>
      </c>
      <c r="M39" s="3203"/>
    </row>
    <row r="40" spans="1:15">
      <c r="A40" s="3202">
        <v>36</v>
      </c>
      <c r="B40" s="3203" t="s">
        <v>3064</v>
      </c>
      <c r="C40" s="3203">
        <f t="shared" si="0"/>
        <v>0</v>
      </c>
      <c r="D40" s="3203">
        <f t="shared" si="1"/>
        <v>0</v>
      </c>
      <c r="E40" s="3203"/>
      <c r="F40" s="3203"/>
      <c r="G40" s="3203"/>
      <c r="H40" s="3203"/>
      <c r="I40" s="3203"/>
      <c r="J40" s="3203">
        <f t="shared" si="2"/>
        <v>0</v>
      </c>
      <c r="K40" s="3203"/>
      <c r="L40" s="3203"/>
      <c r="M40" s="3203"/>
    </row>
    <row r="41" spans="1:15">
      <c r="A41" s="3202"/>
      <c r="B41" s="3203" t="s">
        <v>3165</v>
      </c>
      <c r="C41" s="3204">
        <f>SUM(C5:C40)</f>
        <v>437844.00000000006</v>
      </c>
      <c r="D41" s="3204">
        <f t="shared" ref="D41:M41" si="3">SUM(D5:D40)</f>
        <v>412228.18000000005</v>
      </c>
      <c r="E41" s="3204">
        <f t="shared" si="3"/>
        <v>203544.65999999997</v>
      </c>
      <c r="F41" s="3204">
        <f t="shared" si="3"/>
        <v>138342.13000000003</v>
      </c>
      <c r="G41" s="3204">
        <f t="shared" si="3"/>
        <v>8967.93</v>
      </c>
      <c r="H41" s="3204">
        <f t="shared" si="3"/>
        <v>0</v>
      </c>
      <c r="I41" s="3204">
        <f t="shared" si="3"/>
        <v>61373.46</v>
      </c>
      <c r="J41" s="3204">
        <f t="shared" si="3"/>
        <v>25615.82</v>
      </c>
      <c r="K41" s="3204">
        <f t="shared" si="3"/>
        <v>0</v>
      </c>
      <c r="L41" s="3204">
        <f t="shared" si="3"/>
        <v>21312.54</v>
      </c>
      <c r="M41" s="3204">
        <f t="shared" si="3"/>
        <v>4303.28</v>
      </c>
    </row>
    <row r="42" spans="1:15">
      <c r="A42" s="3202"/>
      <c r="B42" s="3203"/>
      <c r="C42" s="3204"/>
      <c r="D42" s="3203"/>
      <c r="E42" s="3203"/>
      <c r="F42" s="3203"/>
      <c r="G42" s="3203"/>
      <c r="H42" s="3203"/>
      <c r="I42" s="3203"/>
      <c r="J42" s="3203"/>
      <c r="K42" s="3203"/>
      <c r="L42" s="3203"/>
      <c r="M42" s="3203"/>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91" t="s">
        <v>203</v>
      </c>
      <c r="B2" s="3291"/>
      <c r="C2" s="3291"/>
      <c r="D2" s="1958" t="s">
        <v>204</v>
      </c>
      <c r="E2" s="106" t="s">
        <v>205</v>
      </c>
      <c r="F2" s="1967"/>
      <c r="G2" s="1193"/>
      <c r="H2" s="1194"/>
      <c r="I2" s="1195" t="s">
        <v>857</v>
      </c>
      <c r="J2" s="1967"/>
      <c r="K2" s="1967"/>
      <c r="L2" s="1967"/>
    </row>
    <row r="3" spans="1:16" ht="15.75" thickBot="1">
      <c r="A3" s="3292" t="s">
        <v>206</v>
      </c>
      <c r="B3" s="3292"/>
      <c r="C3" s="3292"/>
      <c r="D3" s="107">
        <f>'数据-基础表'!AY6</f>
        <v>59228</v>
      </c>
      <c r="E3" s="107">
        <f>'数据-基础表'!AZ5</f>
        <v>304328.8</v>
      </c>
      <c r="F3" s="1967"/>
      <c r="G3" s="279" t="s">
        <v>858</v>
      </c>
      <c r="H3" s="274" t="s">
        <v>859</v>
      </c>
      <c r="I3" s="1959">
        <f>ROUND('数据-基础表'!B3/'数据-基础表'!A3,2)</f>
        <v>5.14</v>
      </c>
      <c r="J3" s="1967"/>
      <c r="K3" s="1967"/>
      <c r="L3" s="1967"/>
    </row>
    <row r="4" spans="1:16" ht="15">
      <c r="A4" s="3293"/>
      <c r="B4" s="3294"/>
      <c r="C4" s="3295"/>
      <c r="D4" s="108" t="s">
        <v>204</v>
      </c>
      <c r="E4" s="109" t="s">
        <v>205</v>
      </c>
      <c r="F4" s="1967"/>
      <c r="G4" s="1196"/>
      <c r="H4" s="274" t="s">
        <v>860</v>
      </c>
      <c r="I4" s="1959">
        <f>ROUND(SUMIF('数据-基础表'!I9:AS9,"地上",'数据-基础表'!I5:AS5)/'数据-基础表'!A3,2)</f>
        <v>3.86</v>
      </c>
      <c r="J4" s="1967"/>
      <c r="K4" s="1967"/>
      <c r="L4" s="1967"/>
    </row>
    <row r="5" spans="1:16">
      <c r="A5" s="110" t="s">
        <v>207</v>
      </c>
      <c r="B5" s="3296" t="s">
        <v>230</v>
      </c>
      <c r="C5" s="3296"/>
      <c r="D5" s="111">
        <f>ROUND($D$3*E5/$E$3,2)</f>
        <v>25856.19</v>
      </c>
      <c r="E5" s="112">
        <f>SUMIF('数据-基础表'!$11:$11,"住宅",'数据-基础表'!$5:$5)</f>
        <v>132855.79999999999</v>
      </c>
      <c r="F5" s="1967"/>
      <c r="G5" s="279" t="s">
        <v>861</v>
      </c>
      <c r="H5" s="274" t="s">
        <v>859</v>
      </c>
      <c r="I5" s="1959">
        <f>ROUND(E31/D31,2)</f>
        <v>5.14</v>
      </c>
      <c r="J5" s="1967"/>
      <c r="K5" s="1967"/>
      <c r="L5" s="1967"/>
    </row>
    <row r="6" spans="1:16" ht="15" thickBot="1">
      <c r="A6" s="113"/>
      <c r="B6" s="3296" t="s">
        <v>208</v>
      </c>
      <c r="C6" s="3296"/>
      <c r="D6" s="111">
        <f>ROUND($D$3*E6/$E$3,2)</f>
        <v>33371.81</v>
      </c>
      <c r="E6" s="112">
        <f>E3-E5</f>
        <v>171473</v>
      </c>
      <c r="F6" s="1967"/>
      <c r="G6" s="1196"/>
      <c r="H6" s="274" t="s">
        <v>860</v>
      </c>
      <c r="I6" s="1959">
        <f>ROUND(F31/D31,2)</f>
        <v>3.86</v>
      </c>
      <c r="J6" s="1967"/>
      <c r="K6" s="1967"/>
      <c r="L6" s="1967"/>
    </row>
    <row r="7" spans="1:16" ht="15">
      <c r="A7" s="3288"/>
      <c r="B7" s="3289"/>
      <c r="C7" s="3290"/>
      <c r="D7" s="108" t="s">
        <v>204</v>
      </c>
      <c r="E7" s="114" t="s">
        <v>231</v>
      </c>
      <c r="F7" s="1967"/>
      <c r="G7" s="1151" t="s">
        <v>1645</v>
      </c>
      <c r="H7" s="1152"/>
      <c r="I7" s="1829">
        <v>4</v>
      </c>
      <c r="J7" s="1967"/>
      <c r="K7" s="1967"/>
      <c r="L7" s="1967"/>
    </row>
    <row r="8" spans="1:16">
      <c r="A8" s="110" t="s">
        <v>209</v>
      </c>
      <c r="B8" s="115" t="s">
        <v>210</v>
      </c>
      <c r="C8" s="111" t="s">
        <v>211</v>
      </c>
      <c r="D8" s="111">
        <f t="shared" ref="D8:D15" si="0">ROUND($D$3*E8/$E$3,2)</f>
        <v>41560.07</v>
      </c>
      <c r="E8" s="116">
        <f>SUMIF('数据-基础表'!BB10:BK10,"地上",'数据-基础表'!BB5:BK5)</f>
        <v>213546.4</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14783.68</v>
      </c>
      <c r="E13" s="116">
        <f>SUMPRODUCT(('数据-基础表'!BB10:BK10="地下")*('数据-基础表'!BB11:BK11="车库")*('数据-基础表'!BB5:BK5))</f>
        <v>75962.399999999994</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56343.75</v>
      </c>
      <c r="E16" s="120">
        <f>SUM(E8:E15)</f>
        <v>289508.8</v>
      </c>
      <c r="F16" s="1967"/>
      <c r="G16" s="1969"/>
      <c r="H16" s="967" t="s">
        <v>219</v>
      </c>
      <c r="I16" s="968"/>
      <c r="J16" s="1967"/>
      <c r="K16" s="3282" t="s">
        <v>2566</v>
      </c>
      <c r="L16" s="3283"/>
      <c r="M16" s="3283"/>
      <c r="N16" s="3283"/>
      <c r="O16" s="3283"/>
      <c r="P16" s="3284"/>
    </row>
    <row r="17" spans="1:19" ht="15">
      <c r="A17" s="121" t="s">
        <v>216</v>
      </c>
      <c r="B17" s="122" t="s">
        <v>217</v>
      </c>
      <c r="C17" s="2281" t="s">
        <v>2313</v>
      </c>
      <c r="D17" s="108" t="s">
        <v>204</v>
      </c>
      <c r="E17" s="124" t="s">
        <v>205</v>
      </c>
      <c r="F17" s="125"/>
      <c r="G17" s="1360"/>
      <c r="H17" s="969" t="s">
        <v>218</v>
      </c>
      <c r="I17" s="970" t="s">
        <v>2312</v>
      </c>
      <c r="J17" s="1967"/>
      <c r="K17" s="3285" t="s">
        <v>2567</v>
      </c>
      <c r="L17" s="3286"/>
      <c r="M17" s="3287"/>
      <c r="N17" s="3285" t="s">
        <v>2568</v>
      </c>
      <c r="O17" s="3286"/>
      <c r="P17" s="3287"/>
      <c r="R17" s="2282" t="s">
        <v>2311</v>
      </c>
      <c r="S17" s="144"/>
    </row>
    <row r="18" spans="1:19" ht="15">
      <c r="A18" s="117"/>
      <c r="B18" s="128"/>
      <c r="C18" s="129"/>
      <c r="D18" s="2604"/>
      <c r="E18" s="130" t="s">
        <v>220</v>
      </c>
      <c r="F18" s="131" t="s">
        <v>221</v>
      </c>
      <c r="G18" s="1361"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3" t="s">
        <v>3006</v>
      </c>
      <c r="D19" s="111">
        <f t="shared" ref="D19:D26" si="1">ROUND($D$3*E19/$E$3,2)</f>
        <v>25856.19</v>
      </c>
      <c r="E19" s="134">
        <f t="shared" ref="E19:E26" si="2">SUM(F19:G19)</f>
        <v>132855.79999999999</v>
      </c>
      <c r="F19" s="135">
        <f>'数据-基础表'!I13</f>
        <v>132855.79999999999</v>
      </c>
      <c r="G19" s="1362"/>
      <c r="H19" s="973">
        <f>ROUND($D$3*I19/$E$3,2)</f>
        <v>2536.73</v>
      </c>
      <c r="I19" s="116">
        <f>IF($I$17="自定义",P19,M19)</f>
        <v>13034.369999999999</v>
      </c>
      <c r="J19" s="1967"/>
      <c r="K19" s="2570">
        <f t="shared" ref="K19:K26" si="3">ROUND(E$28*E19/E$27,2)</f>
        <v>1514.37</v>
      </c>
      <c r="L19" s="274">
        <f t="shared" ref="L19:L26" si="4">ROUND(IF(COUNTIF(C19,"*住宅*")&gt;0,E$29*E19/E$32,0),2)</f>
        <v>11520</v>
      </c>
      <c r="M19" s="2571">
        <f>K19+L19</f>
        <v>13034.369999999999</v>
      </c>
      <c r="N19" s="2572"/>
      <c r="O19" s="2573"/>
      <c r="P19" s="2574">
        <f>N19+O19</f>
        <v>0</v>
      </c>
      <c r="R19" s="274">
        <f t="shared" ref="R19:S26" si="5">D19+H19</f>
        <v>28392.92</v>
      </c>
      <c r="S19" s="2284">
        <f t="shared" si="5"/>
        <v>145890.16999999998</v>
      </c>
    </row>
    <row r="20" spans="1:19">
      <c r="A20" s="138"/>
      <c r="B20" s="115" t="s">
        <v>226</v>
      </c>
      <c r="C20" s="2973" t="s">
        <v>3209</v>
      </c>
      <c r="D20" s="111">
        <f t="shared" si="1"/>
        <v>14004.08</v>
      </c>
      <c r="E20" s="134">
        <f t="shared" si="2"/>
        <v>71956.600000000006</v>
      </c>
      <c r="F20" s="135">
        <f>'数据-基础表'!K13</f>
        <v>71956.600000000006</v>
      </c>
      <c r="G20" s="1362"/>
      <c r="H20" s="973">
        <f t="shared" ref="H20:H26" si="6">ROUND($D$3*I20/$E$3,2)</f>
        <v>159.63</v>
      </c>
      <c r="I20" s="116">
        <f t="shared" ref="I20:I26" si="7">IF($I$17="自定义",P20,M20)</f>
        <v>820.21</v>
      </c>
      <c r="J20" s="1967"/>
      <c r="K20" s="2570">
        <f t="shared" si="3"/>
        <v>820.21</v>
      </c>
      <c r="L20" s="274">
        <f t="shared" si="4"/>
        <v>0</v>
      </c>
      <c r="M20" s="2571">
        <f t="shared" ref="M20:M26" si="8">K20+L20</f>
        <v>820.21</v>
      </c>
      <c r="N20" s="2572"/>
      <c r="O20" s="2573"/>
      <c r="P20" s="2574">
        <f t="shared" ref="P20:P26" si="9">N20+O20</f>
        <v>0</v>
      </c>
      <c r="R20" s="274">
        <f t="shared" si="5"/>
        <v>14163.71</v>
      </c>
      <c r="S20" s="2284">
        <f t="shared" si="5"/>
        <v>72776.810000000012</v>
      </c>
    </row>
    <row r="21" spans="1:19">
      <c r="A21" s="138"/>
      <c r="B21" s="115" t="s">
        <v>226</v>
      </c>
      <c r="C21" s="2973" t="s">
        <v>3008</v>
      </c>
      <c r="D21" s="111">
        <f t="shared" si="1"/>
        <v>1699.8</v>
      </c>
      <c r="E21" s="134">
        <f t="shared" si="2"/>
        <v>8734</v>
      </c>
      <c r="F21" s="135">
        <f>'数据-基础表'!M13</f>
        <v>8734</v>
      </c>
      <c r="G21" s="1362"/>
      <c r="H21" s="973">
        <f t="shared" si="6"/>
        <v>19.38</v>
      </c>
      <c r="I21" s="116">
        <f t="shared" si="7"/>
        <v>99.56</v>
      </c>
      <c r="J21" s="1967"/>
      <c r="K21" s="2570">
        <f t="shared" si="3"/>
        <v>99.56</v>
      </c>
      <c r="L21" s="274">
        <f t="shared" si="4"/>
        <v>0</v>
      </c>
      <c r="M21" s="2571">
        <f t="shared" si="8"/>
        <v>99.56</v>
      </c>
      <c r="N21" s="2572"/>
      <c r="O21" s="2573"/>
      <c r="P21" s="2574">
        <f t="shared" si="9"/>
        <v>0</v>
      </c>
      <c r="R21" s="274">
        <f t="shared" si="5"/>
        <v>1719.18</v>
      </c>
      <c r="S21" s="2284">
        <f t="shared" si="5"/>
        <v>8833.56</v>
      </c>
    </row>
    <row r="22" spans="1:19">
      <c r="A22" s="138"/>
      <c r="B22" s="115" t="s">
        <v>226</v>
      </c>
      <c r="C22" s="2973" t="s">
        <v>3009</v>
      </c>
      <c r="D22" s="111">
        <f t="shared" si="1"/>
        <v>14783.68</v>
      </c>
      <c r="E22" s="134">
        <f t="shared" si="2"/>
        <v>75962.399999999994</v>
      </c>
      <c r="F22" s="140"/>
      <c r="G22" s="1363">
        <f>'数据-基础表'!O13</f>
        <v>75962.399999999994</v>
      </c>
      <c r="H22" s="973">
        <f t="shared" si="6"/>
        <v>168.51</v>
      </c>
      <c r="I22" s="116">
        <f t="shared" si="7"/>
        <v>865.87</v>
      </c>
      <c r="J22" s="1967"/>
      <c r="K22" s="2570">
        <f t="shared" si="3"/>
        <v>865.87</v>
      </c>
      <c r="L22" s="274">
        <f t="shared" si="4"/>
        <v>0</v>
      </c>
      <c r="M22" s="2571">
        <f t="shared" si="8"/>
        <v>865.87</v>
      </c>
      <c r="N22" s="2572"/>
      <c r="O22" s="2573"/>
      <c r="P22" s="2574">
        <f t="shared" si="9"/>
        <v>0</v>
      </c>
      <c r="R22" s="274">
        <f t="shared" si="5"/>
        <v>14952.19</v>
      </c>
      <c r="S22" s="2284">
        <f t="shared" si="5"/>
        <v>76828.26999999999</v>
      </c>
    </row>
    <row r="23" spans="1:19">
      <c r="A23" s="138"/>
      <c r="B23" s="115" t="s">
        <v>226</v>
      </c>
      <c r="C23" s="2973" t="s">
        <v>3211</v>
      </c>
      <c r="D23" s="111">
        <f>ROUND($D$3*E23/$E$3,2)</f>
        <v>0</v>
      </c>
      <c r="E23" s="134">
        <f>SUM(F23:G23)</f>
        <v>0</v>
      </c>
      <c r="F23" s="140">
        <f>'数据-基础表'!Q13</f>
        <v>0</v>
      </c>
      <c r="G23" s="1363"/>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56343.75</v>
      </c>
      <c r="E27" s="143">
        <f>IF(SUM(E19:E26)='数据-基础表'!BA5,SUM(E19:E26),IF(F27="地上面积有误","面积有误","地下面积有误"))</f>
        <v>289508.8</v>
      </c>
      <c r="F27" s="134">
        <f>IF(SUM(F19:F26)=E8,SUM(F19:F26),"地上面积有误")</f>
        <v>213546.4</v>
      </c>
      <c r="G27" s="112">
        <f>SUM(G19:G26)</f>
        <v>75962.399999999994</v>
      </c>
      <c r="H27" s="974">
        <f>SUM(H19:H26)</f>
        <v>2884.25</v>
      </c>
      <c r="I27" s="975">
        <f>SUM(I19:I26)</f>
        <v>14820.009999999998</v>
      </c>
      <c r="J27" s="1967"/>
      <c r="K27" s="2579">
        <f>SUM(K19:K26)</f>
        <v>3300.0099999999998</v>
      </c>
      <c r="L27" s="2580">
        <f>SUM(L19:L26)</f>
        <v>11520</v>
      </c>
      <c r="M27" s="2581">
        <f>SUM(M19:M26)</f>
        <v>14820.009999999998</v>
      </c>
      <c r="N27" s="2579">
        <f t="shared" ref="N27:O27" si="10">SUM(N19:N26)</f>
        <v>0</v>
      </c>
      <c r="O27" s="2580">
        <f t="shared" si="10"/>
        <v>0</v>
      </c>
      <c r="P27" s="2582">
        <f>SUM(P19:P26)</f>
        <v>0</v>
      </c>
      <c r="R27" s="2288">
        <f>IF(SUM(R19:R26)=$D$3,SUM(R19:R26),SUM(R19:R26)&amp;"误差"&amp;ROUND(SUM(R19:R26)-$D$3,2))</f>
        <v>59228</v>
      </c>
      <c r="S27" s="274" t="str">
        <f>IF(SUM(S19:S26)=$E$3,SUM(S19:S26),SUM(S19:S26)&amp;"误差"&amp;ROUND(SUM(S19:S26)-E3,2))</f>
        <v>304328.81误差0.01</v>
      </c>
    </row>
    <row r="28" spans="1:19">
      <c r="A28" s="138"/>
      <c r="B28" s="115" t="s">
        <v>227</v>
      </c>
      <c r="C28" s="136" t="s">
        <v>228</v>
      </c>
      <c r="D28" s="111">
        <f>ROUND($D$3*E28/$E$3,2)</f>
        <v>642.24</v>
      </c>
      <c r="E28" s="134">
        <f>SUM(F28:G28)</f>
        <v>3300</v>
      </c>
      <c r="F28" s="144">
        <f>'数据-基础表'!BQ5+'数据-基础表'!BS5</f>
        <v>3300</v>
      </c>
      <c r="G28" s="145">
        <f>'数据-基础表'!BR5+'数据-基础表'!BT5</f>
        <v>0</v>
      </c>
      <c r="H28" s="1967"/>
      <c r="I28" s="1967"/>
      <c r="J28" s="1967"/>
      <c r="K28" s="1967"/>
      <c r="L28" s="1967"/>
    </row>
    <row r="29" spans="1:19">
      <c r="A29" s="138"/>
      <c r="B29" s="115" t="s">
        <v>227</v>
      </c>
      <c r="C29" s="2296" t="s">
        <v>2320</v>
      </c>
      <c r="D29" s="111">
        <f>ROUND($D$3*E29/$E$3,2)</f>
        <v>2242</v>
      </c>
      <c r="E29" s="134">
        <f>SUM(F29:G29)</f>
        <v>11520</v>
      </c>
      <c r="F29" s="144">
        <f>'数据-基础表'!BM5+'数据-基础表'!BO5</f>
        <v>11520</v>
      </c>
      <c r="G29" s="146">
        <f>'数据-基础表'!BN5+'数据-基础表'!BP5</f>
        <v>0</v>
      </c>
      <c r="H29" s="1967"/>
      <c r="I29" s="1967"/>
      <c r="J29" s="1967"/>
      <c r="K29" s="1967"/>
      <c r="L29" s="1967"/>
    </row>
    <row r="30" spans="1:19">
      <c r="A30" s="138"/>
      <c r="B30" s="111"/>
      <c r="C30" s="147" t="s">
        <v>215</v>
      </c>
      <c r="D30" s="134">
        <f>SUM(D28:D29)</f>
        <v>2884.24</v>
      </c>
      <c r="E30" s="134">
        <f>SUM(E28:E29)</f>
        <v>14820</v>
      </c>
      <c r="F30" s="134">
        <f>SUM(F28:F29)</f>
        <v>14820</v>
      </c>
      <c r="G30" s="112">
        <f>SUM(G28:G29)</f>
        <v>0</v>
      </c>
      <c r="H30" s="1967"/>
      <c r="I30" s="1967"/>
      <c r="J30" s="1967"/>
      <c r="K30" s="1967"/>
      <c r="L30" s="1967"/>
    </row>
    <row r="31" spans="1:19" ht="32.25" customHeight="1" thickBot="1">
      <c r="A31" s="1364"/>
      <c r="B31" s="1365" t="s">
        <v>229</v>
      </c>
      <c r="C31" s="2313" t="s">
        <v>2322</v>
      </c>
      <c r="D31" s="1366">
        <f>D27+D30</f>
        <v>59227.99</v>
      </c>
      <c r="E31" s="1366">
        <f>E27+E30</f>
        <v>304328.8</v>
      </c>
      <c r="F31" s="1367">
        <f>F27+F30</f>
        <v>228366.4</v>
      </c>
      <c r="G31" s="1368">
        <f>G27+G30</f>
        <v>75962.399999999994</v>
      </c>
      <c r="H31" s="1967"/>
      <c r="I31" s="1967"/>
      <c r="J31" s="1967"/>
      <c r="K31" s="1967"/>
      <c r="L31" s="1967"/>
    </row>
    <row r="32" spans="1:19">
      <c r="A32" s="1967"/>
      <c r="B32" s="2325" t="s">
        <v>2321</v>
      </c>
      <c r="C32" s="2609"/>
      <c r="D32" s="1196"/>
      <c r="E32" s="1196">
        <f>SUMIF(C19:C26,"*住宅*",E19:E26)</f>
        <v>132855.79999999999</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18"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9.625" style="1198" bestFit="1"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43782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69276</v>
      </c>
      <c r="F6" s="174">
        <f>SUMIF(项目基本情况!D$15:I$15,C6,项目基本情况!D$19:I$19)</f>
        <v>69.84</v>
      </c>
      <c r="G6" s="175">
        <f>IF(ISERROR(ROUND(POWER(1+H6,D6-F6)*(POWER(1+H6,F6)-1)/(POWER(1+H6,D6)-1),3)),0,ROUND(POWER(1+H6,D6-F6)*(POWER(1+H6,F6)-1)/(POWER(1+H6,D6)-1),3))</f>
        <v>1</v>
      </c>
      <c r="H6" s="3178">
        <v>0.04</v>
      </c>
      <c r="I6" s="3178">
        <v>4.4999999999999998E-2</v>
      </c>
      <c r="J6" s="176"/>
      <c r="K6" s="179">
        <f>SUMIF('数据-汇总表'!C$19:C$33,'数据-取费表'!A6,'数据-汇总表'!E$19:E$33)</f>
        <v>132855.79999999999</v>
      </c>
      <c r="L6" s="2974">
        <v>3200</v>
      </c>
      <c r="M6" s="177">
        <f t="shared" ref="M6:M14" si="0">ROUND(K6*L6/10000,0)</f>
        <v>42514</v>
      </c>
      <c r="N6" s="2975">
        <v>0</v>
      </c>
      <c r="O6" s="177">
        <f>IF($N$5="成新度","——",ROUND(M6*N6,0))</f>
        <v>0</v>
      </c>
      <c r="P6" s="178">
        <f>IF($N$5="成新度","——",M6-O6)</f>
        <v>42514</v>
      </c>
      <c r="Q6" s="2976">
        <v>0.2</v>
      </c>
      <c r="R6" s="179">
        <f>SUMIF('数据-汇总表'!C$19:C$33,A6,'数据-汇总表'!R$19:R$33)</f>
        <v>28392.92</v>
      </c>
      <c r="S6" s="132">
        <f>IF('数据-汇总表'!$I$17="按面积比例",SUMIF('数据-汇总表'!C$19:C$33,A6,'数据-汇总表'!K$19:K$33),SUMIF('数据-汇总表'!C$19:C$33,A6,'数据-汇总表'!N$19:N$33))</f>
        <v>1514.37</v>
      </c>
      <c r="T6" s="2217">
        <f>IF($T$4="按面积比例",IF(ISERROR(ROUND($M$14*S6/S$16,0)),"0",ROUND($M$14*S6/S$16,0)),"需自行计算录入")</f>
        <v>333</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7"/>
      <c r="AN6" s="2354"/>
      <c r="AO6" s="1983"/>
      <c r="AP6" s="1199">
        <f>ROUND(1-1/(1+H6)^F6,3)</f>
        <v>0.93500000000000005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公寓</v>
      </c>
      <c r="B7" s="2320" t="str">
        <f t="shared" ref="B7:B13" si="1">IF(A7=0,"","经营性")</f>
        <v>经营性</v>
      </c>
      <c r="C7" s="173" t="s">
        <v>3001</v>
      </c>
      <c r="D7" s="2291">
        <f>SUMIF(项目基本情况!D$15:I$15,C7,项目基本情况!D$18:I$18)</f>
        <v>40</v>
      </c>
      <c r="E7" s="2292">
        <f>IF(B7="","",SUMIF(项目基本情况!D$15:I$15,C7,项目基本情况!D$17:I$17))</f>
        <v>58318</v>
      </c>
      <c r="F7" s="174">
        <f>SUMIF(项目基本情况!D$15:I$15,C7,项目基本情况!D$19:I$19)</f>
        <v>39.82</v>
      </c>
      <c r="G7" s="175">
        <f t="shared" ref="G7:G11" si="2">IF(ISERROR(ROUND(POWER(1+H7,D7-F7)*(POWER(1+H7,F7)-1)/(POWER(1+H7,D7)-1),3)),0,ROUND(POWER(1+H7,D7-F7)*(POWER(1+H7,F7)-1)/(POWER(1+H7,D7)-1),3))</f>
        <v>0.999</v>
      </c>
      <c r="H7" s="3178">
        <v>0.05</v>
      </c>
      <c r="I7" s="3178">
        <v>5.5E-2</v>
      </c>
      <c r="J7" s="176"/>
      <c r="K7" s="179">
        <f>SUMIF('数据-汇总表'!C$19:C$33,'数据-取费表'!A7,'数据-汇总表'!E$19:E$33)</f>
        <v>71956.600000000006</v>
      </c>
      <c r="L7" s="2974">
        <f>L6</f>
        <v>3200</v>
      </c>
      <c r="M7" s="177">
        <f t="shared" si="0"/>
        <v>23026</v>
      </c>
      <c r="N7" s="2975">
        <v>0</v>
      </c>
      <c r="O7" s="177">
        <f t="shared" ref="O7:O14" si="3">IF($N$5="成新度","——",ROUND(M7*N7,0))</f>
        <v>0</v>
      </c>
      <c r="P7" s="178">
        <f t="shared" ref="P7:P14" si="4">IF($N$5="成新度","——",M7-O7)</f>
        <v>23026</v>
      </c>
      <c r="Q7" s="2976">
        <v>0.2</v>
      </c>
      <c r="R7" s="179">
        <f>SUMIF('数据-汇总表'!C$19:C$33,A7,'数据-汇总表'!R$19:R$33)</f>
        <v>14163.71</v>
      </c>
      <c r="S7" s="132">
        <f>IF('数据-汇总表'!$I$17="按面积比例",SUMIF('数据-汇总表'!C$19:C$33,A7,'数据-汇总表'!K$19:K$33),SUMIF('数据-汇总表'!C$19:C$33,A7,'数据-汇总表'!N$19:N$33))</f>
        <v>820.21</v>
      </c>
      <c r="T7" s="2217">
        <f t="shared" ref="T7:T13" si="5">IF($T$4="按面积比例",IF(ISERROR(ROUND($M$14*S7/S$16,0)),"0",ROUND($M$14*S7/S$16,0)),"需自行计算录入")</f>
        <v>180</v>
      </c>
      <c r="U7" s="3179">
        <v>2</v>
      </c>
      <c r="V7" s="3180">
        <v>0.02</v>
      </c>
      <c r="W7" s="3181">
        <v>0.15</v>
      </c>
      <c r="X7" s="2304"/>
      <c r="Y7" s="182"/>
      <c r="Z7" s="183"/>
      <c r="AA7" s="176"/>
      <c r="AB7" s="176"/>
      <c r="AC7" s="2307"/>
      <c r="AD7" s="184"/>
      <c r="AE7" s="971" t="e">
        <f t="shared" ref="AE7:AE13" ca="1" si="6">IF(AN7="",0,SUMIF(INDIRECT("'"&amp;AN7&amp;"'"&amp;"!E:E"),$AE$5,INDIRECT("'"&amp;AN7&amp;"'"&amp;"!F:F")))</f>
        <v>#N/A</v>
      </c>
      <c r="AF7" s="141"/>
      <c r="AG7" s="1208">
        <f t="shared" ref="AG7:AG13" si="7">IF(AF7="",0,AE7-AF7)</f>
        <v>0</v>
      </c>
      <c r="AH7" s="3182">
        <f t="shared" ref="AH7" si="8">K7</f>
        <v>71956.600000000006</v>
      </c>
      <c r="AI7" s="187">
        <v>365</v>
      </c>
      <c r="AJ7" s="188"/>
      <c r="AK7" s="189">
        <v>1.4999999999999999E-2</v>
      </c>
      <c r="AL7" s="190">
        <v>1.5E-3</v>
      </c>
      <c r="AM7" s="2352">
        <v>0.01</v>
      </c>
      <c r="AN7" s="2354" t="s">
        <v>3158</v>
      </c>
      <c r="AO7" s="1983"/>
      <c r="AP7" s="1199">
        <f t="shared" ref="AP7:AP13" si="9">ROUND(1-1/(1+H7)^F7,3)</f>
        <v>0.85699999999999998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3001</v>
      </c>
      <c r="D8" s="2291">
        <f>SUMIF(项目基本情况!D$15:I$15,C8,项目基本情况!D$18:I$18)</f>
        <v>40</v>
      </c>
      <c r="E8" s="2292">
        <f>IF(B8="","",SUMIF(项目基本情况!D$15:I$15,C8,项目基本情况!D$17:I$17))</f>
        <v>58318</v>
      </c>
      <c r="F8" s="174">
        <f>SUMIF(项目基本情况!D$15:I$15,C8,项目基本情况!D$19:I$19)</f>
        <v>39.82</v>
      </c>
      <c r="G8" s="175">
        <f t="shared" si="2"/>
        <v>0.999</v>
      </c>
      <c r="H8" s="3178">
        <v>5.5E-2</v>
      </c>
      <c r="I8" s="3178">
        <v>0.06</v>
      </c>
      <c r="J8" s="176"/>
      <c r="K8" s="179">
        <f>SUMIF('数据-汇总表'!C$19:C$33,'数据-取费表'!A8,'数据-汇总表'!E$19:E$33)</f>
        <v>8734</v>
      </c>
      <c r="L8" s="2974">
        <v>2200</v>
      </c>
      <c r="M8" s="177">
        <f>ROUND(K8*L8/10000,0)</f>
        <v>1921</v>
      </c>
      <c r="N8" s="2975">
        <v>0</v>
      </c>
      <c r="O8" s="177">
        <f t="shared" si="3"/>
        <v>0</v>
      </c>
      <c r="P8" s="178">
        <f t="shared" si="4"/>
        <v>1921</v>
      </c>
      <c r="Q8" s="2976">
        <v>0.25</v>
      </c>
      <c r="R8" s="179">
        <f>SUMIF('数据-汇总表'!C$19:C$33,A8,'数据-汇总表'!R$19:R$33)</f>
        <v>1719.18</v>
      </c>
      <c r="S8" s="132">
        <f>IF('数据-汇总表'!$I$17="按面积比例",SUMIF('数据-汇总表'!C$19:C$33,A8,'数据-汇总表'!K$19:K$33),SUMIF('数据-汇总表'!C$19:C$33,A8,'数据-汇总表'!N$19:N$33))</f>
        <v>99.56</v>
      </c>
      <c r="T8" s="2217">
        <f t="shared" si="5"/>
        <v>22</v>
      </c>
      <c r="U8" s="3179">
        <v>2.5</v>
      </c>
      <c r="V8" s="3180">
        <v>0.03</v>
      </c>
      <c r="W8" s="3181">
        <v>0.1</v>
      </c>
      <c r="X8" s="2304"/>
      <c r="Y8" s="182"/>
      <c r="Z8" s="183"/>
      <c r="AA8" s="176"/>
      <c r="AB8" s="176"/>
      <c r="AC8" s="2307"/>
      <c r="AD8" s="184"/>
      <c r="AE8" s="971">
        <f t="shared" ca="1" si="6"/>
        <v>37.32</v>
      </c>
      <c r="AF8" s="141"/>
      <c r="AG8" s="1208">
        <f t="shared" si="7"/>
        <v>0</v>
      </c>
      <c r="AH8" s="3182">
        <f t="shared" ref="AH8" si="10">K8</f>
        <v>8734</v>
      </c>
      <c r="AI8" s="187">
        <v>365</v>
      </c>
      <c r="AJ8" s="188"/>
      <c r="AK8" s="189">
        <v>1.4999999999999999E-2</v>
      </c>
      <c r="AL8" s="190">
        <v>1.5E-3</v>
      </c>
      <c r="AM8" s="2352">
        <v>0.01</v>
      </c>
      <c r="AN8" s="2354" t="s">
        <v>3050</v>
      </c>
      <c r="AO8" s="1983"/>
      <c r="AP8" s="1199">
        <f t="shared" si="9"/>
        <v>0.88100000000000001</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地下车库</v>
      </c>
      <c r="B9" s="2320" t="str">
        <f t="shared" si="1"/>
        <v>经营性</v>
      </c>
      <c r="C9" s="173" t="s">
        <v>3001</v>
      </c>
      <c r="D9" s="2291">
        <f>SUMIF(项目基本情况!D$15:I$15,C9,项目基本情况!D$18:I$18)</f>
        <v>40</v>
      </c>
      <c r="E9" s="2292">
        <f>IF(B9="","",SUMIF(项目基本情况!D$15:I$15,C9,项目基本情况!D$17:I$17))</f>
        <v>58318</v>
      </c>
      <c r="F9" s="174">
        <f>SUMIF(项目基本情况!D$15:I$15,C9,项目基本情况!D$19:I$19)</f>
        <v>39.82</v>
      </c>
      <c r="G9" s="175">
        <f t="shared" si="2"/>
        <v>0.998</v>
      </c>
      <c r="H9" s="3178">
        <v>4.4999999999999998E-2</v>
      </c>
      <c r="I9" s="3178">
        <v>0.05</v>
      </c>
      <c r="J9" s="176"/>
      <c r="K9" s="179">
        <f>SUMIF('数据-汇总表'!C$19:C$33,'数据-取费表'!A9,'数据-汇总表'!E$19:E$33)</f>
        <v>75962.399999999994</v>
      </c>
      <c r="L9" s="193">
        <f>L8</f>
        <v>2200</v>
      </c>
      <c r="M9" s="177">
        <f t="shared" si="0"/>
        <v>16712</v>
      </c>
      <c r="N9" s="194">
        <v>0</v>
      </c>
      <c r="O9" s="177">
        <f t="shared" si="3"/>
        <v>0</v>
      </c>
      <c r="P9" s="178">
        <f t="shared" si="4"/>
        <v>16712</v>
      </c>
      <c r="Q9" s="192">
        <v>0.03</v>
      </c>
      <c r="R9" s="179">
        <f>SUMIF('数据-汇总表'!C$19:C$33,A9,'数据-汇总表'!R$19:R$33)</f>
        <v>14952.19</v>
      </c>
      <c r="S9" s="132">
        <f>IF('数据-汇总表'!$I$17="按面积比例",SUMIF('数据-汇总表'!C$19:C$33,A9,'数据-汇总表'!K$19:K$33),SUMIF('数据-汇总表'!C$19:C$33,A9,'数据-汇总表'!N$19:N$33))</f>
        <v>865.87</v>
      </c>
      <c r="T9" s="2217">
        <f t="shared" si="5"/>
        <v>190</v>
      </c>
      <c r="U9" s="180">
        <v>600</v>
      </c>
      <c r="V9" s="181">
        <v>0.02</v>
      </c>
      <c r="W9" s="181">
        <v>0.15</v>
      </c>
      <c r="X9" s="2304"/>
      <c r="Y9" s="182"/>
      <c r="Z9" s="183"/>
      <c r="AA9" s="176"/>
      <c r="AB9" s="176"/>
      <c r="AC9" s="2307"/>
      <c r="AD9" s="184"/>
      <c r="AE9" s="971">
        <f t="shared" ca="1" si="6"/>
        <v>37.32</v>
      </c>
      <c r="AF9" s="141"/>
      <c r="AG9" s="1208">
        <f t="shared" si="7"/>
        <v>0</v>
      </c>
      <c r="AH9" s="3182">
        <v>1753</v>
      </c>
      <c r="AI9" s="187">
        <v>12</v>
      </c>
      <c r="AJ9" s="188"/>
      <c r="AK9" s="189">
        <v>5.0000000000000001E-3</v>
      </c>
      <c r="AL9" s="190">
        <v>1.5E-3</v>
      </c>
      <c r="AM9" s="2352">
        <v>0.01</v>
      </c>
      <c r="AN9" s="2354" t="s">
        <v>3108</v>
      </c>
      <c r="AO9" s="1983">
        <f>K9/35</f>
        <v>2170.3542857142857</v>
      </c>
      <c r="AP9" s="1199">
        <f t="shared" si="9"/>
        <v>0.82699999999999996</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t="str">
        <f>'数据-汇总表'!C23</f>
        <v>创客空间</v>
      </c>
      <c r="B10" s="2320" t="str">
        <f t="shared" si="1"/>
        <v>经营性</v>
      </c>
      <c r="C10" s="173" t="s">
        <v>3001</v>
      </c>
      <c r="D10" s="2291">
        <f>SUMIF(项目基本情况!D$15:I$15,C10,项目基本情况!D$18:I$18)</f>
        <v>40</v>
      </c>
      <c r="E10" s="2292">
        <f>IF(B10="","",SUMIF(项目基本情况!D$15:I$15,C10,项目基本情况!D$17:I$17))</f>
        <v>58318</v>
      </c>
      <c r="F10" s="174">
        <f>SUMIF(项目基本情况!D$15:I$15,C10,项目基本情况!D$19:I$19)</f>
        <v>39.82</v>
      </c>
      <c r="G10" s="175">
        <f t="shared" si="2"/>
        <v>0.999</v>
      </c>
      <c r="H10" s="3178">
        <v>0.05</v>
      </c>
      <c r="I10" s="3178">
        <v>5.5E-2</v>
      </c>
      <c r="J10" s="176"/>
      <c r="K10" s="179">
        <f>SUMIF('数据-汇总表'!C$19:C$33,'数据-取费表'!A10,'数据-汇总表'!E$19:E$33)</f>
        <v>0</v>
      </c>
      <c r="L10" s="193"/>
      <c r="M10" s="177">
        <f t="shared" si="0"/>
        <v>0</v>
      </c>
      <c r="N10" s="194">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9"/>
        <v>0.85699999999999998</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9"/>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9"/>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9"/>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3300</v>
      </c>
      <c r="L14" s="193">
        <f>L8</f>
        <v>2200</v>
      </c>
      <c r="M14" s="177">
        <f t="shared" si="0"/>
        <v>726</v>
      </c>
      <c r="N14" s="194">
        <v>0</v>
      </c>
      <c r="O14" s="177">
        <f t="shared" si="3"/>
        <v>0</v>
      </c>
      <c r="P14" s="178">
        <f t="shared" si="4"/>
        <v>726</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11520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0.999</v>
      </c>
      <c r="H16" s="203">
        <f>ROUND(SUMPRODUCT(H6:H13,K6:K13)/SUMPRODUCT((H6:H13&gt;0)*(K6:K13)),3)</f>
        <v>4.3999999999999997E-2</v>
      </c>
      <c r="I16" s="204"/>
      <c r="J16" s="204"/>
      <c r="K16" s="205">
        <f>SUM(K6:K15)</f>
        <v>304328.8</v>
      </c>
      <c r="L16" s="206">
        <f>ROUND(M16*10000/SUM(K6:K14),0)</f>
        <v>2899</v>
      </c>
      <c r="M16" s="206">
        <f>SUM(M6:M14)</f>
        <v>84899</v>
      </c>
      <c r="N16" s="207">
        <f>ROUND(SUMPRODUCT(M6:M14,N6:N14)/M16,3)</f>
        <v>0</v>
      </c>
      <c r="O16" s="206">
        <f>SUM(O6:O14)</f>
        <v>0</v>
      </c>
      <c r="P16" s="206">
        <f>SUM(P6:P14)</f>
        <v>84899</v>
      </c>
      <c r="Q16" s="208">
        <f>ROUND(SUMPRODUCT(Q6:Q13,K6:K13)/SUMPRODUCT((Q6:Q13&gt;0)*(K6:K13)),2)</f>
        <v>0.16</v>
      </c>
      <c r="R16" s="2294">
        <f>SUM(R6:R13)</f>
        <v>59228</v>
      </c>
      <c r="S16" s="209">
        <f>SUM(S6:S13)</f>
        <v>3300.0099999999998</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0.88600000000000001</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120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f>B27</f>
        <v>120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0.1</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0.01</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1"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2"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2"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177" t="s">
        <v>925</v>
      </c>
      <c r="C53" s="3023" t="s">
        <v>2905</v>
      </c>
      <c r="D53" s="3024"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6" t="s">
        <v>2907</v>
      </c>
      <c r="B54" s="3176"/>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6" t="s">
        <v>2908</v>
      </c>
      <c r="B55" s="3176"/>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6" t="s">
        <v>2909</v>
      </c>
      <c r="B56" s="3176"/>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6" t="s">
        <v>2910</v>
      </c>
      <c r="B57" s="3176">
        <v>1.5</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6" t="s">
        <v>2911</v>
      </c>
      <c r="B58" s="186"/>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6" t="s">
        <v>2912</v>
      </c>
      <c r="B59" s="186"/>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6" t="s">
        <v>2913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6" t="s">
        <v>2914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6" t="s">
        <v>2915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7"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B65" s="1981">
        <v>44394.75</v>
      </c>
      <c r="D65" s="1982"/>
      <c r="K65" s="57"/>
      <c r="L65" s="57"/>
    </row>
    <row r="66" spans="1:12" s="1981" customFormat="1">
      <c r="A66" s="252"/>
      <c r="B66" s="1981">
        <f>B65*4/'数据-汇总表'!D3</f>
        <v>2.998227189842642</v>
      </c>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97" t="s">
        <v>1663</v>
      </c>
      <c r="B1" s="3298"/>
      <c r="C1" s="3298"/>
      <c r="D1" s="3298"/>
      <c r="E1" s="3298"/>
      <c r="F1" s="3298"/>
      <c r="G1" s="3298"/>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81">
      <c r="A3" s="1222" t="s">
        <v>1666</v>
      </c>
      <c r="B3" s="1223" t="s">
        <v>1653</v>
      </c>
      <c r="C3" s="3198" t="s">
        <v>3101</v>
      </c>
      <c r="D3" s="1992"/>
      <c r="E3" s="1224" t="s">
        <v>1666</v>
      </c>
      <c r="F3" s="1225" t="s">
        <v>1654</v>
      </c>
      <c r="G3" s="3029" t="s">
        <v>2921</v>
      </c>
      <c r="H3" s="1991"/>
      <c r="I3" s="1991"/>
      <c r="J3" s="1991"/>
      <c r="K3" s="1991"/>
      <c r="L3" s="1991"/>
      <c r="M3" s="1991"/>
      <c r="N3" s="1991"/>
      <c r="O3" s="1991"/>
      <c r="P3" s="1991"/>
      <c r="Q3" s="1991"/>
      <c r="R3" s="1991"/>
    </row>
    <row r="4" spans="1:18" ht="40.5">
      <c r="A4" s="1224"/>
      <c r="B4" s="1226" t="s">
        <v>1667</v>
      </c>
      <c r="C4" s="3200" t="s">
        <v>3102</v>
      </c>
      <c r="D4" s="1992"/>
      <c r="E4" s="1227"/>
      <c r="F4" s="1228" t="s">
        <v>1668</v>
      </c>
      <c r="G4" s="3028" t="s">
        <v>2918</v>
      </c>
      <c r="H4" s="1991"/>
      <c r="I4" s="1991"/>
      <c r="J4" s="1991"/>
      <c r="K4" s="1991"/>
      <c r="L4" s="1991"/>
      <c r="M4" s="1991"/>
      <c r="N4" s="1991"/>
      <c r="O4" s="1991"/>
      <c r="P4" s="1991"/>
      <c r="Q4" s="1991"/>
      <c r="R4" s="1991"/>
    </row>
    <row r="5" spans="1:18" ht="27">
      <c r="A5" s="1224"/>
      <c r="B5" s="1226" t="s">
        <v>1669</v>
      </c>
      <c r="C5" s="3200"/>
      <c r="D5" s="1992"/>
      <c r="E5" s="1227"/>
      <c r="F5" s="1226" t="s">
        <v>2546</v>
      </c>
      <c r="G5" s="3028" t="s">
        <v>2919</v>
      </c>
      <c r="H5" s="1991"/>
      <c r="I5" s="1991"/>
      <c r="J5" s="1991"/>
      <c r="K5" s="1991"/>
      <c r="L5" s="1991"/>
      <c r="M5" s="1991"/>
      <c r="N5" s="1991"/>
      <c r="O5" s="1991"/>
      <c r="P5" s="1991"/>
      <c r="Q5" s="1991"/>
      <c r="R5" s="1991"/>
    </row>
    <row r="6" spans="1:18" ht="67.5">
      <c r="A6" s="1224"/>
      <c r="B6" s="1226" t="s">
        <v>1655</v>
      </c>
      <c r="C6" s="3199" t="s">
        <v>3103</v>
      </c>
      <c r="D6" s="1992"/>
      <c r="E6" s="1227"/>
      <c r="F6" s="1226" t="s">
        <v>2547</v>
      </c>
      <c r="G6" s="3028" t="s">
        <v>2917</v>
      </c>
      <c r="H6" s="1991"/>
      <c r="I6" s="1991"/>
      <c r="J6" s="1991"/>
      <c r="K6" s="1991"/>
      <c r="L6" s="1991"/>
      <c r="M6" s="1991"/>
      <c r="N6" s="1991"/>
      <c r="O6" s="1991"/>
      <c r="P6" s="1991"/>
      <c r="Q6" s="1991"/>
      <c r="R6" s="1991"/>
    </row>
    <row r="7" spans="1:18" ht="41.25" thickBot="1">
      <c r="A7" s="1224"/>
      <c r="B7" s="1226" t="s">
        <v>2546</v>
      </c>
      <c r="C7" s="3199" t="s">
        <v>3104</v>
      </c>
      <c r="D7" s="1993"/>
      <c r="E7" s="1229"/>
      <c r="F7" s="1230" t="s">
        <v>1670</v>
      </c>
      <c r="G7" s="3030" t="s">
        <v>2920</v>
      </c>
      <c r="H7" s="1991"/>
      <c r="I7" s="1991"/>
      <c r="J7" s="1991"/>
      <c r="K7" s="1991"/>
      <c r="L7" s="1991"/>
      <c r="M7" s="1991"/>
      <c r="N7" s="1991"/>
      <c r="O7" s="1991"/>
      <c r="P7" s="1991"/>
      <c r="Q7" s="1991"/>
      <c r="R7" s="1991"/>
    </row>
    <row r="8" spans="1:18" ht="27">
      <c r="A8" s="1224"/>
      <c r="B8" s="1226" t="s">
        <v>2547</v>
      </c>
      <c r="C8" s="3199" t="s">
        <v>3105</v>
      </c>
      <c r="D8" s="1993"/>
      <c r="E8" s="1993"/>
      <c r="F8" s="1538"/>
      <c r="G8" s="1538"/>
      <c r="H8" s="1991"/>
      <c r="I8" s="1991"/>
      <c r="J8" s="1991"/>
      <c r="K8" s="1991"/>
      <c r="L8" s="1991"/>
      <c r="M8" s="1991"/>
      <c r="N8" s="1991"/>
      <c r="O8" s="1991"/>
      <c r="P8" s="1991"/>
      <c r="Q8" s="1991"/>
      <c r="R8" s="1991"/>
    </row>
    <row r="9" spans="1:18" ht="40.5">
      <c r="A9" s="1224"/>
      <c r="B9" s="1226" t="s">
        <v>1656</v>
      </c>
      <c r="C9" s="3200" t="s">
        <v>3106</v>
      </c>
      <c r="D9" s="1992"/>
      <c r="E9" s="1993"/>
      <c r="F9" s="1538"/>
      <c r="G9" s="1538"/>
      <c r="H9" s="1991"/>
      <c r="I9" s="1991"/>
      <c r="J9" s="1991"/>
      <c r="K9" s="1991"/>
      <c r="L9" s="1991"/>
      <c r="M9" s="1991"/>
      <c r="N9" s="1991"/>
      <c r="O9" s="1991"/>
      <c r="P9" s="1991"/>
      <c r="Q9" s="1991"/>
      <c r="R9" s="1991"/>
    </row>
    <row r="10" spans="1:18" s="1999" customFormat="1" ht="14.25" thickBot="1">
      <c r="A10" s="1231"/>
      <c r="B10" s="1232" t="s">
        <v>1671</v>
      </c>
      <c r="C10" s="3196" t="s">
        <v>3107</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94.5">
      <c r="A15" s="2550" t="s">
        <v>1657</v>
      </c>
      <c r="B15" s="1237" t="s">
        <v>1653</v>
      </c>
      <c r="C15" s="1238" t="str">
        <f>C3</f>
        <v>估价对象周边居住用地比例一般、居住小区规模和社区发展完善程度一般，周边有新力城、丰泽花园、联富花园等住宅项目，综合评价居住社区成熟度一般</v>
      </c>
      <c r="D15" s="1992"/>
      <c r="E15" s="2547" t="s">
        <v>1658</v>
      </c>
      <c r="F15" s="1237" t="s">
        <v>1673</v>
      </c>
      <c r="G15" s="1239" t="str">
        <f>G3</f>
        <v>估价对象位于XX开发区，园区建设成熟度XX，产业集聚程度XX</v>
      </c>
    </row>
    <row r="16" spans="1:18" ht="54">
      <c r="A16" s="2551"/>
      <c r="B16" s="1240" t="s">
        <v>1667</v>
      </c>
      <c r="C16" s="1241" t="str">
        <f>C4</f>
        <v>估价对象位于长堎工业区附近，周边商业氛围较差，人流量一般，商业繁华度较差</v>
      </c>
      <c r="D16" s="1992"/>
      <c r="E16" s="2548"/>
      <c r="F16" s="1242" t="s">
        <v>1668</v>
      </c>
      <c r="G16" s="1004" t="str">
        <f>G4</f>
        <v>估价对象周边道路状况、公共交通通达情况、停车便捷程度，综合评价交通便捷度较好</v>
      </c>
    </row>
    <row r="17" spans="1:7" ht="14.25">
      <c r="A17" s="2551"/>
      <c r="B17" s="1240" t="s">
        <v>1669</v>
      </c>
      <c r="C17" s="1241">
        <f>C5</f>
        <v>0</v>
      </c>
      <c r="D17" s="1993"/>
      <c r="E17" s="2548"/>
      <c r="F17" s="1242" t="s">
        <v>1674</v>
      </c>
      <c r="G17" s="2748"/>
    </row>
    <row r="18" spans="1:7" ht="81">
      <c r="A18" s="2551"/>
      <c r="B18" s="1242" t="s">
        <v>1655</v>
      </c>
      <c r="C18" s="1004" t="str">
        <f>C6</f>
        <v>估价对象周边道路状况较好、公共交通通达情况一般，有117路、119路等公交车、停车便捷程度较好，综合评价交通便捷度一般</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2546</v>
      </c>
      <c r="G19" s="1004" t="str">
        <f>G5</f>
        <v>估价对象所在区域公共配套设施齐备情况</v>
      </c>
    </row>
    <row r="20" spans="1:7" ht="40.5">
      <c r="A20" s="2551"/>
      <c r="B20" s="1242" t="s">
        <v>1660</v>
      </c>
      <c r="C20" s="1241" t="str">
        <f>C9</f>
        <v>区域自然环境一般：；人文环境：南昌工学院；综合评价环境状况一般</v>
      </c>
      <c r="D20" s="1993"/>
      <c r="E20" s="2548"/>
      <c r="F20" s="1226" t="s">
        <v>2547</v>
      </c>
      <c r="G20" s="1004" t="str">
        <f>G6</f>
        <v>估价对象所在区域基础设施水平</v>
      </c>
    </row>
    <row r="21" spans="1:7" ht="27">
      <c r="A21" s="2551"/>
      <c r="B21" s="1226" t="s">
        <v>2546</v>
      </c>
      <c r="C21" s="1004" t="str">
        <f>C7</f>
        <v>估价对象所在区域公共配套设施齐备情况较差</v>
      </c>
      <c r="D21" s="1992"/>
      <c r="E21" s="2548"/>
      <c r="F21" s="1242" t="s">
        <v>1661</v>
      </c>
      <c r="G21" s="3031"/>
    </row>
    <row r="22" spans="1:7" ht="27">
      <c r="A22" s="2551"/>
      <c r="B22" s="1226" t="s">
        <v>2547</v>
      </c>
      <c r="C22" s="1004" t="str">
        <f>C8</f>
        <v>估价对象所在区域基础设施水平一般</v>
      </c>
      <c r="D22" s="1992"/>
      <c r="E22" s="2548"/>
      <c r="F22" s="1242" t="s">
        <v>1671</v>
      </c>
      <c r="G22" s="2748"/>
    </row>
    <row r="23" spans="1:7" ht="15" thickBot="1">
      <c r="A23" s="2551"/>
      <c r="B23" s="1242" t="s">
        <v>1661</v>
      </c>
      <c r="C23" s="3031"/>
      <c r="E23" s="2549"/>
      <c r="F23" s="1243" t="s">
        <v>1675</v>
      </c>
      <c r="G23" s="3032"/>
    </row>
    <row r="24" spans="1:7" ht="14.25" thickBot="1">
      <c r="A24" s="2552"/>
      <c r="B24" s="1243" t="s">
        <v>1662</v>
      </c>
      <c r="C24" s="1244" t="str">
        <f>C10</f>
        <v>城市支路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2844</v>
      </c>
      <c r="B1" s="2992">
        <f>SUM(B14:B23)</f>
        <v>304328.8</v>
      </c>
      <c r="C1" s="2993"/>
      <c r="D1" s="2993"/>
      <c r="E1" s="2993"/>
      <c r="F1" s="2993"/>
    </row>
    <row r="2" spans="1:9" ht="16.5">
      <c r="A2" s="2992" t="s">
        <v>2845</v>
      </c>
      <c r="B2" s="2992">
        <f>SUM(C14:C23)</f>
        <v>59228</v>
      </c>
      <c r="C2" s="2993"/>
      <c r="D2" s="2993"/>
      <c r="E2" s="2993"/>
      <c r="F2" s="2993"/>
    </row>
    <row r="3" spans="1:9" ht="16.5">
      <c r="A3" s="2992" t="s">
        <v>2846</v>
      </c>
      <c r="B3" s="2994">
        <f>项目基本情况!D3</f>
        <v>43782</v>
      </c>
      <c r="C3" s="2993"/>
      <c r="D3" s="2993"/>
      <c r="E3" s="2993"/>
      <c r="F3" s="2993"/>
    </row>
    <row r="4" spans="1:9" ht="33">
      <c r="A4" s="2992" t="s">
        <v>2847</v>
      </c>
      <c r="B4" s="2992" t="s">
        <v>2848</v>
      </c>
      <c r="C4" s="2992" t="s">
        <v>2849</v>
      </c>
      <c r="D4" s="2992" t="s">
        <v>2850</v>
      </c>
      <c r="E4" s="2993"/>
      <c r="F4" s="2993"/>
    </row>
    <row r="5" spans="1:9" ht="16.5">
      <c r="A5" s="2992" t="s">
        <v>2851</v>
      </c>
      <c r="B5" s="2992">
        <f ca="1">SUM(D14:D23)</f>
        <v>78189</v>
      </c>
      <c r="C5" s="2992">
        <f ca="1">ROUND(B5*10000/$B$1,0)</f>
        <v>2569</v>
      </c>
      <c r="D5" s="2992">
        <f ca="1">ROUND(B5*10000/$B$2,0)</f>
        <v>13201</v>
      </c>
      <c r="E5" s="2993"/>
      <c r="F5" s="2993"/>
    </row>
    <row r="6" spans="1:9" ht="16.5">
      <c r="A6" s="2992" t="s">
        <v>2852</v>
      </c>
      <c r="B6" s="2992">
        <f ca="1">SUM(G14:G23)</f>
        <v>78189</v>
      </c>
      <c r="C6" s="2992">
        <f t="shared" ref="C6:C8" ca="1" si="0">ROUND(B6*10000/$B$1,0)</f>
        <v>2569</v>
      </c>
      <c r="D6" s="2992">
        <f t="shared" ref="D6:D8" ca="1" si="1">ROUND(B6*10000/$B$2,0)</f>
        <v>13201</v>
      </c>
      <c r="E6" s="2993"/>
      <c r="F6" s="2993"/>
    </row>
    <row r="7" spans="1:9" ht="16.5">
      <c r="A7" s="2992" t="s">
        <v>2853</v>
      </c>
      <c r="B7" s="2992">
        <f>SUM(H14:H23)</f>
        <v>0</v>
      </c>
      <c r="C7" s="2992">
        <f t="shared" si="0"/>
        <v>0</v>
      </c>
      <c r="D7" s="2992">
        <f t="shared" si="1"/>
        <v>0</v>
      </c>
      <c r="E7" s="2993"/>
      <c r="F7" s="2993"/>
    </row>
    <row r="8" spans="1:9" ht="16.5">
      <c r="A8" s="2992" t="s">
        <v>2854</v>
      </c>
      <c r="B8" s="2992">
        <f>SUM(I14:I23)</f>
        <v>0</v>
      </c>
      <c r="C8" s="2992">
        <f t="shared" si="0"/>
        <v>0</v>
      </c>
      <c r="D8" s="2992">
        <f t="shared" si="1"/>
        <v>0</v>
      </c>
      <c r="E8" s="2993"/>
      <c r="F8" s="2993"/>
    </row>
    <row r="9" spans="1:9" ht="16.5">
      <c r="A9" s="2992" t="s">
        <v>2855</v>
      </c>
      <c r="B9" s="2995"/>
      <c r="C9" s="2993"/>
      <c r="D9" s="2993"/>
      <c r="E9" s="2993"/>
      <c r="F9" s="2993"/>
    </row>
    <row r="10" spans="1:9" ht="16.5">
      <c r="A10" s="2992" t="s">
        <v>2856</v>
      </c>
      <c r="B10" s="2995"/>
      <c r="C10" s="2993"/>
      <c r="D10" s="2993"/>
      <c r="E10" s="2993"/>
      <c r="F10" s="2993"/>
    </row>
    <row r="11" spans="1:9" ht="16.5">
      <c r="A11" s="2992" t="s">
        <v>2873</v>
      </c>
      <c r="B11" s="2995"/>
      <c r="C11" s="2993"/>
      <c r="D11" s="2993"/>
      <c r="E11" s="2993"/>
      <c r="F11" s="2993"/>
    </row>
    <row r="12" spans="1:9" ht="16.5">
      <c r="A12" s="2993"/>
      <c r="B12" s="2993"/>
      <c r="C12" s="2993"/>
      <c r="D12" s="2993"/>
      <c r="E12" s="2993"/>
      <c r="F12" s="2993"/>
    </row>
    <row r="13" spans="1:9" ht="33">
      <c r="A13" s="2998" t="s">
        <v>2872</v>
      </c>
      <c r="B13" s="2996" t="s">
        <v>2844</v>
      </c>
      <c r="C13" s="2996" t="s">
        <v>2845</v>
      </c>
      <c r="D13" s="2996" t="s">
        <v>2857</v>
      </c>
      <c r="E13" s="2992" t="s">
        <v>2871</v>
      </c>
      <c r="F13" s="2992" t="s">
        <v>2850</v>
      </c>
      <c r="G13" s="2996" t="s">
        <v>2858</v>
      </c>
      <c r="H13" s="2996" t="s">
        <v>2859</v>
      </c>
      <c r="I13" s="2996" t="s">
        <v>2860</v>
      </c>
    </row>
    <row r="14" spans="1:9" ht="16.5">
      <c r="A14" s="2999" t="s">
        <v>2870</v>
      </c>
      <c r="B14" s="2996">
        <f>结果表!L38</f>
        <v>304328.8</v>
      </c>
      <c r="C14" s="2996">
        <f>结果表!K38</f>
        <v>59228</v>
      </c>
      <c r="D14" s="2996">
        <f ca="1">结果表!C42</f>
        <v>78189</v>
      </c>
      <c r="E14" s="2996">
        <f ca="1">ROUND(D14*10000/B14,0)</f>
        <v>2569</v>
      </c>
      <c r="F14" s="2996">
        <f ca="1">ROUND(D14*10000/C14,0)</f>
        <v>13201</v>
      </c>
      <c r="G14" s="2996">
        <f ca="1">结果表!C44</f>
        <v>78189</v>
      </c>
      <c r="H14" s="2996" t="str">
        <f>结果表!C45</f>
        <v>——</v>
      </c>
      <c r="I14" s="2996" t="str">
        <f>结果表!C46</f>
        <v>——</v>
      </c>
    </row>
    <row r="15" spans="1:9" ht="16.5">
      <c r="A15" s="2999" t="s">
        <v>2861</v>
      </c>
      <c r="B15" s="3000"/>
      <c r="C15" s="3000"/>
      <c r="D15" s="3000"/>
      <c r="E15" s="2996" t="e">
        <f t="shared" ref="E15:E23" si="2">ROUND(D15*10000/B15,0)</f>
        <v>#DIV/0!</v>
      </c>
      <c r="F15" s="2996" t="e">
        <f t="shared" ref="F15:F23" si="3">ROUND(D15*10000/C15,0)</f>
        <v>#DIV/0!</v>
      </c>
      <c r="G15" s="2997"/>
      <c r="H15" s="2997"/>
      <c r="I15" s="3000"/>
    </row>
    <row r="16" spans="1:9" ht="16.5">
      <c r="A16" s="2999" t="s">
        <v>2862</v>
      </c>
      <c r="B16" s="3000"/>
      <c r="C16" s="3000"/>
      <c r="D16" s="3000"/>
      <c r="E16" s="2996" t="e">
        <f t="shared" si="2"/>
        <v>#DIV/0!</v>
      </c>
      <c r="F16" s="2996" t="e">
        <f t="shared" si="3"/>
        <v>#DIV/0!</v>
      </c>
      <c r="G16" s="2997"/>
      <c r="H16" s="2997"/>
      <c r="I16" s="3000"/>
    </row>
    <row r="17" spans="1:9" ht="16.5">
      <c r="A17" s="2999" t="s">
        <v>2863</v>
      </c>
      <c r="B17" s="3000"/>
      <c r="C17" s="3000"/>
      <c r="D17" s="3000"/>
      <c r="E17" s="2996" t="e">
        <f t="shared" si="2"/>
        <v>#DIV/0!</v>
      </c>
      <c r="F17" s="2996" t="e">
        <f t="shared" si="3"/>
        <v>#DIV/0!</v>
      </c>
      <c r="G17" s="2997"/>
      <c r="H17" s="2997"/>
      <c r="I17" s="3000"/>
    </row>
    <row r="18" spans="1:9" ht="16.5">
      <c r="A18" s="2999" t="s">
        <v>2864</v>
      </c>
      <c r="B18" s="3000"/>
      <c r="C18" s="3000"/>
      <c r="D18" s="3000"/>
      <c r="E18" s="2996" t="e">
        <f t="shared" si="2"/>
        <v>#DIV/0!</v>
      </c>
      <c r="F18" s="2996" t="e">
        <f t="shared" si="3"/>
        <v>#DIV/0!</v>
      </c>
      <c r="G18" s="3000"/>
      <c r="H18" s="3000"/>
      <c r="I18" s="3000"/>
    </row>
    <row r="19" spans="1:9" ht="16.5">
      <c r="A19" s="2999" t="s">
        <v>2865</v>
      </c>
      <c r="B19" s="3000"/>
      <c r="C19" s="3000"/>
      <c r="D19" s="3000"/>
      <c r="E19" s="2996" t="e">
        <f t="shared" si="2"/>
        <v>#DIV/0!</v>
      </c>
      <c r="F19" s="2996" t="e">
        <f t="shared" si="3"/>
        <v>#DIV/0!</v>
      </c>
      <c r="G19" s="3000"/>
      <c r="H19" s="3000"/>
      <c r="I19" s="3000"/>
    </row>
    <row r="20" spans="1:9" ht="16.5">
      <c r="A20" s="2999" t="s">
        <v>2866</v>
      </c>
      <c r="B20" s="3000"/>
      <c r="C20" s="3000"/>
      <c r="D20" s="3000"/>
      <c r="E20" s="2996" t="e">
        <f t="shared" si="2"/>
        <v>#DIV/0!</v>
      </c>
      <c r="F20" s="2996" t="e">
        <f t="shared" si="3"/>
        <v>#DIV/0!</v>
      </c>
      <c r="G20" s="3000"/>
      <c r="H20" s="3000"/>
      <c r="I20" s="3000"/>
    </row>
    <row r="21" spans="1:9" ht="16.5">
      <c r="A21" s="2999" t="s">
        <v>2867</v>
      </c>
      <c r="B21" s="3000"/>
      <c r="C21" s="3000"/>
      <c r="D21" s="3000"/>
      <c r="E21" s="2996" t="e">
        <f t="shared" si="2"/>
        <v>#DIV/0!</v>
      </c>
      <c r="F21" s="2996" t="e">
        <f t="shared" si="3"/>
        <v>#DIV/0!</v>
      </c>
      <c r="G21" s="3000"/>
      <c r="H21" s="3000"/>
      <c r="I21" s="3000"/>
    </row>
    <row r="22" spans="1:9" ht="16.5">
      <c r="A22" s="2999" t="s">
        <v>2868</v>
      </c>
      <c r="B22" s="3000"/>
      <c r="C22" s="3000"/>
      <c r="D22" s="3000"/>
      <c r="E22" s="2996" t="e">
        <f t="shared" si="2"/>
        <v>#DIV/0!</v>
      </c>
      <c r="F22" s="2996" t="e">
        <f t="shared" si="3"/>
        <v>#DIV/0!</v>
      </c>
      <c r="G22" s="3000"/>
      <c r="H22" s="3000"/>
      <c r="I22" s="3000"/>
    </row>
    <row r="23" spans="1:9" ht="16.5">
      <c r="A23" s="2999" t="s">
        <v>2869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26" sqref="F2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t="s">
        <v>3053</v>
      </c>
      <c r="E1" s="1788" t="s">
        <v>2057</v>
      </c>
      <c r="F1" s="1790" t="s">
        <v>3054</v>
      </c>
      <c r="G1" s="310"/>
      <c r="H1" s="310"/>
      <c r="I1" s="310"/>
      <c r="J1" s="2012"/>
      <c r="K1" s="2012"/>
      <c r="L1" s="2012"/>
      <c r="M1" s="2012"/>
      <c r="N1" s="2012"/>
      <c r="O1" s="2012"/>
      <c r="P1" s="2012"/>
      <c r="Q1" s="2012"/>
      <c r="R1" s="2012"/>
      <c r="S1" s="2012"/>
      <c r="T1" s="2012"/>
      <c r="U1" s="2012"/>
      <c r="V1" s="2012"/>
    </row>
    <row r="2" spans="1:22" ht="21.75" customHeight="1" thickBot="1">
      <c r="A2" s="3335" t="str">
        <f>项目基本情况!K2</f>
        <v>广东省汕尾市区中轴西路东侧出让国有建设用地使用权</v>
      </c>
      <c r="B2" s="3336"/>
      <c r="C2" s="3337"/>
      <c r="D2" s="3337"/>
      <c r="E2" s="3337"/>
      <c r="F2" s="3337"/>
      <c r="G2" s="3336"/>
      <c r="H2" s="3336"/>
      <c r="I2" s="3338"/>
      <c r="J2" s="2013"/>
      <c r="K2" s="2012"/>
      <c r="L2" s="2012"/>
      <c r="M2" s="2012"/>
      <c r="N2" s="2012"/>
      <c r="O2" s="2012"/>
      <c r="P2" s="2012"/>
      <c r="Q2" s="2012"/>
      <c r="R2" s="2012"/>
      <c r="S2" s="2012"/>
      <c r="T2" s="2012"/>
      <c r="U2" s="2012"/>
      <c r="V2" s="2012"/>
    </row>
    <row r="3" spans="1:22" ht="14.25">
      <c r="A3" s="3328" t="s">
        <v>298</v>
      </c>
      <c r="B3" s="3329"/>
      <c r="C3" s="3329"/>
      <c r="D3" s="3329"/>
      <c r="E3" s="3329"/>
      <c r="F3" s="3329"/>
      <c r="G3" s="3329"/>
      <c r="H3" s="3329"/>
      <c r="I3" s="3329"/>
      <c r="J3" s="2013"/>
      <c r="K3" s="2012"/>
      <c r="L3" s="2012"/>
      <c r="M3" s="2012"/>
      <c r="N3" s="2012"/>
      <c r="O3" s="2012"/>
      <c r="P3" s="2012"/>
      <c r="Q3" s="2012"/>
      <c r="R3" s="2012"/>
      <c r="S3" s="2012"/>
      <c r="T3" s="2012"/>
      <c r="U3" s="2012"/>
      <c r="V3" s="2012"/>
    </row>
    <row r="4" spans="1:22" ht="14.25">
      <c r="A4" s="257" t="s">
        <v>299</v>
      </c>
      <c r="B4" s="258" t="s">
        <v>300</v>
      </c>
      <c r="C4" s="259" t="s">
        <v>3043</v>
      </c>
      <c r="D4" s="259" t="s">
        <v>3049</v>
      </c>
      <c r="E4" s="3300" t="s">
        <v>301</v>
      </c>
      <c r="F4" s="3301"/>
      <c r="G4" s="3301"/>
      <c r="H4" s="3301"/>
      <c r="I4" s="3330"/>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99" t="s">
        <v>302</v>
      </c>
      <c r="B5" s="3325">
        <v>25</v>
      </c>
      <c r="C5" s="3323"/>
      <c r="D5" s="3327"/>
      <c r="E5" s="260" t="s">
        <v>303</v>
      </c>
      <c r="F5" s="261"/>
      <c r="G5" s="261"/>
      <c r="H5" s="261"/>
      <c r="I5" s="262"/>
      <c r="J5" s="2013"/>
      <c r="K5" s="2012"/>
      <c r="L5" s="2012"/>
      <c r="M5" s="2012"/>
      <c r="N5" s="2012"/>
      <c r="O5" s="2012"/>
      <c r="P5" s="2012"/>
      <c r="Q5" s="2012"/>
      <c r="R5" s="2012"/>
      <c r="S5" s="2012"/>
      <c r="T5" s="2012"/>
      <c r="U5" s="2012"/>
      <c r="V5" s="2012"/>
    </row>
    <row r="6" spans="1:22" ht="14.25">
      <c r="A6" s="3299"/>
      <c r="B6" s="3325"/>
      <c r="C6" s="3326"/>
      <c r="D6" s="3327"/>
      <c r="E6" s="260" t="s">
        <v>304</v>
      </c>
      <c r="F6" s="261"/>
      <c r="G6" s="261"/>
      <c r="H6" s="261"/>
      <c r="I6" s="262"/>
      <c r="J6" s="2013"/>
      <c r="K6" s="2012"/>
      <c r="L6" s="2012"/>
      <c r="M6" s="2012"/>
      <c r="N6" s="2012"/>
      <c r="O6" s="2012"/>
      <c r="P6" s="2012"/>
      <c r="Q6" s="2012"/>
      <c r="R6" s="2012"/>
      <c r="S6" s="2012"/>
      <c r="T6" s="2012"/>
      <c r="U6" s="2012"/>
      <c r="V6" s="2012"/>
    </row>
    <row r="7" spans="1:22" ht="14.25">
      <c r="A7" s="3299"/>
      <c r="B7" s="3325"/>
      <c r="C7" s="3324"/>
      <c r="D7" s="3327"/>
      <c r="E7" s="260" t="s">
        <v>305</v>
      </c>
      <c r="F7" s="261"/>
      <c r="G7" s="261"/>
      <c r="H7" s="261"/>
      <c r="I7" s="262"/>
      <c r="J7" s="2013"/>
      <c r="K7" s="2012"/>
      <c r="L7" s="2012"/>
      <c r="M7" s="2012"/>
      <c r="N7" s="2012"/>
      <c r="O7" s="2012"/>
      <c r="P7" s="2012"/>
      <c r="Q7" s="2012"/>
      <c r="R7" s="2012"/>
      <c r="S7" s="2012"/>
      <c r="T7" s="2012"/>
      <c r="U7" s="2012"/>
      <c r="V7" s="2012"/>
    </row>
    <row r="8" spans="1:22" ht="14.25">
      <c r="A8" s="3299" t="s">
        <v>306</v>
      </c>
      <c r="B8" s="3325">
        <v>15</v>
      </c>
      <c r="C8" s="3323"/>
      <c r="D8" s="3327"/>
      <c r="E8" s="260" t="s">
        <v>307</v>
      </c>
      <c r="F8" s="261"/>
      <c r="G8" s="261"/>
      <c r="H8" s="261"/>
      <c r="I8" s="262"/>
      <c r="J8" s="2013"/>
      <c r="K8" s="2012"/>
      <c r="L8" s="2012"/>
      <c r="M8" s="2012"/>
      <c r="N8" s="2012"/>
      <c r="O8" s="2012"/>
      <c r="P8" s="2012"/>
      <c r="Q8" s="2012"/>
      <c r="R8" s="2012"/>
      <c r="S8" s="2012"/>
      <c r="T8" s="2012"/>
      <c r="U8" s="2012"/>
      <c r="V8" s="2012"/>
    </row>
    <row r="9" spans="1:22" ht="14.25">
      <c r="A9" s="3299"/>
      <c r="B9" s="3325"/>
      <c r="C9" s="3324"/>
      <c r="D9" s="3327"/>
      <c r="E9" s="260" t="s">
        <v>308</v>
      </c>
      <c r="F9" s="261"/>
      <c r="G9" s="261"/>
      <c r="H9" s="261"/>
      <c r="I9" s="262"/>
      <c r="J9" s="2013"/>
      <c r="K9" s="2012"/>
      <c r="L9" s="2012"/>
      <c r="M9" s="2012"/>
      <c r="N9" s="2012"/>
      <c r="O9" s="2012"/>
      <c r="P9" s="2012"/>
      <c r="Q9" s="2012"/>
      <c r="R9" s="2012"/>
      <c r="S9" s="2012"/>
      <c r="T9" s="2012"/>
      <c r="U9" s="2012"/>
      <c r="V9" s="2012"/>
    </row>
    <row r="10" spans="1:22" ht="14.25">
      <c r="A10" s="3299" t="s">
        <v>309</v>
      </c>
      <c r="B10" s="3325">
        <v>15</v>
      </c>
      <c r="C10" s="3323"/>
      <c r="D10" s="3327"/>
      <c r="E10" s="260" t="s">
        <v>310</v>
      </c>
      <c r="F10" s="261"/>
      <c r="G10" s="261"/>
      <c r="H10" s="261"/>
      <c r="I10" s="262"/>
      <c r="J10" s="2013"/>
      <c r="K10" s="2012"/>
      <c r="L10" s="2012"/>
      <c r="M10" s="2012"/>
      <c r="N10" s="2012"/>
      <c r="O10" s="2012"/>
      <c r="P10" s="2012"/>
      <c r="Q10" s="2012"/>
      <c r="R10" s="2012"/>
      <c r="S10" s="2012"/>
      <c r="T10" s="2012"/>
      <c r="U10" s="2012"/>
      <c r="V10" s="2012"/>
    </row>
    <row r="11" spans="1:22" ht="14.25">
      <c r="A11" s="3299"/>
      <c r="B11" s="3325"/>
      <c r="C11" s="3324"/>
      <c r="D11" s="3327"/>
      <c r="E11" s="260" t="s">
        <v>311</v>
      </c>
      <c r="F11" s="261"/>
      <c r="G11" s="261"/>
      <c r="H11" s="261"/>
      <c r="I11" s="262"/>
      <c r="J11" s="2013"/>
      <c r="K11" s="2012"/>
      <c r="L11" s="2012"/>
      <c r="M11" s="2012"/>
      <c r="N11" s="2012"/>
      <c r="O11" s="2012"/>
      <c r="P11" s="2012"/>
      <c r="Q11" s="2012"/>
      <c r="R11" s="2012"/>
      <c r="S11" s="2012"/>
      <c r="T11" s="2012"/>
      <c r="U11" s="2012"/>
      <c r="V11" s="2012"/>
    </row>
    <row r="12" spans="1:22" ht="14.25">
      <c r="A12" s="3299" t="s">
        <v>312</v>
      </c>
      <c r="B12" s="3325">
        <v>15</v>
      </c>
      <c r="C12" s="3323"/>
      <c r="D12" s="3327"/>
      <c r="E12" s="260" t="s">
        <v>313</v>
      </c>
      <c r="F12" s="261"/>
      <c r="G12" s="261"/>
      <c r="H12" s="261"/>
      <c r="I12" s="262"/>
      <c r="J12" s="2013"/>
      <c r="K12" s="2012"/>
      <c r="L12" s="2012"/>
      <c r="M12" s="2012"/>
      <c r="N12" s="2012"/>
      <c r="O12" s="2012"/>
      <c r="P12" s="2012"/>
      <c r="Q12" s="2012"/>
      <c r="R12" s="2012"/>
      <c r="S12" s="2012"/>
      <c r="T12" s="2012"/>
      <c r="U12" s="2012"/>
      <c r="V12" s="2012"/>
    </row>
    <row r="13" spans="1:22" ht="14.25">
      <c r="A13" s="3299"/>
      <c r="B13" s="3325"/>
      <c r="C13" s="3324"/>
      <c r="D13" s="3327"/>
      <c r="E13" s="260" t="s">
        <v>314</v>
      </c>
      <c r="F13" s="261"/>
      <c r="G13" s="261"/>
      <c r="H13" s="261"/>
      <c r="I13" s="262"/>
      <c r="J13" s="2013"/>
      <c r="K13" s="2012"/>
      <c r="L13" s="2012"/>
      <c r="M13" s="2012"/>
      <c r="N13" s="2012"/>
      <c r="O13" s="2012"/>
      <c r="P13" s="2012"/>
      <c r="Q13" s="2012"/>
      <c r="R13" s="2012"/>
      <c r="S13" s="2012"/>
      <c r="T13" s="2012"/>
      <c r="U13" s="2012"/>
      <c r="V13" s="2012"/>
    </row>
    <row r="14" spans="1:22" ht="14.25">
      <c r="A14" s="3299" t="s">
        <v>315</v>
      </c>
      <c r="B14" s="3325">
        <v>30</v>
      </c>
      <c r="C14" s="3323">
        <v>3</v>
      </c>
      <c r="D14" s="3327">
        <v>7</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299"/>
      <c r="B15" s="3325"/>
      <c r="C15" s="3326"/>
      <c r="D15" s="3327"/>
      <c r="E15" s="260" t="s">
        <v>317</v>
      </c>
      <c r="F15" s="261"/>
      <c r="G15" s="261"/>
      <c r="H15" s="261"/>
      <c r="I15" s="262"/>
      <c r="J15" s="2013"/>
      <c r="K15" s="2012"/>
      <c r="L15" s="2012"/>
      <c r="M15" s="2012"/>
      <c r="N15" s="2012"/>
      <c r="O15" s="2012"/>
      <c r="P15" s="2012"/>
      <c r="Q15" s="2012"/>
      <c r="R15" s="2012"/>
      <c r="S15" s="2012"/>
      <c r="T15" s="2012"/>
      <c r="U15" s="2012"/>
      <c r="V15" s="2012"/>
    </row>
    <row r="16" spans="1:22" ht="14.25">
      <c r="A16" s="3299"/>
      <c r="B16" s="3325"/>
      <c r="C16" s="3324"/>
      <c r="D16" s="3327"/>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3</v>
      </c>
      <c r="D17" s="264">
        <f>SUM(D5:D16)</f>
        <v>7</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0.3</v>
      </c>
      <c r="D18" s="266">
        <f>1-C18</f>
        <v>0.7</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38139</v>
      </c>
      <c r="D19" s="270">
        <f ca="1">SUMIF(INDIRECT("'"&amp;D4&amp;"'"&amp;"!A:A"),结果表!B19,INDIRECT("'"&amp;D4&amp;"'"&amp;"!B:B"))</f>
        <v>95353</v>
      </c>
      <c r="E19" s="267" t="s">
        <v>323</v>
      </c>
      <c r="F19" s="268" t="s">
        <v>322</v>
      </c>
      <c r="G19" s="271">
        <f ca="1">ROUND(C19*$C$18+D19*$D$18,0)</f>
        <v>78189</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1253</v>
      </c>
      <c r="D20" s="276">
        <f ca="1">SUMIF(INDIRECT("'"&amp;D4&amp;"'"&amp;"!A:A"),结果表!B20,INDIRECT("'"&amp;D4&amp;"'"&amp;"!B:B"))</f>
        <v>3133</v>
      </c>
      <c r="E20" s="273"/>
      <c r="F20" s="274" t="s">
        <v>325</v>
      </c>
      <c r="G20" s="277">
        <f ca="1">ROUND(C20*$C$18+D20*$D$18,0)</f>
        <v>2569</v>
      </c>
      <c r="H20" s="278" t="s">
        <v>326</v>
      </c>
      <c r="I20" s="310"/>
      <c r="J20" s="2012"/>
      <c r="K20" s="2012">
        <f ca="1">G19/'数据-汇总表'!F27</f>
        <v>0.36614524993163078</v>
      </c>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6439</v>
      </c>
      <c r="D21" s="151">
        <f ca="1">SUMIF(INDIRECT("'"&amp;D4&amp;"'"&amp;"!A:A"),结果表!B21,INDIRECT("'"&amp;D4&amp;"'"&amp;"!B:B"))</f>
        <v>16099</v>
      </c>
      <c r="E21" s="273"/>
      <c r="F21" s="279" t="s">
        <v>327</v>
      </c>
      <c r="G21" s="281">
        <f ca="1">ROUND(C21*$C$18+D21*$D$18,0)</f>
        <v>13201</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1.5001442093395214</v>
      </c>
      <c r="E22" s="283"/>
      <c r="F22" s="284"/>
      <c r="G22" s="285">
        <f ca="1">ROUND(G19/('数据-汇总表'!D3/666.67),0)</f>
        <v>880</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5"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06"/>
      <c r="B25" s="1316" t="s">
        <v>331</v>
      </c>
      <c r="C25" s="289">
        <f>IF(B30=0,0,C30)</f>
        <v>0</v>
      </c>
      <c r="D25" s="290"/>
      <c r="E25" s="310"/>
      <c r="F25" s="310"/>
      <c r="G25" s="310"/>
      <c r="H25" s="310"/>
      <c r="I25" s="310"/>
      <c r="J25" s="2012"/>
      <c r="K25" s="1250" t="str">
        <f ca="1">项目基本情况!B16&amp;"国有建设用地使用权价格："&amp;O38&amp;"万元"</f>
        <v>出让国有建设用地使用权价格：78189万元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大写金额：人民币柒亿捌仟壹佰捌拾玖万元整</v>
      </c>
      <c r="L26" s="1247"/>
      <c r="M26" s="1247"/>
      <c r="N26" s="1247"/>
      <c r="O26" s="1246"/>
      <c r="P26" s="2012"/>
      <c r="Q26" s="2012"/>
      <c r="R26" s="2012"/>
      <c r="S26" s="2012"/>
      <c r="T26" s="2012"/>
      <c r="U26" s="2012"/>
      <c r="V26" s="2012"/>
      <c r="W26" s="291"/>
      <c r="X26" s="291"/>
      <c r="Y26" s="291"/>
      <c r="Z26" s="291"/>
    </row>
    <row r="27" spans="1:26" ht="18">
      <c r="A27" s="292"/>
      <c r="B27" s="293"/>
      <c r="C27" s="293"/>
      <c r="D27" s="294">
        <f ca="1">G19/'剩余法-待开发'!C6</f>
        <v>0.28336753369639683</v>
      </c>
      <c r="E27" s="310"/>
      <c r="F27" s="310"/>
      <c r="G27" s="310"/>
      <c r="H27" s="310"/>
      <c r="I27" s="310"/>
      <c r="J27" s="2012"/>
      <c r="K27" s="1253" t="str">
        <f ca="1">"单位面积地价："&amp;M38&amp;"元/平方米"</f>
        <v>单位面积地价：13201元/平方米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楼面地价：2569元/平方米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抵押价格：78189万元</v>
      </c>
      <c r="L29" s="1247"/>
      <c r="M29" s="1247"/>
      <c r="N29" s="1247"/>
      <c r="O29" s="1246"/>
      <c r="P29" s="2012"/>
      <c r="V29" s="2012"/>
    </row>
    <row r="30" spans="1:26" ht="18.75" thickBot="1">
      <c r="A30" s="3074" t="s">
        <v>336</v>
      </c>
      <c r="B30" s="308"/>
      <c r="C30" s="308"/>
      <c r="D30" s="309"/>
      <c r="E30" s="3075" t="s">
        <v>2965</v>
      </c>
      <c r="F30" s="310"/>
      <c r="G30" s="310"/>
      <c r="H30" s="310"/>
      <c r="I30" s="310"/>
      <c r="J30" s="2012"/>
      <c r="K30" s="1253" t="str">
        <f ca="1">IF(K29="——","——","大写金额：人民币"&amp;NUMBERSTRING(INT(O39*10000),2)&amp;"元整")</f>
        <v>大写金额：人民币柒亿捌仟壹佰捌拾玖万元整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78189</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2569</v>
      </c>
      <c r="D33" s="1380" t="s">
        <v>1691</v>
      </c>
      <c r="E33" s="3305"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13201</v>
      </c>
      <c r="D34" s="1382" t="s">
        <v>1691</v>
      </c>
      <c r="E34" s="3346"/>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880</v>
      </c>
      <c r="D35" s="1385" t="s">
        <v>1693</v>
      </c>
      <c r="E35" s="3347"/>
      <c r="F35" s="300" t="s">
        <v>342</v>
      </c>
      <c r="G35" s="981"/>
      <c r="H35" s="980" t="s">
        <v>343</v>
      </c>
      <c r="I35" s="310"/>
      <c r="J35" s="2012"/>
      <c r="K35" s="3320" t="s">
        <v>350</v>
      </c>
      <c r="L35" s="3320" t="s">
        <v>351</v>
      </c>
      <c r="M35" s="1259" t="s">
        <v>352</v>
      </c>
      <c r="N35" s="3320" t="s">
        <v>353</v>
      </c>
      <c r="O35" s="3320" t="s">
        <v>354</v>
      </c>
      <c r="P35" s="2012"/>
      <c r="V35" s="2012"/>
    </row>
    <row r="36" spans="1:26" ht="16.5" customHeight="1">
      <c r="A36" s="302" t="s">
        <v>344</v>
      </c>
      <c r="B36" s="303" t="s">
        <v>333</v>
      </c>
      <c r="C36" s="304" t="s">
        <v>345</v>
      </c>
      <c r="D36" s="304" t="s">
        <v>346</v>
      </c>
      <c r="E36" s="305" t="s">
        <v>347</v>
      </c>
      <c r="F36" s="310"/>
      <c r="G36" s="310"/>
      <c r="H36" s="310"/>
      <c r="I36" s="310"/>
      <c r="J36" s="2014"/>
      <c r="K36" s="3321"/>
      <c r="L36" s="3321"/>
      <c r="M36" s="1261" t="s">
        <v>355</v>
      </c>
      <c r="N36" s="3321"/>
      <c r="O36" s="3321"/>
      <c r="P36" s="2012"/>
      <c r="V36" s="2012"/>
    </row>
    <row r="37" spans="1:26" ht="16.5" customHeight="1" thickBot="1">
      <c r="A37" s="1255" t="s">
        <v>348</v>
      </c>
      <c r="B37" s="306"/>
      <c r="C37" s="293"/>
      <c r="D37" s="293"/>
      <c r="E37" s="294"/>
      <c r="F37" s="310"/>
      <c r="G37" s="310"/>
      <c r="H37" s="310"/>
      <c r="I37" s="310"/>
      <c r="J37" s="2014"/>
      <c r="K37" s="3322"/>
      <c r="L37" s="3322"/>
      <c r="M37" s="1262"/>
      <c r="N37" s="3322"/>
      <c r="O37" s="3322"/>
      <c r="P37" s="2012"/>
      <c r="V37" s="2012"/>
    </row>
    <row r="38" spans="1:26" ht="16.5" customHeight="1" thickBot="1">
      <c r="A38" s="1255" t="s">
        <v>349</v>
      </c>
      <c r="B38" s="306"/>
      <c r="C38" s="293"/>
      <c r="D38" s="293"/>
      <c r="E38" s="294"/>
      <c r="F38" s="310"/>
      <c r="G38" s="310"/>
      <c r="H38" s="310"/>
      <c r="I38" s="310"/>
      <c r="J38" s="2014"/>
      <c r="K38" s="1263">
        <f>'数据-汇总表'!D3</f>
        <v>59228</v>
      </c>
      <c r="L38" s="1264">
        <f>'数据-汇总表'!E3</f>
        <v>304328.8</v>
      </c>
      <c r="M38" s="1264">
        <f ca="1">C34</f>
        <v>13201</v>
      </c>
      <c r="N38" s="1264">
        <f ca="1">C33</f>
        <v>2569</v>
      </c>
      <c r="O38" s="1265">
        <f ca="1">C32</f>
        <v>78189</v>
      </c>
      <c r="P38" s="2012"/>
      <c r="V38" s="2012"/>
    </row>
    <row r="39" spans="1:26" ht="16.5" customHeight="1" thickBot="1">
      <c r="A39" s="1260"/>
      <c r="B39" s="307"/>
      <c r="C39" s="308"/>
      <c r="D39" s="308"/>
      <c r="E39" s="309"/>
      <c r="F39" s="310"/>
      <c r="G39" s="310"/>
      <c r="H39" s="310"/>
      <c r="I39" s="310"/>
      <c r="J39" s="2014"/>
      <c r="K39" s="3365" t="str">
        <f>MID(A44,3,LEN(A44)-2)</f>
        <v>抵押价格</v>
      </c>
      <c r="L39" s="3366"/>
      <c r="M39" s="3366"/>
      <c r="N39" s="3367"/>
      <c r="O39" s="1387">
        <f ca="1">C44</f>
        <v>78189</v>
      </c>
      <c r="P39" s="2012"/>
      <c r="V39" s="2012"/>
    </row>
    <row r="40" spans="1:26" ht="19.5" thickBot="1">
      <c r="A40" s="104" t="s">
        <v>873</v>
      </c>
      <c r="B40" s="310"/>
      <c r="C40" s="310"/>
      <c r="D40" s="310"/>
      <c r="E40" s="310"/>
      <c r="F40" s="310"/>
      <c r="G40" s="310"/>
      <c r="H40" s="310"/>
      <c r="I40" s="310"/>
      <c r="J40" s="2014"/>
      <c r="K40" s="3365" t="str">
        <f t="shared" ref="K40:K41" si="0">MID(A45,3,LEN(A45)-2)</f>
        <v/>
      </c>
      <c r="L40" s="3366"/>
      <c r="M40" s="3366"/>
      <c r="N40" s="3367"/>
      <c r="O40" s="1387" t="str">
        <f>C45</f>
        <v>——</v>
      </c>
      <c r="P40" s="2012"/>
      <c r="V40" s="2012"/>
    </row>
    <row r="41" spans="1:26" ht="16.5" thickBot="1">
      <c r="A41" s="311" t="s">
        <v>356</v>
      </c>
      <c r="B41" s="312"/>
      <c r="C41" s="313" t="s">
        <v>357</v>
      </c>
      <c r="D41" s="314" t="s">
        <v>358</v>
      </c>
      <c r="E41" s="314" t="s">
        <v>359</v>
      </c>
      <c r="F41" s="315" t="s">
        <v>360</v>
      </c>
      <c r="G41" s="310"/>
      <c r="H41" s="310"/>
      <c r="I41" s="310"/>
      <c r="J41" s="2014"/>
      <c r="K41" s="3365" t="str">
        <f t="shared" si="0"/>
        <v/>
      </c>
      <c r="L41" s="3366"/>
      <c r="M41" s="3366"/>
      <c r="N41" s="3367"/>
      <c r="O41" s="1387" t="str">
        <f>C46</f>
        <v>——</v>
      </c>
      <c r="P41" s="2012"/>
      <c r="V41" s="2012"/>
    </row>
    <row r="42" spans="1:26" ht="29.25">
      <c r="A42" s="3307" t="s">
        <v>2067</v>
      </c>
      <c r="B42" s="3308"/>
      <c r="C42" s="263">
        <f ca="1">C32</f>
        <v>78189</v>
      </c>
      <c r="D42" s="316">
        <f ca="1">C33</f>
        <v>2569</v>
      </c>
      <c r="E42" s="316">
        <f ca="1">C34</f>
        <v>13201</v>
      </c>
      <c r="F42" s="317">
        <f ca="1">C35</f>
        <v>880</v>
      </c>
      <c r="G42" s="310"/>
      <c r="H42" s="310"/>
      <c r="I42" s="318"/>
      <c r="J42" s="2014"/>
      <c r="K42" s="1266" t="s">
        <v>361</v>
      </c>
      <c r="L42" s="2031" t="s">
        <v>362</v>
      </c>
      <c r="M42" s="1267" t="s">
        <v>363</v>
      </c>
      <c r="N42" s="2032" t="s">
        <v>364</v>
      </c>
      <c r="O42" s="2033" t="s">
        <v>365</v>
      </c>
      <c r="P42" s="2012"/>
      <c r="V42" s="2012"/>
    </row>
    <row r="43" spans="1:26" ht="30">
      <c r="A43" s="3318" t="s">
        <v>2730</v>
      </c>
      <c r="B43" s="3319"/>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38139</v>
      </c>
      <c r="M43" s="1270">
        <f>C18</f>
        <v>0.3</v>
      </c>
      <c r="N43" s="1271">
        <f ca="1">IF(N42="测算结果/万元",G19,G20)</f>
        <v>78189</v>
      </c>
      <c r="O43" s="1272">
        <f ca="1">IF(O42="最终结果/万元",C32,C33)</f>
        <v>78189</v>
      </c>
      <c r="P43" s="2012"/>
      <c r="V43" s="2012"/>
    </row>
    <row r="44" spans="1:26" ht="30.75" thickBot="1">
      <c r="A44" s="3307" t="str">
        <f>IF(OR(项目基本情况!E8="抵押价格",项目基本情况!E8="已注销及未注销"),"3.抵押价格","——")</f>
        <v>3.抵押价格</v>
      </c>
      <c r="B44" s="3308"/>
      <c r="C44" s="263">
        <f ca="1">IF(A44="——","——",C42-C43)</f>
        <v>78189</v>
      </c>
      <c r="D44" s="316">
        <f ca="1">ROUND(C44*10000/'数据-汇总表'!E3,0)</f>
        <v>2569</v>
      </c>
      <c r="E44" s="316">
        <f ca="1">ROUND(C44*10000/'数据-汇总表'!D3,0)</f>
        <v>13201</v>
      </c>
      <c r="F44" s="317">
        <f ca="1">ROUND(C44/('数据-汇总表'!D3/666.67),0)</f>
        <v>880</v>
      </c>
      <c r="G44" s="310"/>
      <c r="H44" s="310"/>
      <c r="I44" s="318"/>
      <c r="J44" s="2014"/>
      <c r="K44" s="1273" t="str">
        <f>D4</f>
        <v>剩余法-待开发</v>
      </c>
      <c r="L44" s="1274">
        <f ca="1">IF(L42="估价结果/万元",D19,D20)</f>
        <v>95353</v>
      </c>
      <c r="M44" s="1275">
        <f>D18</f>
        <v>0.7</v>
      </c>
      <c r="N44" s="1276"/>
      <c r="O44" s="1277"/>
      <c r="P44" s="2012"/>
      <c r="V44" s="2012"/>
    </row>
    <row r="45" spans="1:26" ht="15">
      <c r="A45" s="3313" t="str">
        <f>IF(项目基本情况!E8="已注销及未注销","4.抵押担保权已注销时的抵押价格",IF(项目基本情况!E8="已注销","3.抵押担保权已注销时的抵押价格","——"))</f>
        <v>——</v>
      </c>
      <c r="B45" s="3314"/>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09" t="str">
        <f>IF(项目基本情况!E9="抵押净值",IF(A45="——","4.抵押净值","5.抵押净值"),"——")</f>
        <v>——</v>
      </c>
      <c r="B46" s="3310"/>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54" t="s">
        <v>374</v>
      </c>
      <c r="B63" s="3355"/>
      <c r="C63" s="3356"/>
      <c r="D63" s="340">
        <f ca="1">ROUND(C42*F63,0)</f>
        <v>46913</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15" t="s">
        <v>378</v>
      </c>
      <c r="B64" s="3316"/>
      <c r="C64" s="3316"/>
      <c r="D64" s="3316"/>
      <c r="E64" s="3316"/>
      <c r="F64" s="3316"/>
      <c r="G64" s="3317"/>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311" t="s">
        <v>386</v>
      </c>
      <c r="B66" s="3312"/>
      <c r="C66" s="3312"/>
      <c r="D66" s="260">
        <f ca="1">IF(H66="情况1",0,IF(H66="情况2",D70,IF(H66="情况3",D71,IF(H66="情况4",D72))))</f>
        <v>2502</v>
      </c>
      <c r="E66" s="992" t="str">
        <f>IF(H66="情况4","(销售额-原购置价)×税（费）率","销售额×税（费）率")</f>
        <v>销售额×税（费）率</v>
      </c>
      <c r="F66" s="349">
        <f>IF(H66="情况1","免征",'数据-取费表'!B41)</f>
        <v>5.6000000000000001E-2</v>
      </c>
      <c r="G66" s="350" t="s">
        <v>387</v>
      </c>
      <c r="H66" s="191" t="s">
        <v>388</v>
      </c>
      <c r="I66" s="1283"/>
      <c r="J66" s="2018"/>
      <c r="K66" s="1286">
        <v>1</v>
      </c>
      <c r="L66" s="3369" t="s">
        <v>385</v>
      </c>
      <c r="M66" s="3370"/>
      <c r="N66" s="2421"/>
      <c r="O66" s="2422"/>
      <c r="P66" s="2423"/>
      <c r="Q66" s="2012"/>
      <c r="R66" s="2012"/>
      <c r="S66" s="2012"/>
      <c r="T66" s="2012"/>
      <c r="U66" s="2012"/>
      <c r="V66" s="2012"/>
    </row>
    <row r="67" spans="1:22" ht="25.5" customHeight="1">
      <c r="A67" s="351" t="s">
        <v>390</v>
      </c>
      <c r="B67" s="3302" t="s">
        <v>391</v>
      </c>
      <c r="C67" s="3302"/>
      <c r="D67" s="352">
        <v>0</v>
      </c>
      <c r="E67" s="41" t="s">
        <v>392</v>
      </c>
      <c r="F67" s="62" t="s">
        <v>21</v>
      </c>
      <c r="G67" s="3357"/>
      <c r="H67" s="310"/>
      <c r="I67" s="1287"/>
      <c r="J67" s="2019"/>
      <c r="K67" s="1960">
        <v>2</v>
      </c>
      <c r="L67" s="3368" t="s">
        <v>389</v>
      </c>
      <c r="M67" s="3368"/>
      <c r="N67" s="1320">
        <f>'数据-取费表'!B2</f>
        <v>43782</v>
      </c>
      <c r="O67" s="1320"/>
      <c r="P67" s="1320"/>
      <c r="Q67" s="2012"/>
      <c r="R67" s="2012"/>
      <c r="S67" s="2012"/>
      <c r="T67" s="2012"/>
      <c r="U67" s="2012"/>
      <c r="V67" s="2012"/>
    </row>
    <row r="68" spans="1:22" ht="25.5" customHeight="1">
      <c r="A68" s="353"/>
      <c r="B68" s="3302" t="s">
        <v>394</v>
      </c>
      <c r="C68" s="3302"/>
      <c r="D68" s="354"/>
      <c r="E68" s="77"/>
      <c r="F68" s="355"/>
      <c r="G68" s="3358"/>
      <c r="H68" s="310"/>
      <c r="I68" s="1287"/>
      <c r="J68" s="2019"/>
      <c r="K68" s="1960">
        <v>3</v>
      </c>
      <c r="L68" s="3368" t="s">
        <v>393</v>
      </c>
      <c r="M68" s="3368"/>
      <c r="N68" s="1288">
        <f ca="1">C42</f>
        <v>78189</v>
      </c>
      <c r="O68" s="1288"/>
      <c r="P68" s="1288"/>
      <c r="Q68" s="2012"/>
      <c r="R68" s="2012"/>
      <c r="S68" s="2012"/>
      <c r="T68" s="2012"/>
      <c r="U68" s="2012"/>
      <c r="V68" s="2012"/>
    </row>
    <row r="69" spans="1:22" ht="12" customHeight="1">
      <c r="A69" s="356"/>
      <c r="B69" s="3302" t="s">
        <v>395</v>
      </c>
      <c r="C69" s="3302"/>
      <c r="D69" s="357"/>
      <c r="E69" s="73"/>
      <c r="F69" s="355"/>
      <c r="G69" s="3359"/>
      <c r="H69" s="310"/>
      <c r="I69" s="1287"/>
      <c r="J69" s="2019"/>
      <c r="K69" s="1289">
        <v>4</v>
      </c>
      <c r="L69" s="3373" t="s">
        <v>2883</v>
      </c>
      <c r="M69" s="3374"/>
      <c r="N69" s="1290">
        <f ca="1">C44</f>
        <v>78189</v>
      </c>
      <c r="O69" s="1290"/>
      <c r="P69" s="1290"/>
      <c r="Q69" s="2012"/>
      <c r="R69" s="2012"/>
      <c r="S69" s="2012"/>
      <c r="T69" s="2012"/>
      <c r="U69" s="2012"/>
      <c r="V69" s="2012"/>
    </row>
    <row r="70" spans="1:22" ht="24" customHeight="1">
      <c r="A70" s="358" t="s">
        <v>396</v>
      </c>
      <c r="B70" s="3302" t="s">
        <v>397</v>
      </c>
      <c r="C70" s="3302"/>
      <c r="D70" s="357">
        <f ca="1">ROUND(D63*'数据-取费表'!B41/(1+'数据-取费表'!C42),0)</f>
        <v>2502</v>
      </c>
      <c r="E70" s="17" t="s">
        <v>398</v>
      </c>
      <c r="F70" s="359">
        <f>'数据-取费表'!B41</f>
        <v>5.6000000000000001E-2</v>
      </c>
      <c r="G70" s="360"/>
      <c r="H70" s="310"/>
      <c r="I70" s="1287"/>
      <c r="J70" s="2019"/>
      <c r="K70" s="3009"/>
      <c r="L70" s="3010"/>
      <c r="M70" s="3010"/>
      <c r="N70" s="3011" t="s">
        <v>2888</v>
      </c>
      <c r="O70" s="3010"/>
      <c r="P70" s="3012"/>
      <c r="Q70" s="2012"/>
      <c r="R70" s="2012"/>
      <c r="S70" s="2012"/>
      <c r="T70" s="2012"/>
      <c r="U70" s="2012"/>
      <c r="V70" s="2012"/>
    </row>
    <row r="71" spans="1:22" ht="12" customHeight="1">
      <c r="A71" s="358" t="s">
        <v>404</v>
      </c>
      <c r="B71" s="3303" t="s">
        <v>405</v>
      </c>
      <c r="C71" s="3304"/>
      <c r="D71" s="357">
        <f ca="1">ROUND(D63*'数据-取费表'!B41/(1+'数据-取费表'!C42),0)</f>
        <v>2502</v>
      </c>
      <c r="E71" s="17" t="s">
        <v>398</v>
      </c>
      <c r="F71" s="359">
        <f>'数据-取费表'!B41</f>
        <v>5.6000000000000001E-2</v>
      </c>
      <c r="G71" s="360"/>
      <c r="H71" s="310"/>
      <c r="I71" s="1287"/>
      <c r="J71" s="2019"/>
      <c r="K71" s="3008" t="s">
        <v>399</v>
      </c>
      <c r="L71" s="3375" t="s">
        <v>400</v>
      </c>
      <c r="M71" s="3375"/>
      <c r="N71" s="3008" t="s">
        <v>401</v>
      </c>
      <c r="O71" s="3008" t="s">
        <v>402</v>
      </c>
      <c r="P71" s="3008" t="s">
        <v>403</v>
      </c>
      <c r="Q71" s="2012"/>
      <c r="R71" s="2012"/>
      <c r="S71" s="2012"/>
      <c r="T71" s="2012"/>
      <c r="U71" s="2012"/>
      <c r="V71" s="2012"/>
    </row>
    <row r="72" spans="1:22" ht="12" customHeight="1">
      <c r="A72" s="358" t="s">
        <v>407</v>
      </c>
      <c r="B72" s="3303" t="s">
        <v>408</v>
      </c>
      <c r="C72" s="3304"/>
      <c r="D72" s="357">
        <f ca="1">C86</f>
        <v>2390</v>
      </c>
      <c r="E72" s="73" t="s">
        <v>409</v>
      </c>
      <c r="F72" s="359">
        <f>'数据-取费表'!B41</f>
        <v>5.6000000000000001E-2</v>
      </c>
      <c r="G72" s="360"/>
      <c r="H72" s="1293"/>
      <c r="I72" s="1287"/>
      <c r="J72" s="2019"/>
      <c r="K72" s="1960">
        <v>1</v>
      </c>
      <c r="L72" s="3350" t="s">
        <v>406</v>
      </c>
      <c r="M72" s="3350"/>
      <c r="N72" s="1291">
        <f ca="1">D66</f>
        <v>2502</v>
      </c>
      <c r="O72" s="1843" t="str">
        <f>E66</f>
        <v>销售额×税（费）率</v>
      </c>
      <c r="P72" s="1292">
        <f>F66</f>
        <v>5.6000000000000001E-2</v>
      </c>
      <c r="Q72" s="2012"/>
      <c r="R72" s="2012"/>
      <c r="S72" s="2012"/>
      <c r="T72" s="2012"/>
      <c r="U72" s="2012"/>
      <c r="V72" s="2012"/>
    </row>
    <row r="73" spans="1:22" ht="24" customHeight="1">
      <c r="A73" s="3344" t="s">
        <v>411</v>
      </c>
      <c r="B73" s="3312"/>
      <c r="C73" s="3312"/>
      <c r="D73" s="361">
        <f>IF(H73="个人住宅",0,ROUND(D63*I73,0))</f>
        <v>0</v>
      </c>
      <c r="E73" s="17" t="s">
        <v>412</v>
      </c>
      <c r="F73" s="359" t="str">
        <f>IF(H73="正常",I73,"免征")</f>
        <v>免征</v>
      </c>
      <c r="G73" s="360"/>
      <c r="H73" s="191" t="s">
        <v>2455</v>
      </c>
      <c r="I73" s="359">
        <f>'数据-取费表'!B49</f>
        <v>5.0000000000000001E-4</v>
      </c>
      <c r="J73" s="2019"/>
      <c r="K73" s="1960">
        <v>2</v>
      </c>
      <c r="L73" s="3350" t="s">
        <v>410</v>
      </c>
      <c r="M73" s="3350"/>
      <c r="N73" s="1291">
        <f t="shared" ref="N73:P74" si="1">D73</f>
        <v>0</v>
      </c>
      <c r="O73" s="1843" t="str">
        <f t="shared" si="1"/>
        <v>销售额×税（费）率</v>
      </c>
      <c r="P73" s="1292" t="str">
        <f t="shared" si="1"/>
        <v>免征</v>
      </c>
      <c r="Q73" s="2012"/>
      <c r="R73" s="2012"/>
      <c r="S73" s="2012"/>
      <c r="T73" s="2012"/>
      <c r="U73" s="2012"/>
      <c r="V73" s="2012"/>
    </row>
    <row r="74" spans="1:22" ht="24.75">
      <c r="A74" s="3344" t="s">
        <v>415</v>
      </c>
      <c r="B74" s="3312"/>
      <c r="C74" s="3312"/>
      <c r="D74" s="361">
        <f ca="1">IF(H74="个人住宅",D75,D76)</f>
        <v>25897</v>
      </c>
      <c r="E74" s="17" t="s">
        <v>416</v>
      </c>
      <c r="F74" s="359" t="str">
        <f>IF(H74="正常",F76,"免征")</f>
        <v>——</v>
      </c>
      <c r="G74" s="982" t="s">
        <v>417</v>
      </c>
      <c r="H74" s="362" t="s">
        <v>413</v>
      </c>
      <c r="I74" s="42"/>
      <c r="J74" s="2019"/>
      <c r="K74" s="1960">
        <v>3</v>
      </c>
      <c r="L74" s="3350" t="s">
        <v>414</v>
      </c>
      <c r="M74" s="3350"/>
      <c r="N74" s="1291">
        <f t="shared" ca="1" si="1"/>
        <v>25897</v>
      </c>
      <c r="O74" s="1843" t="str">
        <f t="shared" si="1"/>
        <v>增值额×税（费）率</v>
      </c>
      <c r="P74" s="1294" t="str">
        <f t="shared" si="1"/>
        <v>——</v>
      </c>
      <c r="Q74" s="2012"/>
      <c r="R74" s="2012"/>
      <c r="S74" s="2012"/>
      <c r="T74" s="2012"/>
      <c r="U74" s="2012"/>
      <c r="V74" s="2012"/>
    </row>
    <row r="75" spans="1:22" ht="24">
      <c r="A75" s="358" t="s">
        <v>418</v>
      </c>
      <c r="B75" s="3300" t="s">
        <v>419</v>
      </c>
      <c r="C75" s="3330"/>
      <c r="D75" s="363">
        <v>0</v>
      </c>
      <c r="E75" s="41" t="s">
        <v>420</v>
      </c>
      <c r="F75" s="364"/>
      <c r="G75" s="360"/>
      <c r="H75" s="42"/>
      <c r="I75" s="42"/>
      <c r="J75" s="2019"/>
      <c r="K75" s="3001">
        <f>IF(H77="非个人房产","",4)</f>
        <v>4</v>
      </c>
      <c r="L75" s="3350" t="str">
        <f>IF(H77="非个人房产","——","个人所得税")</f>
        <v>个人所得税</v>
      </c>
      <c r="M75" s="3350"/>
      <c r="N75" s="1295">
        <f ca="1">D77</f>
        <v>469</v>
      </c>
      <c r="O75" s="1856" t="str">
        <f>E77</f>
        <v>销售额×税（费）率</v>
      </c>
      <c r="P75" s="1296">
        <f>F77</f>
        <v>0.01</v>
      </c>
      <c r="Q75" s="2012"/>
      <c r="R75" s="2012"/>
      <c r="S75" s="2012"/>
      <c r="T75" s="2012"/>
      <c r="U75" s="2012"/>
      <c r="V75" s="2012"/>
    </row>
    <row r="76" spans="1:22" ht="24.75">
      <c r="A76" s="358" t="s">
        <v>396</v>
      </c>
      <c r="B76" s="3300" t="s">
        <v>422</v>
      </c>
      <c r="C76" s="3301"/>
      <c r="D76" s="361">
        <f ca="1">IF(H76="转让取得",C99,C115)</f>
        <v>25897</v>
      </c>
      <c r="E76" s="17" t="s">
        <v>423</v>
      </c>
      <c r="F76" s="53" t="s">
        <v>21</v>
      </c>
      <c r="G76" s="360"/>
      <c r="H76" s="362" t="s">
        <v>424</v>
      </c>
      <c r="I76" s="42"/>
      <c r="J76" s="2019"/>
      <c r="K76" s="3001" t="str">
        <f>IF(项目基本情况!K6="上海银行",IF(K75="",4,K75+1),"")</f>
        <v/>
      </c>
      <c r="L76" s="3361" t="str">
        <f>IF(项目基本情况!K6="上海银行","其他处置费用","")</f>
        <v/>
      </c>
      <c r="M76" s="3362"/>
      <c r="N76" s="1291" t="str">
        <f>IF(项目基本情况!K6="上海银行",N89,"")</f>
        <v/>
      </c>
      <c r="O76" s="3363" t="str">
        <f>IF(项目基本情况!K6="上海银行","包含处置中涉及的律师、诉讼、拍卖、评估等费用","")</f>
        <v/>
      </c>
      <c r="P76" s="3364"/>
      <c r="Q76" s="2012"/>
      <c r="R76" s="2012"/>
      <c r="S76" s="2012"/>
      <c r="T76" s="2012"/>
      <c r="U76" s="2012"/>
      <c r="V76" s="2012"/>
    </row>
    <row r="77" spans="1:22" ht="26.25" thickBot="1">
      <c r="A77" s="3352" t="s">
        <v>426</v>
      </c>
      <c r="B77" s="3353"/>
      <c r="C77" s="3353"/>
      <c r="D77" s="365">
        <f ca="1">IF(H77="非个人房产","——",IF(H77="个人住宅",0,ROUND(D63*I77,0)))</f>
        <v>469</v>
      </c>
      <c r="E77" s="366" t="str">
        <f>IF(H77="非个人房产","——","销售额×税（费）率")</f>
        <v>销售额×税（费）率</v>
      </c>
      <c r="F77" s="367">
        <f>IF(H77="非个人房产","——",IF(H77="个人住宅","免征",I77))</f>
        <v>0.01</v>
      </c>
      <c r="G77" s="983" t="s">
        <v>417</v>
      </c>
      <c r="H77" s="362" t="s">
        <v>2884</v>
      </c>
      <c r="I77" s="368">
        <v>0.01</v>
      </c>
      <c r="J77" s="2019"/>
      <c r="K77" s="3351">
        <f>IF(AND(K75="",K76=""),4,IF(项目基本情况!K6="上海银行",K76+1,K75+1))</f>
        <v>5</v>
      </c>
      <c r="L77" s="3350" t="s">
        <v>2885</v>
      </c>
      <c r="M77" s="3007" t="s">
        <v>421</v>
      </c>
      <c r="N77" s="1297"/>
      <c r="O77" s="1298">
        <f ca="1">SUMIF(N72:N76,"&lt;9e307")</f>
        <v>28868</v>
      </c>
      <c r="P77" s="1299"/>
      <c r="Q77" s="3005">
        <f ca="1">O77/N69</f>
        <v>0.3692079448515776</v>
      </c>
      <c r="R77" s="2012"/>
      <c r="S77" s="2012"/>
      <c r="T77" s="2012"/>
      <c r="U77" s="2012"/>
      <c r="V77" s="2012"/>
    </row>
    <row r="78" spans="1:22" ht="12" customHeight="1">
      <c r="A78" s="1300"/>
      <c r="B78" s="310"/>
      <c r="C78" s="310"/>
      <c r="D78" s="310"/>
      <c r="E78" s="42"/>
      <c r="F78" s="42"/>
      <c r="G78" s="42"/>
      <c r="H78" s="1002"/>
      <c r="I78" s="310"/>
      <c r="J78" s="2019"/>
      <c r="K78" s="3351"/>
      <c r="L78" s="3350"/>
      <c r="M78" s="3007" t="s">
        <v>425</v>
      </c>
      <c r="N78" s="1297"/>
      <c r="O78" s="1298" t="str">
        <f ca="1">NUMBERSTRING(INT(O77*10000),2)&amp;"元整"</f>
        <v>贰亿捌仟捌佰陆拾捌万元整</v>
      </c>
      <c r="P78" s="1299"/>
      <c r="Q78" s="2012"/>
      <c r="R78" s="2012"/>
      <c r="S78" s="2012"/>
      <c r="T78" s="2012"/>
      <c r="U78" s="2012"/>
      <c r="V78" s="2012"/>
    </row>
    <row r="79" spans="1:22" ht="13.5" thickBot="1">
      <c r="A79" s="3345" t="s">
        <v>427</v>
      </c>
      <c r="B79" s="3345"/>
      <c r="C79" s="3345"/>
      <c r="D79" s="3345"/>
      <c r="E79" s="3345"/>
      <c r="F79" s="42"/>
      <c r="G79" s="42"/>
      <c r="H79" s="1002"/>
      <c r="I79" s="310"/>
      <c r="J79" s="2019"/>
      <c r="K79" s="3371">
        <f>K77+1</f>
        <v>6</v>
      </c>
      <c r="L79" s="3350" t="s">
        <v>2886</v>
      </c>
      <c r="M79" s="3007" t="s">
        <v>421</v>
      </c>
      <c r="N79" s="1297"/>
      <c r="O79" s="1298">
        <f ca="1">N69-O77</f>
        <v>49321</v>
      </c>
      <c r="P79" s="1299"/>
      <c r="Q79" s="2012"/>
      <c r="R79" s="2012"/>
      <c r="S79" s="2012"/>
      <c r="T79" s="2012"/>
      <c r="U79" s="2012"/>
      <c r="V79" s="2012"/>
    </row>
    <row r="80" spans="1:22" ht="25.5">
      <c r="A80" s="3340" t="s">
        <v>428</v>
      </c>
      <c r="B80" s="3341"/>
      <c r="C80" s="993"/>
      <c r="D80" s="993" t="s">
        <v>429</v>
      </c>
      <c r="E80" s="369" t="s">
        <v>430</v>
      </c>
      <c r="F80" s="42"/>
      <c r="G80" s="42"/>
      <c r="H80" s="1002"/>
      <c r="I80" s="310"/>
      <c r="J80" s="2012"/>
      <c r="K80" s="3372"/>
      <c r="L80" s="3350"/>
      <c r="M80" s="3007" t="s">
        <v>425</v>
      </c>
      <c r="N80" s="1297"/>
      <c r="O80" s="1298" t="str">
        <f ca="1">NUMBERSTRING(INT(O79*10000),2)&amp;"元整"</f>
        <v>肆亿玖仟叁佰贰拾壹万元整</v>
      </c>
      <c r="P80" s="1299"/>
      <c r="Q80" s="2012"/>
      <c r="R80" s="2012"/>
      <c r="S80" s="2012"/>
      <c r="T80" s="2012"/>
      <c r="U80" s="2012"/>
      <c r="V80" s="2012"/>
    </row>
    <row r="81" spans="1:26" ht="13.5" thickBot="1">
      <c r="A81" s="380" t="s">
        <v>1823</v>
      </c>
      <c r="B81" s="370" t="s">
        <v>431</v>
      </c>
      <c r="C81" s="371">
        <f ca="1">ROUND((C82+C83)/(1+'数据-取费表'!C42),0)</f>
        <v>44679</v>
      </c>
      <c r="D81" s="372"/>
      <c r="E81" s="373"/>
      <c r="F81" s="42"/>
      <c r="G81" s="42"/>
      <c r="H81" s="1002"/>
      <c r="I81" s="310"/>
      <c r="J81" s="2012"/>
      <c r="K81" s="3001">
        <f>K79+1</f>
        <v>7</v>
      </c>
      <c r="L81" s="3348" t="s">
        <v>2887</v>
      </c>
      <c r="M81" s="3349"/>
      <c r="N81" s="1301"/>
      <c r="O81" s="1302">
        <f ca="1">ROUND(O79*10000/'数据-汇总表'!E3,0)</f>
        <v>1621</v>
      </c>
      <c r="P81" s="1303"/>
      <c r="Q81" s="2012"/>
      <c r="R81" s="2012"/>
      <c r="S81" s="2012"/>
      <c r="T81" s="2012"/>
      <c r="U81" s="2012"/>
      <c r="V81" s="2012"/>
    </row>
    <row r="82" spans="1:26" ht="13.5" thickTop="1">
      <c r="A82" s="374" t="s">
        <v>1824</v>
      </c>
      <c r="B82" s="375" t="s">
        <v>432</v>
      </c>
      <c r="C82" s="376">
        <f ca="1">D63</f>
        <v>46913</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360" t="s">
        <v>2874</v>
      </c>
      <c r="L83" s="3013" t="s">
        <v>2875</v>
      </c>
      <c r="M83" s="3003">
        <f ca="1">IF(N69&gt;10000,N69*0.5%,IF(AND(N69&gt;1000,N69&lt;=10000),N69*1%,IF(AND(N69&gt;100,N69&lt;=1000),N69*3%,IF(AND(N69&gt;10,N69&lt;=100),N69*5%,N69*8%))))</f>
        <v>390.94499999999999</v>
      </c>
      <c r="N83" s="53">
        <f ca="1">ROUND(M83,1)</f>
        <v>390.9</v>
      </c>
      <c r="O83" s="3006"/>
      <c r="P83" s="2012"/>
      <c r="Q83" s="2012"/>
      <c r="R83" s="2012"/>
      <c r="S83" s="2012"/>
      <c r="T83" s="2012"/>
      <c r="U83" s="2012"/>
      <c r="V83" s="2012"/>
    </row>
    <row r="84" spans="1:26" ht="12.75">
      <c r="A84" s="380" t="s">
        <v>1826</v>
      </c>
      <c r="B84" s="381" t="s">
        <v>434</v>
      </c>
      <c r="C84" s="382">
        <v>2000</v>
      </c>
      <c r="D84" s="383" t="s">
        <v>19</v>
      </c>
      <c r="E84" s="3045" t="s">
        <v>2938</v>
      </c>
      <c r="F84" s="42"/>
      <c r="G84" s="42"/>
      <c r="H84" s="1002"/>
      <c r="I84" s="310"/>
      <c r="J84" s="2012"/>
      <c r="K84" s="3360"/>
      <c r="L84" s="3013" t="s">
        <v>2876</v>
      </c>
      <c r="M84" s="3003">
        <f ca="1">IF(N69&gt;2000,N69*0.5%,IF(AND(N69&gt;1000,N69&lt;=2000),N69*0.6%,IF(AND(N69&gt;500,N69&lt;=1000),N69*0.7%,IF(AND(N69&gt;200,N69&lt;=500),N69*0.8%,IF(AND(N69&gt;100,N69&lt;=200),N69*0.9%,IF(AND(N69&gt;50,N69&lt;=100),N69*1%,IF(AND(N69&gt;20,N69&lt;=50),N69*1.5%,IF(AND(N69&gt;10,N69&lt;=20),N69*2%,IF(AND(N69&gt;1,N69&lt;=10),N69*2.5%)))))))))</f>
        <v>390.94499999999999</v>
      </c>
      <c r="N84" s="53">
        <f t="shared" ref="N84:N85" ca="1" si="2">ROUND(M84,1)</f>
        <v>390.9</v>
      </c>
      <c r="O84" s="2012" t="s">
        <v>2877</v>
      </c>
      <c r="P84" s="2012"/>
      <c r="Q84" s="2012"/>
      <c r="R84" s="2012"/>
      <c r="S84" s="2012"/>
      <c r="T84" s="2012"/>
      <c r="U84" s="2012"/>
      <c r="V84" s="2012"/>
    </row>
    <row r="85" spans="1:26" ht="12.75">
      <c r="A85" s="380" t="s">
        <v>1827</v>
      </c>
      <c r="B85" s="381" t="s">
        <v>435</v>
      </c>
      <c r="C85" s="384">
        <f ca="1">C81-C84</f>
        <v>42679</v>
      </c>
      <c r="D85" s="377" t="s">
        <v>19</v>
      </c>
      <c r="E85" s="378"/>
      <c r="F85" s="42"/>
      <c r="G85" s="42"/>
      <c r="H85" s="1002"/>
      <c r="I85" s="310"/>
      <c r="J85" s="2012"/>
      <c r="K85" s="3360"/>
      <c r="L85" s="3013" t="s">
        <v>2878</v>
      </c>
      <c r="M85" s="3003">
        <f ca="1">IF(N69&gt;1000,N69*0.1%,IF(AND(N69&gt;500,N69&lt;=1000),N69*0.5%,IF(AND(N69&gt;50,N69&lt;=500),N69*1%,IF(AND(N69&gt;1,N69&lt;=50),N69*1.5%))))</f>
        <v>78.189000000000007</v>
      </c>
      <c r="N85" s="53">
        <f t="shared" ca="1" si="2"/>
        <v>78.2</v>
      </c>
      <c r="O85" s="2012" t="s">
        <v>2877</v>
      </c>
      <c r="P85" s="2012"/>
      <c r="Q85" s="2012"/>
      <c r="R85" s="2012"/>
      <c r="S85" s="2012"/>
      <c r="T85" s="2012"/>
      <c r="U85" s="2012"/>
      <c r="V85" s="2012"/>
    </row>
    <row r="86" spans="1:26" ht="13.5" thickBot="1">
      <c r="A86" s="385" t="s">
        <v>1828</v>
      </c>
      <c r="B86" s="386" t="s">
        <v>436</v>
      </c>
      <c r="C86" s="387">
        <f ca="1">IF(C85&lt;=0,0,ROUND(C85*D86,0))</f>
        <v>2390</v>
      </c>
      <c r="D86" s="388">
        <f>'数据-取费表'!B41</f>
        <v>5.6000000000000001E-2</v>
      </c>
      <c r="E86" s="389"/>
      <c r="F86" s="42"/>
      <c r="G86" s="42"/>
      <c r="H86" s="1002"/>
      <c r="I86" s="310"/>
      <c r="J86" s="2012"/>
      <c r="K86" s="3360"/>
      <c r="L86" s="3013" t="s">
        <v>2879</v>
      </c>
      <c r="M86" s="3003">
        <f ca="1">N69*0.5%</f>
        <v>390.94499999999999</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60"/>
      <c r="L87" s="3013" t="s">
        <v>2881</v>
      </c>
      <c r="M87" s="3003">
        <f ca="1">IF(N69&gt;=10000,(8.25+(N69-10000)*0.01%),IF(AND(N69&gt;=8000,N69&lt;10000),(7.85+(N69-8000)*0.02%),IF(AND(N69&gt;=5000,N69&lt;8000),(6.65+(N69-5000)*0.04%),IF(AND(N69&gt;=2000,N69&lt;5000),(4.25+(PN69-2000)*0.08%),IF(AND(N69&gt;=1000,N69&lt;2000),(2.75+(N69-1000)*0.15%),IF(AND(N69&gt;=100,N69&lt;1000),(0.5+(N69-100)*0.25%),IF(AND(N69&gt;0,N69&lt;100),N69*0.5%)))))))</f>
        <v>15.068899999999999</v>
      </c>
      <c r="N87" s="53">
        <f ca="1">ROUND(M87*0.9,1)</f>
        <v>13.6</v>
      </c>
      <c r="O87" s="3006"/>
      <c r="P87" s="310"/>
      <c r="Q87" s="2012"/>
      <c r="R87" s="2012"/>
      <c r="S87" s="2012"/>
      <c r="T87" s="2012"/>
      <c r="U87" s="2012"/>
      <c r="V87" s="2012"/>
      <c r="W87" s="291"/>
      <c r="X87" s="291"/>
      <c r="Y87" s="291"/>
      <c r="Z87" s="291"/>
    </row>
    <row r="88" spans="1:26" s="1309" customFormat="1" ht="15" thickBot="1">
      <c r="A88" s="3342" t="s">
        <v>437</v>
      </c>
      <c r="B88" s="3343"/>
      <c r="C88" s="3343"/>
      <c r="D88" s="3343"/>
      <c r="E88" s="3343"/>
      <c r="F88" s="3343"/>
      <c r="G88" s="3343"/>
      <c r="H88" s="3343"/>
      <c r="I88" s="1310"/>
      <c r="J88" s="2020"/>
      <c r="K88" s="3360"/>
      <c r="L88" s="3013" t="s">
        <v>2882</v>
      </c>
      <c r="M88" s="3003">
        <f ca="1">IF(N69&gt;10000,N69*0.5%,IF(AND(N69&gt;5000,N69&lt;=10000),N69*1%,IF(AND(N69&gt;1000,N69&lt;=5000),N69*2%,IF(AND(N69&gt;200,N69&lt;=1000),N69*3%,N69*5%))))</f>
        <v>390.94499999999999</v>
      </c>
      <c r="N88" s="53">
        <f ca="1">ROUND(M88,1)</f>
        <v>390.9</v>
      </c>
      <c r="O88" s="3006"/>
      <c r="P88" s="11"/>
      <c r="Q88" s="2017"/>
      <c r="R88" s="2017"/>
      <c r="S88" s="2017"/>
      <c r="T88" s="2017"/>
      <c r="U88" s="2017"/>
      <c r="V88" s="2017"/>
      <c r="W88" s="2021"/>
      <c r="X88" s="2021"/>
      <c r="Y88" s="2021"/>
      <c r="Z88" s="2021"/>
    </row>
    <row r="89" spans="1:26" s="1309" customFormat="1" ht="14.25">
      <c r="A89" s="3340" t="s">
        <v>428</v>
      </c>
      <c r="B89" s="3341"/>
      <c r="C89" s="993"/>
      <c r="D89" s="993" t="s">
        <v>429</v>
      </c>
      <c r="E89" s="390" t="s">
        <v>438</v>
      </c>
      <c r="F89" s="391"/>
      <c r="G89" s="391"/>
      <c r="H89" s="392"/>
      <c r="I89" s="1311"/>
      <c r="J89" s="2022"/>
      <c r="K89" s="3360"/>
      <c r="L89" s="3013" t="s">
        <v>27</v>
      </c>
      <c r="M89" s="3004"/>
      <c r="N89" s="53">
        <f ca="1">ROUND(SUM(N83:N88),0)</f>
        <v>1265</v>
      </c>
      <c r="O89" s="3014">
        <f ca="1">N89/N69</f>
        <v>1.6178746370972899E-2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44679</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2829</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303" t="s">
        <v>447</v>
      </c>
      <c r="F94" s="3302"/>
      <c r="G94" s="3302"/>
      <c r="H94" s="3339"/>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268</v>
      </c>
      <c r="D96" s="405">
        <f>'数据-取费表'!B43</f>
        <v>6.000000000000001E-3</v>
      </c>
      <c r="E96" s="3331" t="s">
        <v>2428</v>
      </c>
      <c r="F96" s="3332"/>
      <c r="G96" s="3332"/>
      <c r="H96" s="3333"/>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41850</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14.793213149522799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24120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42" t="s">
        <v>454</v>
      </c>
      <c r="B101" s="3343"/>
      <c r="C101" s="3343"/>
      <c r="D101" s="3343"/>
      <c r="E101" s="3343"/>
      <c r="F101" s="3343"/>
      <c r="G101" s="3343"/>
      <c r="H101" s="3343"/>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40" t="s">
        <v>428</v>
      </c>
      <c r="B102" s="3341"/>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44679</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958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34" t="s">
        <v>462</v>
      </c>
      <c r="F109" s="3332"/>
      <c r="G109" s="3332"/>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34" t="s">
        <v>464</v>
      </c>
      <c r="F110" s="3332"/>
      <c r="G110" s="3332"/>
      <c r="H110" s="3333"/>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268</v>
      </c>
      <c r="D111" s="405">
        <f>'数据-取费表'!B43</f>
        <v>6.000000000000001E-3</v>
      </c>
      <c r="E111" s="3331" t="s">
        <v>2428</v>
      </c>
      <c r="F111" s="3332"/>
      <c r="G111" s="3332"/>
      <c r="H111" s="3333"/>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34" t="s">
        <v>2453</v>
      </c>
      <c r="F112" s="3332"/>
      <c r="G112" s="3332"/>
      <c r="H112" s="3333"/>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43721</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45.637787056367429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25897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I48" sqref="I48"/>
    </sheetView>
  </sheetViews>
  <sheetFormatPr defaultColWidth="9" defaultRowHeight="14.25"/>
  <cols>
    <col min="1" max="1" width="15.625" style="1332" customWidth="1"/>
    <col min="2" max="2" width="15.75" style="1332" customWidth="1"/>
    <col min="3" max="3" width="19.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38139</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1253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6439</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429</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385" t="s">
        <v>522</v>
      </c>
      <c r="D6" s="3386"/>
      <c r="E6" s="3385" t="s">
        <v>523</v>
      </c>
      <c r="F6" s="3386"/>
      <c r="G6" s="3385" t="s">
        <v>524</v>
      </c>
      <c r="H6" s="3386"/>
      <c r="I6" s="3385" t="s">
        <v>525</v>
      </c>
      <c r="J6" s="3386"/>
      <c r="K6" s="513" t="s">
        <v>526</v>
      </c>
      <c r="L6" s="2117"/>
      <c r="M6" s="2116"/>
      <c r="N6" s="2116"/>
      <c r="O6" s="2118"/>
      <c r="P6" s="3387" t="s">
        <v>527</v>
      </c>
      <c r="Q6" s="3388"/>
      <c r="R6" s="3393" t="s">
        <v>523</v>
      </c>
      <c r="S6" s="3394"/>
      <c r="T6" s="3393" t="s">
        <v>524</v>
      </c>
      <c r="U6" s="3394"/>
      <c r="V6" s="3380" t="s">
        <v>525</v>
      </c>
      <c r="W6" s="3380"/>
      <c r="X6" s="1552"/>
      <c r="Y6" s="3393" t="s">
        <v>527</v>
      </c>
      <c r="Z6" s="3394"/>
      <c r="AA6" s="3382" t="s">
        <v>523</v>
      </c>
      <c r="AB6" s="3383" t="s">
        <v>524</v>
      </c>
      <c r="AC6" s="3382" t="s">
        <v>525</v>
      </c>
    </row>
    <row r="7" spans="1:30" ht="49.5" customHeight="1">
      <c r="A7" s="514"/>
      <c r="B7" s="515"/>
      <c r="C7" s="3403" t="str">
        <f>项目基本情况!F10</f>
        <v>汕尾市区中轴西路东侧</v>
      </c>
      <c r="D7" s="3402"/>
      <c r="E7" s="3401" t="str">
        <f>土地案例!A2</f>
        <v>汕尾中央商务区站前路东侧</v>
      </c>
      <c r="F7" s="3402"/>
      <c r="G7" s="3401" t="str">
        <f>土地案例!A3</f>
        <v>汕尾中央商务区站前路东侧</v>
      </c>
      <c r="H7" s="3402"/>
      <c r="I7" s="3401" t="str">
        <f>土地案例!A4</f>
        <v>汕尾市区红海东路南侧、和顺路东侧</v>
      </c>
      <c r="J7" s="3402"/>
      <c r="K7" s="513"/>
      <c r="L7" s="2117"/>
      <c r="M7" s="2116"/>
      <c r="N7" s="2116"/>
      <c r="O7" s="2118"/>
      <c r="P7" s="3389"/>
      <c r="Q7" s="3390"/>
      <c r="R7" s="3395"/>
      <c r="S7" s="3396"/>
      <c r="T7" s="3395"/>
      <c r="U7" s="3396"/>
      <c r="V7" s="3380"/>
      <c r="W7" s="3380"/>
      <c r="X7" s="1552"/>
      <c r="Y7" s="3395"/>
      <c r="Z7" s="3396"/>
      <c r="AA7" s="3383"/>
      <c r="AB7" s="3383"/>
      <c r="AC7" s="3383"/>
    </row>
    <row r="8" spans="1:30" ht="21" thickBot="1">
      <c r="A8" s="514"/>
      <c r="B8" s="515"/>
      <c r="C8" s="3404" t="s">
        <v>2931</v>
      </c>
      <c r="D8" s="3405"/>
      <c r="E8" s="3404" t="s">
        <v>2931</v>
      </c>
      <c r="F8" s="3405"/>
      <c r="G8" s="3399" t="s">
        <v>2931</v>
      </c>
      <c r="H8" s="3400"/>
      <c r="I8" s="3399" t="s">
        <v>2931</v>
      </c>
      <c r="J8" s="3400"/>
      <c r="K8" s="513" t="s">
        <v>528</v>
      </c>
      <c r="L8" s="2117"/>
      <c r="M8" s="2116"/>
      <c r="N8" s="2116"/>
      <c r="O8" s="2118"/>
      <c r="P8" s="3391"/>
      <c r="Q8" s="3392"/>
      <c r="R8" s="3395"/>
      <c r="S8" s="3396"/>
      <c r="T8" s="3397"/>
      <c r="U8" s="3398"/>
      <c r="V8" s="3380"/>
      <c r="W8" s="3380"/>
      <c r="X8" s="1552"/>
      <c r="Y8" s="3397"/>
      <c r="Z8" s="3398"/>
      <c r="AA8" s="3384"/>
      <c r="AB8" s="3384"/>
      <c r="AC8" s="3384"/>
    </row>
    <row r="9" spans="1:30" s="1215" customFormat="1" ht="21" thickBot="1">
      <c r="A9" s="2866"/>
      <c r="B9" s="2873" t="s">
        <v>529</v>
      </c>
      <c r="C9" s="2865">
        <f>'数据-取费表'!B2</f>
        <v>43782</v>
      </c>
      <c r="D9" s="519">
        <v>100</v>
      </c>
      <c r="E9" s="520" t="str">
        <f>土地案例!AA2</f>
        <v>2019-01-08</v>
      </c>
      <c r="F9" s="521">
        <f>SUMIF(72:72,YEAR(E9)&amp;"-"&amp;INT((MONTH(E9)+2)/3),73:73)</f>
        <v>98.5</v>
      </c>
      <c r="G9" s="522" t="str">
        <f>土地案例!AA3</f>
        <v>2019-01-08</v>
      </c>
      <c r="H9" s="519">
        <f>SUMIF(72:72,YEAR(G9)&amp;"-"&amp;INT((MONTH(G9)+2)/3),73:73)</f>
        <v>98.5</v>
      </c>
      <c r="I9" s="522" t="str">
        <f>土地案例!AA4</f>
        <v>2017-12-13</v>
      </c>
      <c r="J9" s="519">
        <f>SUMIF(72:72,YEAR(I9)&amp;"-"&amp;INT((MONTH(I9)+2)/3),73:73)</f>
        <v>96</v>
      </c>
      <c r="K9" s="523"/>
      <c r="L9" s="2119"/>
      <c r="M9" s="2116"/>
      <c r="N9" s="2116"/>
      <c r="O9" s="2120"/>
      <c r="P9" s="3411" t="s">
        <v>530</v>
      </c>
      <c r="Q9" s="3413"/>
      <c r="R9" s="1553" t="s">
        <v>8</v>
      </c>
      <c r="S9" s="1554">
        <f t="shared" ref="S9:S17" si="0">F9</f>
        <v>98.5</v>
      </c>
      <c r="T9" s="1553" t="s">
        <v>8</v>
      </c>
      <c r="U9" s="1554">
        <f t="shared" ref="U9:U17" si="1">H9</f>
        <v>98.5</v>
      </c>
      <c r="V9" s="1553" t="s">
        <v>8</v>
      </c>
      <c r="W9" s="1554">
        <f t="shared" ref="W9:W17" si="2">J9</f>
        <v>96</v>
      </c>
      <c r="X9" s="1555"/>
      <c r="Y9" s="3411" t="s">
        <v>530</v>
      </c>
      <c r="Z9" s="3412"/>
      <c r="AA9" s="1556">
        <f>D9/F9</f>
        <v>1.015228426395939</v>
      </c>
      <c r="AB9" s="1556">
        <f>D9/H9</f>
        <v>1.015228426395939</v>
      </c>
      <c r="AC9" s="1556">
        <f>D9/J9</f>
        <v>1.0416666666666667</v>
      </c>
    </row>
    <row r="10" spans="1:30" s="1215" customFormat="1" ht="21" thickBot="1">
      <c r="A10" s="2867"/>
      <c r="B10" s="2874" t="s">
        <v>531</v>
      </c>
      <c r="C10" s="855" t="s">
        <v>532</v>
      </c>
      <c r="D10" s="519">
        <v>100</v>
      </c>
      <c r="E10" s="524" t="s">
        <v>3040</v>
      </c>
      <c r="F10" s="521">
        <f>SUMIF(75:75,E10,76:76)-SUMIF(75:75,C10,76:76)+100</f>
        <v>100</v>
      </c>
      <c r="G10" s="524" t="s">
        <v>3040</v>
      </c>
      <c r="H10" s="519">
        <f>SUMIF(75:75,G10,76:76)-SUMIF(75:75,C10,76:76)+100</f>
        <v>100</v>
      </c>
      <c r="I10" s="524" t="s">
        <v>3040</v>
      </c>
      <c r="J10" s="519">
        <f>SUMIF(75:75,I10,76:76)-SUMIF(75:75,C10,76:76)+100</f>
        <v>100</v>
      </c>
      <c r="K10" s="523"/>
      <c r="L10" s="2119"/>
      <c r="M10" s="2116"/>
      <c r="N10" s="2116"/>
      <c r="O10" s="2120"/>
      <c r="P10" s="3411" t="s">
        <v>533</v>
      </c>
      <c r="Q10" s="3412"/>
      <c r="R10" s="1553" t="s">
        <v>8</v>
      </c>
      <c r="S10" s="1554">
        <f t="shared" si="0"/>
        <v>100</v>
      </c>
      <c r="T10" s="1553" t="s">
        <v>8</v>
      </c>
      <c r="U10" s="1554">
        <f t="shared" si="1"/>
        <v>100</v>
      </c>
      <c r="V10" s="1553" t="s">
        <v>8</v>
      </c>
      <c r="W10" s="1554">
        <f t="shared" si="2"/>
        <v>100</v>
      </c>
      <c r="X10" s="1555"/>
      <c r="Y10" s="3411" t="s">
        <v>533</v>
      </c>
      <c r="Z10" s="3412"/>
      <c r="AA10" s="1556">
        <f t="shared" ref="AA10:AA47" si="3">D10/F10</f>
        <v>1</v>
      </c>
      <c r="AB10" s="1556">
        <f t="shared" ref="AB10:AB47" si="4">D10/H10</f>
        <v>1</v>
      </c>
      <c r="AC10" s="1556">
        <f t="shared" ref="AC10:AC47" si="5">D10/J10</f>
        <v>1</v>
      </c>
    </row>
    <row r="11" spans="1:30" s="1215" customFormat="1" ht="20.25">
      <c r="A11" s="2868"/>
      <c r="B11" s="2875" t="s">
        <v>2756</v>
      </c>
      <c r="C11" s="2862" t="s">
        <v>3200</v>
      </c>
      <c r="D11" s="253">
        <v>100</v>
      </c>
      <c r="E11" s="2862" t="s">
        <v>3200</v>
      </c>
      <c r="F11" s="253">
        <f>SUMIF(77:77,E11,78:78)-SUMIF(77:77,C11,78:78)+100</f>
        <v>100</v>
      </c>
      <c r="G11" s="2862" t="s">
        <v>3200</v>
      </c>
      <c r="H11" s="253">
        <f>SUMIF(77:77,G11,78:78)-SUMIF(77:77,C11,78:78)+100</f>
        <v>100</v>
      </c>
      <c r="I11" s="2862" t="s">
        <v>3200</v>
      </c>
      <c r="J11" s="253">
        <f>SUMIF(77:77,I11,78:78)-SUMIF(77:77,C11,78:78)+100</f>
        <v>100</v>
      </c>
      <c r="K11" s="523"/>
      <c r="L11" s="2119"/>
      <c r="M11" s="2116"/>
      <c r="N11" s="2116"/>
      <c r="O11" s="2121"/>
      <c r="P11" s="3379" t="s">
        <v>535</v>
      </c>
      <c r="Q11" s="1146" t="str">
        <f t="shared" ref="Q11:Q17" si="6">B11</f>
        <v>用途</v>
      </c>
      <c r="R11" s="1553" t="s">
        <v>8</v>
      </c>
      <c r="S11" s="1554">
        <f t="shared" si="0"/>
        <v>100</v>
      </c>
      <c r="T11" s="1553" t="s">
        <v>8</v>
      </c>
      <c r="U11" s="1554">
        <f t="shared" si="1"/>
        <v>100</v>
      </c>
      <c r="V11" s="1553" t="s">
        <v>8</v>
      </c>
      <c r="W11" s="1554">
        <f t="shared" si="2"/>
        <v>100</v>
      </c>
      <c r="X11" s="1555"/>
      <c r="Y11" s="3325" t="s">
        <v>536</v>
      </c>
      <c r="Z11" s="1145" t="str">
        <f t="shared" ref="Z11:Z17" si="7">Q11</f>
        <v>用途</v>
      </c>
      <c r="AA11" s="1556">
        <f t="shared" si="3"/>
        <v>1</v>
      </c>
      <c r="AB11" s="1556">
        <f t="shared" si="4"/>
        <v>1</v>
      </c>
      <c r="AC11" s="1556">
        <f t="shared" si="5"/>
        <v>1</v>
      </c>
    </row>
    <row r="12" spans="1:30" s="1333" customFormat="1" ht="27">
      <c r="A12" s="2869"/>
      <c r="B12" s="2874" t="s">
        <v>2757</v>
      </c>
      <c r="C12" s="909"/>
      <c r="D12" s="254">
        <v>100</v>
      </c>
      <c r="E12" s="528"/>
      <c r="F12" s="254">
        <f>ROUND(100/'数据-取费表'!G16,0)</f>
        <v>100</v>
      </c>
      <c r="G12" s="529"/>
      <c r="H12" s="254">
        <f>ROUND(100/'数据-取费表'!G16,0)</f>
        <v>100</v>
      </c>
      <c r="I12" s="529"/>
      <c r="J12" s="254">
        <f>ROUND(100/'数据-取费表'!G16,0)</f>
        <v>100</v>
      </c>
      <c r="K12" s="530"/>
      <c r="L12" s="2122"/>
      <c r="M12" s="2116"/>
      <c r="N12" s="2116"/>
      <c r="O12" s="2123"/>
      <c r="P12" s="3379"/>
      <c r="Q12" s="1146" t="str">
        <f t="shared" si="6"/>
        <v>土地使用年限（年）</v>
      </c>
      <c r="R12" s="1553" t="s">
        <v>8</v>
      </c>
      <c r="S12" s="1554">
        <f t="shared" si="0"/>
        <v>100</v>
      </c>
      <c r="T12" s="1553" t="s">
        <v>8</v>
      </c>
      <c r="U12" s="1554">
        <f t="shared" si="1"/>
        <v>100</v>
      </c>
      <c r="V12" s="1553" t="s">
        <v>8</v>
      </c>
      <c r="W12" s="1554">
        <f t="shared" si="2"/>
        <v>100</v>
      </c>
      <c r="X12" s="1555"/>
      <c r="Y12" s="3325"/>
      <c r="Z12" s="1145" t="str">
        <f t="shared" si="7"/>
        <v>土地使用年限（年）</v>
      </c>
      <c r="AA12" s="1556">
        <f t="shared" si="3"/>
        <v>1</v>
      </c>
      <c r="AB12" s="1556">
        <f t="shared" si="4"/>
        <v>1</v>
      </c>
      <c r="AC12" s="1556">
        <f t="shared" si="5"/>
        <v>1</v>
      </c>
    </row>
    <row r="13" spans="1:30" ht="20.25">
      <c r="A13" s="2870"/>
      <c r="B13" s="2874" t="s">
        <v>2758</v>
      </c>
      <c r="C13" s="533">
        <f>'数据-汇总表'!I6</f>
        <v>3.86</v>
      </c>
      <c r="D13" s="254">
        <v>100</v>
      </c>
      <c r="E13" s="532">
        <v>3.4</v>
      </c>
      <c r="F13" s="254">
        <f>LOOKUP(E13,82:82,83:83)-LOOKUP(C13,82:82,83:83)+100</f>
        <v>100</v>
      </c>
      <c r="G13" s="532">
        <v>3.3</v>
      </c>
      <c r="H13" s="254">
        <f>LOOKUP(G13,82:82,83:83)-LOOKUP(C13,82:82,83:83)+100</f>
        <v>100</v>
      </c>
      <c r="I13" s="532">
        <v>1.8</v>
      </c>
      <c r="J13" s="254">
        <f>LOOKUP(I13,82:82,83:83)-LOOKUP(C13,82:82,83:83)+100</f>
        <v>101</v>
      </c>
      <c r="K13" s="534">
        <v>0.5</v>
      </c>
      <c r="L13" s="2124"/>
      <c r="M13" s="2116"/>
      <c r="N13" s="2116"/>
      <c r="O13" s="2125"/>
      <c r="P13" s="3379"/>
      <c r="Q13" s="1146" t="str">
        <f t="shared" si="6"/>
        <v>容积率</v>
      </c>
      <c r="R13" s="1553" t="s">
        <v>8</v>
      </c>
      <c r="S13" s="1554">
        <f t="shared" si="0"/>
        <v>100</v>
      </c>
      <c r="T13" s="1553" t="s">
        <v>8</v>
      </c>
      <c r="U13" s="1554">
        <f t="shared" si="1"/>
        <v>100</v>
      </c>
      <c r="V13" s="1553" t="s">
        <v>8</v>
      </c>
      <c r="W13" s="1554">
        <f t="shared" si="2"/>
        <v>101</v>
      </c>
      <c r="X13" s="1555"/>
      <c r="Y13" s="3325"/>
      <c r="Z13" s="1145" t="str">
        <f t="shared" si="7"/>
        <v>容积率</v>
      </c>
      <c r="AA13" s="1556">
        <f t="shared" si="3"/>
        <v>1</v>
      </c>
      <c r="AB13" s="1556">
        <f t="shared" si="4"/>
        <v>1</v>
      </c>
      <c r="AC13" s="1556">
        <f t="shared" si="5"/>
        <v>0.99009900990099009</v>
      </c>
    </row>
    <row r="14" spans="1:30" s="1215" customFormat="1" ht="20.25">
      <c r="A14" s="2867"/>
      <c r="B14" s="2876" t="s">
        <v>2759</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379"/>
      <c r="Q14" s="1146" t="str">
        <f t="shared" si="6"/>
        <v>配建</v>
      </c>
      <c r="R14" s="1553" t="s">
        <v>8</v>
      </c>
      <c r="S14" s="1554">
        <f t="shared" si="0"/>
        <v>100</v>
      </c>
      <c r="T14" s="1553" t="s">
        <v>8</v>
      </c>
      <c r="U14" s="1554">
        <f t="shared" si="1"/>
        <v>100</v>
      </c>
      <c r="V14" s="1553" t="s">
        <v>8</v>
      </c>
      <c r="W14" s="1554">
        <f t="shared" si="2"/>
        <v>100</v>
      </c>
      <c r="X14" s="1555"/>
      <c r="Y14" s="3325"/>
      <c r="Z14" s="1145" t="str">
        <f t="shared" si="7"/>
        <v>配建</v>
      </c>
      <c r="AA14" s="1556">
        <f>D14/F14</f>
        <v>1</v>
      </c>
      <c r="AB14" s="1556">
        <f>D14/H14</f>
        <v>1</v>
      </c>
      <c r="AC14" s="1556">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79"/>
      <c r="Q15" s="1146">
        <f t="shared" si="6"/>
        <v>111</v>
      </c>
      <c r="R15" s="1553" t="s">
        <v>8</v>
      </c>
      <c r="S15" s="1554">
        <f t="shared" si="0"/>
        <v>100</v>
      </c>
      <c r="T15" s="1553" t="s">
        <v>8</v>
      </c>
      <c r="U15" s="1554">
        <f t="shared" si="1"/>
        <v>100</v>
      </c>
      <c r="V15" s="1553" t="s">
        <v>8</v>
      </c>
      <c r="W15" s="1554">
        <f t="shared" si="2"/>
        <v>100</v>
      </c>
      <c r="X15" s="1555"/>
      <c r="Y15" s="3325"/>
      <c r="Z15" s="1145">
        <f t="shared" si="7"/>
        <v>111</v>
      </c>
      <c r="AA15" s="1556">
        <f>D15/F15</f>
        <v>1</v>
      </c>
      <c r="AB15" s="1556">
        <f>D15/H15</f>
        <v>1</v>
      </c>
      <c r="AC15" s="1556">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79"/>
      <c r="Q16" s="1146">
        <f t="shared" si="6"/>
        <v>111</v>
      </c>
      <c r="R16" s="1553" t="s">
        <v>8</v>
      </c>
      <c r="S16" s="1554">
        <f t="shared" si="0"/>
        <v>100</v>
      </c>
      <c r="T16" s="1553" t="s">
        <v>8</v>
      </c>
      <c r="U16" s="1554">
        <f t="shared" si="1"/>
        <v>100</v>
      </c>
      <c r="V16" s="1553" t="s">
        <v>8</v>
      </c>
      <c r="W16" s="1554">
        <f t="shared" si="2"/>
        <v>100</v>
      </c>
      <c r="X16" s="1555"/>
      <c r="Y16" s="3325"/>
      <c r="Z16" s="1145">
        <f t="shared" si="7"/>
        <v>111</v>
      </c>
      <c r="AA16" s="1556">
        <f>D16/F16</f>
        <v>1</v>
      </c>
      <c r="AB16" s="1556">
        <f>D16/H16</f>
        <v>1</v>
      </c>
      <c r="AC16" s="1556">
        <f>D16/J16</f>
        <v>1</v>
      </c>
    </row>
    <row r="17" spans="1:29" ht="99.75">
      <c r="A17" s="2864" t="s">
        <v>2754</v>
      </c>
      <c r="B17" s="577" t="s">
        <v>295</v>
      </c>
      <c r="C17" s="547" t="str">
        <f>估价对象房地状况!C15</f>
        <v>估价对象周边居住用地比例一般、居住小区规模和社区发展完善程度一般，周边有新力城、丰泽花园、联富花园等住宅项目，综合评价居住社区成熟度一般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5</v>
      </c>
      <c r="L17" s="2126"/>
      <c r="M17" s="2116"/>
      <c r="N17" s="2116"/>
      <c r="O17" s="2125"/>
      <c r="P17" s="3414" t="s">
        <v>540</v>
      </c>
      <c r="Q17" s="1557" t="str">
        <f t="shared" si="6"/>
        <v>居住社区成熟度</v>
      </c>
      <c r="R17" s="1558" t="s">
        <v>8</v>
      </c>
      <c r="S17" s="1559">
        <f t="shared" si="0"/>
        <v>100</v>
      </c>
      <c r="T17" s="1558" t="s">
        <v>8</v>
      </c>
      <c r="U17" s="1559">
        <f t="shared" si="1"/>
        <v>100</v>
      </c>
      <c r="V17" s="1558" t="s">
        <v>8</v>
      </c>
      <c r="W17" s="1559">
        <f t="shared" si="2"/>
        <v>100</v>
      </c>
      <c r="X17" s="1552"/>
      <c r="Y17" s="3414" t="s">
        <v>540</v>
      </c>
      <c r="Z17" s="1560" t="str">
        <f t="shared" si="7"/>
        <v>居住社区成熟度</v>
      </c>
      <c r="AA17" s="1561">
        <f t="shared" si="3"/>
        <v>1</v>
      </c>
      <c r="AB17" s="1561">
        <f t="shared" si="4"/>
        <v>1</v>
      </c>
      <c r="AC17" s="1561">
        <f t="shared" si="5"/>
        <v>1</v>
      </c>
    </row>
    <row r="18" spans="1:29" ht="20.25">
      <c r="A18" s="531"/>
      <c r="B18" s="552"/>
      <c r="C18" s="553" t="s">
        <v>3048</v>
      </c>
      <c r="D18" s="556"/>
      <c r="E18" s="553" t="s">
        <v>3048</v>
      </c>
      <c r="F18" s="554"/>
      <c r="G18" s="553" t="s">
        <v>3048</v>
      </c>
      <c r="H18" s="558"/>
      <c r="I18" s="553" t="s">
        <v>3048</v>
      </c>
      <c r="J18" s="554"/>
      <c r="K18" s="530"/>
      <c r="L18" s="2126"/>
      <c r="M18" s="2116"/>
      <c r="N18" s="2116"/>
      <c r="O18" s="2125"/>
      <c r="P18" s="3415"/>
      <c r="Q18" s="1557"/>
      <c r="R18" s="1558"/>
      <c r="S18" s="1559"/>
      <c r="T18" s="1558"/>
      <c r="U18" s="1559"/>
      <c r="V18" s="1558"/>
      <c r="W18" s="1559"/>
      <c r="X18" s="1552"/>
      <c r="Y18" s="3415"/>
      <c r="Z18" s="1560"/>
      <c r="AA18" s="1561">
        <v>1</v>
      </c>
      <c r="AB18" s="1561">
        <v>1</v>
      </c>
      <c r="AC18" s="1561">
        <v>1</v>
      </c>
    </row>
    <row r="19" spans="1:29" ht="57">
      <c r="A19" s="531"/>
      <c r="B19" s="559" t="s">
        <v>541</v>
      </c>
      <c r="C19" s="560" t="str">
        <f>估价对象房地状况!C16</f>
        <v>估价对象位于长堎工业区附近，周边商业氛围较差，人流量一般，商业繁华度较差</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15"/>
      <c r="Q19" s="1557" t="str">
        <f>B19</f>
        <v>商业繁华度</v>
      </c>
      <c r="R19" s="1558" t="s">
        <v>8</v>
      </c>
      <c r="S19" s="1559">
        <f>F19</f>
        <v>100</v>
      </c>
      <c r="T19" s="1558" t="s">
        <v>8</v>
      </c>
      <c r="U19" s="1559">
        <f>H19</f>
        <v>100</v>
      </c>
      <c r="V19" s="1558" t="s">
        <v>8</v>
      </c>
      <c r="W19" s="1559">
        <f>J19</f>
        <v>100</v>
      </c>
      <c r="X19" s="1552"/>
      <c r="Y19" s="3415"/>
      <c r="Z19" s="1560" t="str">
        <f>Q19</f>
        <v>商业繁华度</v>
      </c>
      <c r="AA19" s="1561">
        <f t="shared" si="3"/>
        <v>1</v>
      </c>
      <c r="AB19" s="1561">
        <f t="shared" si="4"/>
        <v>1</v>
      </c>
      <c r="AC19" s="1561">
        <f t="shared" si="5"/>
        <v>1</v>
      </c>
    </row>
    <row r="20" spans="1:29" ht="20.25">
      <c r="A20" s="531"/>
      <c r="B20" s="565"/>
      <c r="C20" s="566" t="s">
        <v>3114</v>
      </c>
      <c r="D20" s="562"/>
      <c r="E20" s="566" t="s">
        <v>3114</v>
      </c>
      <c r="F20" s="558"/>
      <c r="G20" s="566" t="s">
        <v>3114</v>
      </c>
      <c r="H20" s="554"/>
      <c r="I20" s="566" t="s">
        <v>3114</v>
      </c>
      <c r="J20" s="554"/>
      <c r="K20" s="530"/>
      <c r="L20" s="2126"/>
      <c r="M20" s="2116"/>
      <c r="N20" s="2116"/>
      <c r="O20" s="2125"/>
      <c r="P20" s="3415"/>
      <c r="Q20" s="1557"/>
      <c r="R20" s="1558"/>
      <c r="S20" s="1559"/>
      <c r="T20" s="1558"/>
      <c r="U20" s="1559"/>
      <c r="V20" s="1558"/>
      <c r="W20" s="1559"/>
      <c r="X20" s="1552"/>
      <c r="Y20" s="3415"/>
      <c r="Z20" s="1560"/>
      <c r="AA20" s="1561">
        <v>1</v>
      </c>
      <c r="AB20" s="1561">
        <v>1</v>
      </c>
      <c r="AC20" s="1561">
        <v>1</v>
      </c>
    </row>
    <row r="21" spans="1:29" ht="30.75" customHeight="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15"/>
      <c r="Q21" s="1557" t="str">
        <f>B21</f>
        <v>办公集聚程度</v>
      </c>
      <c r="R21" s="1558" t="s">
        <v>8</v>
      </c>
      <c r="S21" s="1559">
        <f>F21</f>
        <v>100</v>
      </c>
      <c r="T21" s="1558" t="s">
        <v>8</v>
      </c>
      <c r="U21" s="1559">
        <f>H21</f>
        <v>100</v>
      </c>
      <c r="V21" s="1558" t="s">
        <v>8</v>
      </c>
      <c r="W21" s="1559">
        <f>J21</f>
        <v>100</v>
      </c>
      <c r="X21" s="1552"/>
      <c r="Y21" s="3415"/>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415"/>
      <c r="Q22" s="1557"/>
      <c r="R22" s="1558"/>
      <c r="S22" s="1559"/>
      <c r="T22" s="1558"/>
      <c r="U22" s="1559"/>
      <c r="V22" s="1558"/>
      <c r="W22" s="1559"/>
      <c r="X22" s="1552"/>
      <c r="Y22" s="3415"/>
      <c r="Z22" s="1560"/>
      <c r="AA22" s="1561">
        <v>1</v>
      </c>
      <c r="AB22" s="1561">
        <v>1</v>
      </c>
      <c r="AC22" s="1561">
        <v>1</v>
      </c>
    </row>
    <row r="23" spans="1:29" ht="85.5">
      <c r="A23" s="531"/>
      <c r="B23" s="559" t="s">
        <v>543</v>
      </c>
      <c r="C23" s="572" t="str">
        <f>估价对象房地状况!C18</f>
        <v>估价对象周边道路状况较好、公共交通通达情况一般，有117路、119路等公交车、停车便捷程度较好，综合评价交通便捷度一般</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415"/>
      <c r="Q23" s="1557" t="str">
        <f>B23</f>
        <v>交通便捷度</v>
      </c>
      <c r="R23" s="1558" t="s">
        <v>8</v>
      </c>
      <c r="S23" s="1559">
        <f>F23</f>
        <v>100</v>
      </c>
      <c r="T23" s="1558" t="s">
        <v>8</v>
      </c>
      <c r="U23" s="1559">
        <f>H23</f>
        <v>100</v>
      </c>
      <c r="V23" s="1558" t="s">
        <v>8</v>
      </c>
      <c r="W23" s="1559">
        <f>J23</f>
        <v>100</v>
      </c>
      <c r="X23" s="1552"/>
      <c r="Y23" s="3415"/>
      <c r="Z23" s="1560" t="str">
        <f>Q23</f>
        <v>交通便捷度</v>
      </c>
      <c r="AA23" s="1561">
        <f t="shared" si="3"/>
        <v>1</v>
      </c>
      <c r="AB23" s="1561">
        <f t="shared" si="4"/>
        <v>1</v>
      </c>
      <c r="AC23" s="1561">
        <f t="shared" si="5"/>
        <v>1</v>
      </c>
    </row>
    <row r="24" spans="1:29" ht="20.25">
      <c r="A24" s="531"/>
      <c r="B24" s="577"/>
      <c r="C24" s="553" t="s">
        <v>3048</v>
      </c>
      <c r="D24" s="556"/>
      <c r="E24" s="553" t="s">
        <v>3048</v>
      </c>
      <c r="F24" s="554"/>
      <c r="G24" s="553" t="s">
        <v>3048</v>
      </c>
      <c r="H24" s="554"/>
      <c r="I24" s="553" t="s">
        <v>3048</v>
      </c>
      <c r="J24" s="554"/>
      <c r="K24" s="530"/>
      <c r="L24" s="2126"/>
      <c r="M24" s="2116"/>
      <c r="N24" s="2116"/>
      <c r="O24" s="2125"/>
      <c r="P24" s="3415"/>
      <c r="Q24" s="1557"/>
      <c r="R24" s="1558"/>
      <c r="S24" s="1559"/>
      <c r="T24" s="1558"/>
      <c r="U24" s="1559"/>
      <c r="V24" s="1558"/>
      <c r="W24" s="1559"/>
      <c r="X24" s="1552"/>
      <c r="Y24" s="3415"/>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415"/>
      <c r="Q25" s="1557" t="str">
        <f t="shared" ref="Q25:Q39" si="8">B25</f>
        <v>区域土地利用方向</v>
      </c>
      <c r="R25" s="1558" t="s">
        <v>8</v>
      </c>
      <c r="S25" s="1559">
        <f>F25</f>
        <v>100</v>
      </c>
      <c r="T25" s="1558" t="s">
        <v>8</v>
      </c>
      <c r="U25" s="1559">
        <f>H25</f>
        <v>100</v>
      </c>
      <c r="V25" s="1558" t="s">
        <v>8</v>
      </c>
      <c r="W25" s="1559">
        <f>J25</f>
        <v>100</v>
      </c>
      <c r="X25" s="1552"/>
      <c r="Y25" s="3415"/>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415"/>
      <c r="Q26" s="1557"/>
      <c r="R26" s="1558"/>
      <c r="S26" s="1559"/>
      <c r="T26" s="1558"/>
      <c r="U26" s="1559"/>
      <c r="V26" s="1558"/>
      <c r="W26" s="1559"/>
      <c r="X26" s="1552"/>
      <c r="Y26" s="3415"/>
      <c r="Z26" s="1560"/>
      <c r="AA26" s="1561"/>
      <c r="AB26" s="1561"/>
      <c r="AC26" s="1561"/>
    </row>
    <row r="27" spans="1:29" ht="57">
      <c r="A27" s="514"/>
      <c r="B27" s="577" t="s">
        <v>545</v>
      </c>
      <c r="C27" s="560" t="str">
        <f>估价对象房地状况!C20</f>
        <v>区域自然环境一般：；人文环境：南昌工学院；综合评价环境状况一般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415"/>
      <c r="Q27" s="1557" t="str">
        <f t="shared" si="8"/>
        <v>自然及人文环境状况</v>
      </c>
      <c r="R27" s="1558" t="s">
        <v>8</v>
      </c>
      <c r="S27" s="1559">
        <f>F27</f>
        <v>100</v>
      </c>
      <c r="T27" s="1558" t="s">
        <v>8</v>
      </c>
      <c r="U27" s="1559">
        <f>H27</f>
        <v>100</v>
      </c>
      <c r="V27" s="1558" t="s">
        <v>8</v>
      </c>
      <c r="W27" s="1559">
        <f>J27</f>
        <v>100</v>
      </c>
      <c r="X27" s="1552"/>
      <c r="Y27" s="3415"/>
      <c r="Z27" s="1560" t="str">
        <f>Q27</f>
        <v>自然及人文环境状况</v>
      </c>
      <c r="AA27" s="1561">
        <f t="shared" si="3"/>
        <v>1</v>
      </c>
      <c r="AB27" s="1561">
        <f t="shared" si="4"/>
        <v>1</v>
      </c>
      <c r="AC27" s="1561">
        <f t="shared" si="5"/>
        <v>1</v>
      </c>
    </row>
    <row r="28" spans="1:29" ht="20.25">
      <c r="A28" s="514"/>
      <c r="B28" s="565"/>
      <c r="C28" s="553" t="s">
        <v>3048</v>
      </c>
      <c r="D28" s="556"/>
      <c r="E28" s="553" t="s">
        <v>3048</v>
      </c>
      <c r="F28" s="554"/>
      <c r="G28" s="553" t="s">
        <v>3048</v>
      </c>
      <c r="H28" s="554"/>
      <c r="I28" s="553" t="s">
        <v>3048</v>
      </c>
      <c r="J28" s="554"/>
      <c r="K28" s="530"/>
      <c r="L28" s="2126"/>
      <c r="M28" s="2116"/>
      <c r="N28" s="2116"/>
      <c r="O28" s="2125"/>
      <c r="P28" s="3415"/>
      <c r="Q28" s="1557"/>
      <c r="R28" s="1558"/>
      <c r="S28" s="1559"/>
      <c r="T28" s="1558"/>
      <c r="U28" s="1559"/>
      <c r="V28" s="1558"/>
      <c r="W28" s="1559"/>
      <c r="X28" s="1552"/>
      <c r="Y28" s="3415"/>
      <c r="Z28" s="1560"/>
      <c r="AA28" s="1561">
        <v>1</v>
      </c>
      <c r="AB28" s="1561">
        <v>1</v>
      </c>
      <c r="AC28" s="1561">
        <v>1</v>
      </c>
    </row>
    <row r="29" spans="1:29" s="1215" customFormat="1" ht="28.5">
      <c r="A29" s="576"/>
      <c r="B29" s="2554" t="s">
        <v>2548</v>
      </c>
      <c r="C29" s="572" t="str">
        <f>估价对象房地状况!C21</f>
        <v>估价对象所在区域公共配套设施齐备情况较差</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415"/>
      <c r="Q29" s="1146" t="str">
        <f t="shared" si="8"/>
        <v>公共配套设施</v>
      </c>
      <c r="R29" s="1553" t="s">
        <v>8</v>
      </c>
      <c r="S29" s="1554">
        <f>F29</f>
        <v>100</v>
      </c>
      <c r="T29" s="1553" t="s">
        <v>8</v>
      </c>
      <c r="U29" s="1554">
        <f>H29</f>
        <v>100</v>
      </c>
      <c r="V29" s="1553" t="s">
        <v>8</v>
      </c>
      <c r="W29" s="1554">
        <f>J29</f>
        <v>100</v>
      </c>
      <c r="X29" s="1555"/>
      <c r="Y29" s="3415"/>
      <c r="Z29" s="1145" t="str">
        <f>Q29</f>
        <v>公共配套设施</v>
      </c>
      <c r="AA29" s="1561">
        <f>D29/F29</f>
        <v>1</v>
      </c>
      <c r="AB29" s="1561">
        <f>D29/H29</f>
        <v>1</v>
      </c>
      <c r="AC29" s="1561">
        <f>D29/J29</f>
        <v>1</v>
      </c>
    </row>
    <row r="30" spans="1:29" s="1215" customFormat="1" ht="20.25">
      <c r="A30" s="576"/>
      <c r="B30" s="565"/>
      <c r="C30" s="578" t="s">
        <v>3114</v>
      </c>
      <c r="D30" s="556"/>
      <c r="E30" s="578" t="s">
        <v>3114</v>
      </c>
      <c r="F30" s="554"/>
      <c r="G30" s="578" t="s">
        <v>3114</v>
      </c>
      <c r="H30" s="554"/>
      <c r="I30" s="578" t="s">
        <v>3114</v>
      </c>
      <c r="J30" s="554"/>
      <c r="K30" s="530"/>
      <c r="L30" s="2119"/>
      <c r="M30" s="2116"/>
      <c r="N30" s="2116"/>
      <c r="O30" s="2121"/>
      <c r="P30" s="3415"/>
      <c r="Q30" s="1146"/>
      <c r="R30" s="1553"/>
      <c r="S30" s="1554"/>
      <c r="T30" s="1553"/>
      <c r="U30" s="1554"/>
      <c r="V30" s="1553"/>
      <c r="W30" s="1554"/>
      <c r="X30" s="1555"/>
      <c r="Y30" s="3415"/>
      <c r="Z30" s="1145"/>
      <c r="AA30" s="1561">
        <v>1</v>
      </c>
      <c r="AB30" s="1561">
        <v>1</v>
      </c>
      <c r="AC30" s="1561">
        <v>1</v>
      </c>
    </row>
    <row r="31" spans="1:29" s="1215" customFormat="1" ht="28.5">
      <c r="A31" s="576"/>
      <c r="B31" s="2554" t="s">
        <v>2549</v>
      </c>
      <c r="C31" s="572" t="str">
        <f>估价对象房地状况!C22</f>
        <v>估价对象所在区域基础设施水平一般</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415"/>
      <c r="Q31" s="2541" t="str">
        <f t="shared" ref="Q31" si="9">B31</f>
        <v>基础设施水平</v>
      </c>
      <c r="R31" s="1553" t="s">
        <v>8</v>
      </c>
      <c r="S31" s="1554">
        <f>F31</f>
        <v>100</v>
      </c>
      <c r="T31" s="1553" t="s">
        <v>8</v>
      </c>
      <c r="U31" s="1554">
        <f>H31</f>
        <v>100</v>
      </c>
      <c r="V31" s="1553" t="s">
        <v>8</v>
      </c>
      <c r="W31" s="1554">
        <f>J31</f>
        <v>100</v>
      </c>
      <c r="X31" s="1555"/>
      <c r="Y31" s="3415"/>
      <c r="Z31" s="2538" t="str">
        <f>Q31</f>
        <v>基础设施水平</v>
      </c>
      <c r="AA31" s="1561">
        <f>D31/F31</f>
        <v>1</v>
      </c>
      <c r="AB31" s="1561">
        <f>D31/H31</f>
        <v>1</v>
      </c>
      <c r="AC31" s="1561">
        <f>D31/J31</f>
        <v>1</v>
      </c>
    </row>
    <row r="32" spans="1:29" s="1215" customFormat="1" ht="20.25">
      <c r="A32" s="576"/>
      <c r="B32" s="565"/>
      <c r="C32" s="578" t="s">
        <v>3115</v>
      </c>
      <c r="D32" s="556"/>
      <c r="E32" s="578" t="s">
        <v>3115</v>
      </c>
      <c r="F32" s="554"/>
      <c r="G32" s="578" t="s">
        <v>3115</v>
      </c>
      <c r="H32" s="554"/>
      <c r="I32" s="578" t="s">
        <v>3115</v>
      </c>
      <c r="J32" s="554"/>
      <c r="K32" s="530"/>
      <c r="L32" s="2119"/>
      <c r="M32" s="2116"/>
      <c r="N32" s="2116"/>
      <c r="O32" s="2121"/>
      <c r="P32" s="3415"/>
      <c r="Q32" s="2541"/>
      <c r="R32" s="1553"/>
      <c r="S32" s="1554"/>
      <c r="T32" s="1553"/>
      <c r="U32" s="1554"/>
      <c r="V32" s="1553"/>
      <c r="W32" s="1554"/>
      <c r="X32" s="1555"/>
      <c r="Y32" s="3415"/>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1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5"/>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26"/>
      <c r="M34" s="2116"/>
      <c r="N34" s="2116"/>
      <c r="O34" s="2125"/>
      <c r="P34" s="3415"/>
      <c r="Q34" s="1557" t="str">
        <f t="shared" si="8"/>
        <v>毗邻道路的类型与等级</v>
      </c>
      <c r="R34" s="1558" t="s">
        <v>8</v>
      </c>
      <c r="S34" s="1559">
        <f t="shared" si="10"/>
        <v>100</v>
      </c>
      <c r="T34" s="1558" t="s">
        <v>8</v>
      </c>
      <c r="U34" s="1559">
        <f t="shared" si="11"/>
        <v>100</v>
      </c>
      <c r="V34" s="1558" t="s">
        <v>8</v>
      </c>
      <c r="W34" s="1559">
        <f t="shared" si="12"/>
        <v>100</v>
      </c>
      <c r="X34" s="1552"/>
      <c r="Y34" s="3415"/>
      <c r="Z34" s="1560" t="str">
        <f t="shared" si="13"/>
        <v>毗邻道路的类型与等级</v>
      </c>
      <c r="AA34" s="1561">
        <f t="shared" si="3"/>
        <v>1</v>
      </c>
      <c r="AB34" s="1561">
        <f t="shared" si="4"/>
        <v>1</v>
      </c>
      <c r="AC34" s="1561">
        <f t="shared" si="5"/>
        <v>1</v>
      </c>
    </row>
    <row r="35" spans="1:29" ht="20.25">
      <c r="A35" s="531"/>
      <c r="B35" s="565"/>
      <c r="C35" s="553" t="s">
        <v>3151</v>
      </c>
      <c r="D35" s="556"/>
      <c r="E35" s="553" t="s">
        <v>3151</v>
      </c>
      <c r="F35" s="554"/>
      <c r="G35" s="553" t="s">
        <v>3151</v>
      </c>
      <c r="H35" s="554"/>
      <c r="I35" s="553" t="s">
        <v>3151</v>
      </c>
      <c r="J35" s="554"/>
      <c r="K35" s="580"/>
      <c r="L35" s="2126"/>
      <c r="M35" s="2116"/>
      <c r="N35" s="2116"/>
      <c r="O35" s="2125"/>
      <c r="P35" s="3415"/>
      <c r="Q35" s="1557"/>
      <c r="R35" s="1558"/>
      <c r="S35" s="1559"/>
      <c r="T35" s="1558"/>
      <c r="U35" s="1559"/>
      <c r="V35" s="1558"/>
      <c r="W35" s="1559"/>
      <c r="X35" s="1552"/>
      <c r="Y35" s="3415"/>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15"/>
      <c r="Q36" s="1557" t="str">
        <f t="shared" si="8"/>
        <v>土地级别</v>
      </c>
      <c r="R36" s="1558" t="s">
        <v>8</v>
      </c>
      <c r="S36" s="1559">
        <f t="shared" si="10"/>
        <v>100</v>
      </c>
      <c r="T36" s="1558" t="s">
        <v>8</v>
      </c>
      <c r="U36" s="1559">
        <f t="shared" si="11"/>
        <v>100</v>
      </c>
      <c r="V36" s="1558" t="s">
        <v>8</v>
      </c>
      <c r="W36" s="1559">
        <f t="shared" si="12"/>
        <v>100</v>
      </c>
      <c r="X36" s="1552"/>
      <c r="Y36" s="3415"/>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15"/>
      <c r="Q37" s="1557">
        <f t="shared" si="8"/>
        <v>111</v>
      </c>
      <c r="R37" s="1558" t="s">
        <v>8</v>
      </c>
      <c r="S37" s="1559">
        <f t="shared" si="10"/>
        <v>100</v>
      </c>
      <c r="T37" s="1558" t="s">
        <v>8</v>
      </c>
      <c r="U37" s="1559">
        <f t="shared" si="11"/>
        <v>100</v>
      </c>
      <c r="V37" s="1558" t="s">
        <v>8</v>
      </c>
      <c r="W37" s="1559">
        <f t="shared" si="12"/>
        <v>100</v>
      </c>
      <c r="X37" s="1552"/>
      <c r="Y37" s="3415"/>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16" t="s">
        <v>550</v>
      </c>
      <c r="Q38" s="1557">
        <f t="shared" si="8"/>
        <v>111</v>
      </c>
      <c r="R38" s="1558" t="s">
        <v>8</v>
      </c>
      <c r="S38" s="1559">
        <f t="shared" si="10"/>
        <v>100</v>
      </c>
      <c r="T38" s="1558" t="s">
        <v>8</v>
      </c>
      <c r="U38" s="1559">
        <f t="shared" si="11"/>
        <v>100</v>
      </c>
      <c r="V38" s="1558" t="s">
        <v>8</v>
      </c>
      <c r="W38" s="1559">
        <f t="shared" si="12"/>
        <v>100</v>
      </c>
      <c r="X38" s="1552"/>
      <c r="Y38" s="3417"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17"/>
      <c r="Q39" s="1557">
        <f t="shared" si="8"/>
        <v>111</v>
      </c>
      <c r="R39" s="1562" t="s">
        <v>8</v>
      </c>
      <c r="S39" s="1563">
        <f t="shared" si="10"/>
        <v>100</v>
      </c>
      <c r="T39" s="1562" t="s">
        <v>8</v>
      </c>
      <c r="U39" s="1563">
        <f t="shared" si="11"/>
        <v>100</v>
      </c>
      <c r="V39" s="1562" t="s">
        <v>8</v>
      </c>
      <c r="W39" s="1563">
        <f t="shared" si="12"/>
        <v>100</v>
      </c>
      <c r="X39" s="1564"/>
      <c r="Y39" s="3417"/>
      <c r="Z39" s="1565">
        <f t="shared" si="13"/>
        <v>111</v>
      </c>
      <c r="AA39" s="1561">
        <f t="shared" si="3"/>
        <v>1</v>
      </c>
      <c r="AB39" s="1561">
        <f t="shared" si="4"/>
        <v>1</v>
      </c>
      <c r="AC39" s="1561">
        <f t="shared" si="5"/>
        <v>1</v>
      </c>
    </row>
    <row r="40" spans="1:29" ht="20.25">
      <c r="A40" s="2861" t="s">
        <v>2755</v>
      </c>
      <c r="B40" s="594" t="s">
        <v>552</v>
      </c>
      <c r="C40" s="595">
        <f>'数据-汇总表'!D3</f>
        <v>59228</v>
      </c>
      <c r="D40" s="596">
        <v>100</v>
      </c>
      <c r="E40" s="595">
        <f>土地案例!J2</f>
        <v>166080</v>
      </c>
      <c r="F40" s="596">
        <f>LOOKUP(E40,119:119,120:120)-LOOKUP(C40,119:119,120:120)+100</f>
        <v>101</v>
      </c>
      <c r="G40" s="595">
        <f>土地案例!J3</f>
        <v>208510</v>
      </c>
      <c r="H40" s="596">
        <f>LOOKUP(G40,119:119,120:120)-LOOKUP(C40,119:119,120:120)+100</f>
        <v>102</v>
      </c>
      <c r="I40" s="597">
        <f>土地案例!J4</f>
        <v>5886</v>
      </c>
      <c r="J40" s="596">
        <f>LOOKUP(I40,119:119,120:120)-LOOKUP(C40,119:119,120:120)+100</f>
        <v>99</v>
      </c>
      <c r="K40" s="580"/>
      <c r="L40" s="2126"/>
      <c r="M40" s="2116"/>
      <c r="N40" s="2116"/>
      <c r="O40" s="2125"/>
      <c r="P40" s="3417"/>
      <c r="Q40" s="1557" t="str">
        <f>B40</f>
        <v>宗地面积</v>
      </c>
      <c r="R40" s="1558" t="s">
        <v>8</v>
      </c>
      <c r="S40" s="1559">
        <f t="shared" si="10"/>
        <v>101</v>
      </c>
      <c r="T40" s="1558" t="s">
        <v>8</v>
      </c>
      <c r="U40" s="1559">
        <f t="shared" si="11"/>
        <v>102</v>
      </c>
      <c r="V40" s="1558" t="s">
        <v>8</v>
      </c>
      <c r="W40" s="1559">
        <f t="shared" si="12"/>
        <v>99</v>
      </c>
      <c r="X40" s="1552"/>
      <c r="Y40" s="3417"/>
      <c r="Z40" s="1560" t="str">
        <f t="shared" si="13"/>
        <v>宗地面积</v>
      </c>
      <c r="AA40" s="1561">
        <f t="shared" si="3"/>
        <v>0.99009900990099009</v>
      </c>
      <c r="AB40" s="1561">
        <f t="shared" si="4"/>
        <v>0.98039215686274506</v>
      </c>
      <c r="AC40" s="1561">
        <f t="shared" si="5"/>
        <v>1.0101010101010102</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417"/>
      <c r="Q41" s="1557" t="str">
        <f t="shared" ref="Q41:Q47" si="14">B41</f>
        <v>宗地形状</v>
      </c>
      <c r="R41" s="1558" t="s">
        <v>8</v>
      </c>
      <c r="S41" s="1559">
        <f t="shared" si="10"/>
        <v>100</v>
      </c>
      <c r="T41" s="1558" t="s">
        <v>8</v>
      </c>
      <c r="U41" s="1559">
        <f t="shared" si="11"/>
        <v>100</v>
      </c>
      <c r="V41" s="1558" t="s">
        <v>8</v>
      </c>
      <c r="W41" s="1559">
        <f t="shared" si="12"/>
        <v>100</v>
      </c>
      <c r="X41" s="1552"/>
      <c r="Y41" s="3417"/>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17"/>
      <c r="Q42" s="1557" t="str">
        <f t="shared" si="14"/>
        <v>临街宽度及深度</v>
      </c>
      <c r="R42" s="1558" t="s">
        <v>8</v>
      </c>
      <c r="S42" s="1559">
        <f t="shared" si="10"/>
        <v>100</v>
      </c>
      <c r="T42" s="1558" t="s">
        <v>8</v>
      </c>
      <c r="U42" s="1559">
        <f t="shared" si="11"/>
        <v>100</v>
      </c>
      <c r="V42" s="1558" t="s">
        <v>8</v>
      </c>
      <c r="W42" s="1559">
        <f t="shared" si="12"/>
        <v>100</v>
      </c>
      <c r="X42" s="1552"/>
      <c r="Y42" s="3417"/>
      <c r="Z42" s="1560" t="str">
        <f t="shared" si="13"/>
        <v>临街宽度及深度</v>
      </c>
      <c r="AA42" s="1561">
        <f t="shared" si="3"/>
        <v>1</v>
      </c>
      <c r="AB42" s="1561">
        <f t="shared" si="4"/>
        <v>1</v>
      </c>
      <c r="AC42" s="1561">
        <f t="shared" si="5"/>
        <v>1</v>
      </c>
    </row>
    <row r="43" spans="1:29" s="1215" customFormat="1" ht="20.25">
      <c r="A43" s="599"/>
      <c r="B43" s="1879" t="s">
        <v>2424</v>
      </c>
      <c r="C43" s="600" t="s">
        <v>3202</v>
      </c>
      <c r="D43" s="254">
        <v>100</v>
      </c>
      <c r="E43" s="600" t="s">
        <v>3202</v>
      </c>
      <c r="F43" s="539">
        <f>SUMIF(125:125,E43,126:126)-SUMIF(125:125,C43,126:126)+100</f>
        <v>100</v>
      </c>
      <c r="G43" s="600" t="s">
        <v>3202</v>
      </c>
      <c r="H43" s="539">
        <f>SUMIF(125:125,G43,126:126)-SUMIF(125:125,C43,126:126)+100</f>
        <v>100</v>
      </c>
      <c r="I43" s="600" t="s">
        <v>3202</v>
      </c>
      <c r="J43" s="539">
        <f>SUMIF(125:125,I43,126:126)-SUMIF(125:125,C43,126:126)+100</f>
        <v>100</v>
      </c>
      <c r="K43" s="583">
        <v>1</v>
      </c>
      <c r="L43" s="2119"/>
      <c r="M43" s="2116"/>
      <c r="N43" s="2116"/>
      <c r="O43" s="2121"/>
      <c r="P43" s="3417"/>
      <c r="Q43" s="1557" t="str">
        <f t="shared" si="14"/>
        <v>宗地开发程度</v>
      </c>
      <c r="R43" s="1553" t="s">
        <v>8</v>
      </c>
      <c r="S43" s="1554">
        <f t="shared" si="10"/>
        <v>100</v>
      </c>
      <c r="T43" s="1553" t="s">
        <v>8</v>
      </c>
      <c r="U43" s="1554">
        <f t="shared" si="11"/>
        <v>100</v>
      </c>
      <c r="V43" s="1553" t="s">
        <v>8</v>
      </c>
      <c r="W43" s="1554">
        <f t="shared" si="12"/>
        <v>100</v>
      </c>
      <c r="X43" s="1555"/>
      <c r="Y43" s="3417"/>
      <c r="Z43" s="1145" t="str">
        <f t="shared" si="13"/>
        <v>宗地开发程度</v>
      </c>
      <c r="AA43" s="1556">
        <f t="shared" si="3"/>
        <v>1</v>
      </c>
      <c r="AB43" s="1556">
        <f t="shared" si="4"/>
        <v>1</v>
      </c>
      <c r="AC43" s="1556">
        <f t="shared" si="5"/>
        <v>1</v>
      </c>
    </row>
    <row r="44" spans="1:29" ht="20.25">
      <c r="A44" s="593"/>
      <c r="B44" s="526" t="s">
        <v>555</v>
      </c>
      <c r="C44" s="598" t="s">
        <v>3147</v>
      </c>
      <c r="D44" s="539">
        <v>100</v>
      </c>
      <c r="E44" s="598" t="s">
        <v>3147</v>
      </c>
      <c r="F44" s="539">
        <f>SUMIF(127:127,E44,128:128)-SUMIF(127:127,C44,128:128)+100</f>
        <v>100</v>
      </c>
      <c r="G44" s="598" t="s">
        <v>3147</v>
      </c>
      <c r="H44" s="539">
        <f>SUMIF(127:127,G44,128:128)-SUMIF(127:127,C44,128:128)+100</f>
        <v>100</v>
      </c>
      <c r="I44" s="598" t="s">
        <v>3147</v>
      </c>
      <c r="J44" s="539">
        <f>SUMIF(127:127,I44,128:128)-SUMIF(127:127,C44,128:128)+100</f>
        <v>100</v>
      </c>
      <c r="K44" s="583">
        <v>2</v>
      </c>
      <c r="L44" s="2126"/>
      <c r="M44" s="2116"/>
      <c r="N44" s="2116"/>
      <c r="O44" s="2125"/>
      <c r="P44" s="3417" t="s">
        <v>550</v>
      </c>
      <c r="Q44" s="1557" t="str">
        <f t="shared" si="14"/>
        <v>工程地质条件</v>
      </c>
      <c r="R44" s="1558" t="s">
        <v>8</v>
      </c>
      <c r="S44" s="1559">
        <f t="shared" si="10"/>
        <v>100</v>
      </c>
      <c r="T44" s="1558" t="s">
        <v>8</v>
      </c>
      <c r="U44" s="1559">
        <f t="shared" si="11"/>
        <v>100</v>
      </c>
      <c r="V44" s="1558" t="s">
        <v>8</v>
      </c>
      <c r="W44" s="1559">
        <f t="shared" si="12"/>
        <v>100</v>
      </c>
      <c r="X44" s="1552"/>
      <c r="Y44" s="3417" t="s">
        <v>550</v>
      </c>
      <c r="Z44" s="1560" t="str">
        <f t="shared" si="13"/>
        <v>工程地质条件</v>
      </c>
      <c r="AA44" s="1561">
        <f t="shared" si="3"/>
        <v>1</v>
      </c>
      <c r="AB44" s="1561">
        <f t="shared" si="4"/>
        <v>1</v>
      </c>
      <c r="AC44" s="1561">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17"/>
      <c r="Q45" s="1557">
        <f t="shared" si="14"/>
        <v>0</v>
      </c>
      <c r="R45" s="1558" t="s">
        <v>8</v>
      </c>
      <c r="S45" s="1559">
        <f t="shared" si="10"/>
        <v>100</v>
      </c>
      <c r="T45" s="1558" t="s">
        <v>8</v>
      </c>
      <c r="U45" s="1559">
        <f t="shared" si="11"/>
        <v>100</v>
      </c>
      <c r="V45" s="1558" t="s">
        <v>8</v>
      </c>
      <c r="W45" s="1559">
        <f t="shared" si="12"/>
        <v>100</v>
      </c>
      <c r="X45" s="1552"/>
      <c r="Y45" s="3417"/>
      <c r="Z45" s="1560">
        <f t="shared" si="13"/>
        <v>0</v>
      </c>
      <c r="AA45" s="1561">
        <f t="shared" si="3"/>
        <v>1</v>
      </c>
      <c r="AB45" s="1561">
        <f t="shared" si="4"/>
        <v>1</v>
      </c>
      <c r="AC45" s="1561">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17"/>
      <c r="Q46" s="1557">
        <f t="shared" si="14"/>
        <v>0</v>
      </c>
      <c r="R46" s="1558" t="s">
        <v>8</v>
      </c>
      <c r="S46" s="1559">
        <f t="shared" si="10"/>
        <v>100</v>
      </c>
      <c r="T46" s="1558" t="s">
        <v>8</v>
      </c>
      <c r="U46" s="1559">
        <f t="shared" si="11"/>
        <v>100</v>
      </c>
      <c r="V46" s="1558" t="s">
        <v>8</v>
      </c>
      <c r="W46" s="1559">
        <f t="shared" si="12"/>
        <v>100</v>
      </c>
      <c r="X46" s="1552"/>
      <c r="Y46" s="3417"/>
      <c r="Z46" s="1560">
        <f t="shared" si="13"/>
        <v>0</v>
      </c>
      <c r="AA46" s="1561">
        <f t="shared" si="3"/>
        <v>1</v>
      </c>
      <c r="AB46" s="1561">
        <f t="shared" si="4"/>
        <v>1</v>
      </c>
      <c r="AC46" s="1561">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17"/>
      <c r="Q47" s="1557">
        <f t="shared" si="14"/>
        <v>0</v>
      </c>
      <c r="R47" s="1562" t="s">
        <v>8</v>
      </c>
      <c r="S47" s="1563">
        <f t="shared" si="10"/>
        <v>100</v>
      </c>
      <c r="T47" s="1562" t="s">
        <v>8</v>
      </c>
      <c r="U47" s="1563">
        <f t="shared" si="11"/>
        <v>100</v>
      </c>
      <c r="V47" s="1562" t="s">
        <v>8</v>
      </c>
      <c r="W47" s="1563">
        <f t="shared" si="12"/>
        <v>100</v>
      </c>
      <c r="X47" s="1564"/>
      <c r="Y47" s="3417"/>
      <c r="Z47" s="1565">
        <f t="shared" si="13"/>
        <v>0</v>
      </c>
      <c r="AA47" s="1561">
        <f t="shared" si="3"/>
        <v>1</v>
      </c>
      <c r="AB47" s="1561">
        <f t="shared" si="4"/>
        <v>1</v>
      </c>
      <c r="AC47" s="1561">
        <f t="shared" si="5"/>
        <v>1</v>
      </c>
    </row>
    <row r="48" spans="1:29" ht="20.25">
      <c r="A48" s="606" t="s">
        <v>556</v>
      </c>
      <c r="B48" s="607" t="s">
        <v>3041</v>
      </c>
      <c r="C48" s="608" t="s">
        <v>1</v>
      </c>
      <c r="D48" s="609"/>
      <c r="E48" s="610">
        <f>土地案例!AK2</f>
        <v>1677.74</v>
      </c>
      <c r="F48" s="611"/>
      <c r="G48" s="612">
        <f>土地案例!AK3</f>
        <v>1704.42</v>
      </c>
      <c r="H48" s="613"/>
      <c r="I48" s="610">
        <f>土地案例!AK4</f>
        <v>1895.86</v>
      </c>
      <c r="J48" s="613"/>
      <c r="K48" s="1335"/>
      <c r="L48" s="2128"/>
      <c r="M48" s="2116"/>
      <c r="N48" s="2116"/>
      <c r="O48" s="2129"/>
      <c r="P48" s="3379" t="str">
        <f>A48</f>
        <v>成交单价</v>
      </c>
      <c r="Q48" s="3379"/>
      <c r="R48" s="3380">
        <f>E48</f>
        <v>1677.74</v>
      </c>
      <c r="S48" s="3380"/>
      <c r="T48" s="3380">
        <f>G48</f>
        <v>1704.42</v>
      </c>
      <c r="U48" s="3380"/>
      <c r="V48" s="3380">
        <f>I48</f>
        <v>1895.86</v>
      </c>
      <c r="W48" s="3380"/>
      <c r="X48" s="1544"/>
      <c r="Y48" s="1566"/>
      <c r="Z48" s="1544"/>
      <c r="AA48" s="1544"/>
      <c r="AB48" s="1544"/>
      <c r="AC48" s="1544"/>
    </row>
    <row r="49" spans="1:29" ht="21" thickBot="1">
      <c r="A49" s="614" t="s">
        <v>2693</v>
      </c>
      <c r="B49" s="615"/>
      <c r="C49" s="616">
        <f>R50</f>
        <v>1786</v>
      </c>
      <c r="D49" s="617"/>
      <c r="E49" s="616">
        <f>R49</f>
        <v>1686</v>
      </c>
      <c r="F49" s="618"/>
      <c r="G49" s="619">
        <f>T49</f>
        <v>1696</v>
      </c>
      <c r="H49" s="617"/>
      <c r="I49" s="616">
        <f>V49</f>
        <v>1975</v>
      </c>
      <c r="J49" s="617"/>
      <c r="K49" s="1336"/>
      <c r="L49" s="2128"/>
      <c r="M49" s="2116"/>
      <c r="N49" s="2116"/>
      <c r="O49" s="2129"/>
      <c r="P49" s="3379" t="str">
        <f>A49</f>
        <v>比较价格（元/平方米）</v>
      </c>
      <c r="Q49" s="3379"/>
      <c r="R49" s="3381">
        <f>ROUND(PRODUCT(R48,AA9:AA47),0)</f>
        <v>1686</v>
      </c>
      <c r="S49" s="3381"/>
      <c r="T49" s="3381">
        <f>ROUND(PRODUCT(T48,AB9:AB47),0)</f>
        <v>1696</v>
      </c>
      <c r="U49" s="3381"/>
      <c r="V49" s="3381">
        <f>ROUND(PRODUCT(V48,AC9:AC47),0)</f>
        <v>1975</v>
      </c>
      <c r="W49" s="3381"/>
      <c r="X49" s="1544"/>
      <c r="Y49" s="1544"/>
      <c r="Z49" s="1544"/>
      <c r="AA49" s="1544"/>
      <c r="AB49" s="1544"/>
      <c r="AC49" s="1544"/>
    </row>
    <row r="50" spans="1:29" ht="21" thickBot="1">
      <c r="A50" s="620" t="s">
        <v>2933</v>
      </c>
      <c r="B50" s="621"/>
      <c r="C50" s="622">
        <f>R50</f>
        <v>1786</v>
      </c>
      <c r="D50" s="622"/>
      <c r="E50" s="622"/>
      <c r="F50" s="622"/>
      <c r="G50" s="622"/>
      <c r="H50" s="622"/>
      <c r="I50" s="622"/>
      <c r="J50" s="622"/>
      <c r="K50" s="1337"/>
      <c r="L50" s="2128"/>
      <c r="M50" s="2116"/>
      <c r="N50" s="2116"/>
      <c r="O50" s="2129"/>
      <c r="P50" s="3376" t="str">
        <f>A50</f>
        <v>估价对象XX用房的比较价格（楼面单价，元/平方米）</v>
      </c>
      <c r="Q50" s="3377"/>
      <c r="R50" s="3378">
        <f>ROUND(AVERAGE(R49:V49),0)</f>
        <v>1786</v>
      </c>
      <c r="S50" s="3378"/>
      <c r="T50" s="3378"/>
      <c r="U50" s="3378"/>
      <c r="V50" s="3378"/>
      <c r="W50" s="337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4.9232896634758827E-3</v>
      </c>
      <c r="F53" s="626" t="str">
        <f>IF(OR(E53&gt;=0.3,E53&lt;=-0.3),"超过30%","")</f>
        <v/>
      </c>
      <c r="G53" s="625">
        <f>IF(G48&lt;G49,G49/G48-1,G48/G49-1)</f>
        <v>4.9646226415094308E-3</v>
      </c>
      <c r="H53" s="626" t="str">
        <f>IF(OR(G53&gt;=0.3,G53&lt;=-0.3),"超过30%","")</f>
        <v/>
      </c>
      <c r="I53" s="625">
        <f>IF(I48&lt;I49,I49/I48-1,I48/I49-1)</f>
        <v>4.1743588661609987E-2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5.9311981020166993E-3</v>
      </c>
      <c r="F54" s="626" t="str">
        <f>IF(OR(E54&gt;=0.2,E54&lt;=-0.2),"超过20%","")</f>
        <v/>
      </c>
      <c r="G54" s="625">
        <f>IF(G49&lt;I49,I49/G49-1,G49/I49-1)</f>
        <v>0.164504716981132</v>
      </c>
      <c r="H54" s="626" t="str">
        <f>IF(OR(G54&gt;=0.2,G54&lt;=-0.2),"超过20%","")</f>
        <v/>
      </c>
      <c r="I54" s="625">
        <f>IF(I49&lt;E49,E49/I49-1,I49/E49-1)</f>
        <v>0.17141162514828001</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1.5902344821009162E-2</v>
      </c>
      <c r="F55" s="626" t="str">
        <f>IF(OR(E55&gt;=0.3,E55&lt;=-0.3),"超过30%","")</f>
        <v/>
      </c>
      <c r="G55" s="625">
        <f>IF(G48&lt;I48,I48/G48-1,G48/I48-1)</f>
        <v>0.11231973339904466</v>
      </c>
      <c r="H55" s="626" t="str">
        <f>IF(OR(G55&gt;=0.3,G55&lt;=-0.3),"超过30%","")</f>
        <v/>
      </c>
      <c r="I55" s="625">
        <f>IF(I48&lt;E48,E48/I48-1,I48/E48-1)</f>
        <v>0.1300082253507695</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406" t="s">
        <v>2281</v>
      </c>
      <c r="H57" s="3407"/>
      <c r="I57" s="1540" t="s">
        <v>1722</v>
      </c>
      <c r="J57" s="1540" t="str">
        <f>项目基本情况!F41</f>
        <v>广东省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1786</v>
      </c>
      <c r="C58" s="634">
        <v>1</v>
      </c>
      <c r="D58" s="2212">
        <v>1</v>
      </c>
      <c r="E58" s="634">
        <f>'数据-汇总表'!E8+'数据-汇总表'!E9</f>
        <v>213546.4</v>
      </c>
      <c r="F58" s="635">
        <f t="shared" ref="F58:F67" si="15">ROUND(B58*E58/10000,0)</f>
        <v>38139</v>
      </c>
      <c r="G58" s="3408"/>
      <c r="H58" s="340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3410"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341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341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341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75962.399999999994</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289508.8</v>
      </c>
      <c r="F68" s="643">
        <f>IF(B48="楼面地价",SUM(F58:F67),ROUND(C50*E68/10000,0))</f>
        <v>38139</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2019-11-1</v>
      </c>
      <c r="D70" s="2753">
        <f>EDATE(C70,-3)</f>
        <v>43678</v>
      </c>
      <c r="E70" s="2753">
        <f t="shared" ref="E70:N70" si="18">EDATE(D70,-3)</f>
        <v>43586</v>
      </c>
      <c r="F70" s="2753">
        <f t="shared" si="18"/>
        <v>43497</v>
      </c>
      <c r="G70" s="2753">
        <f t="shared" si="18"/>
        <v>43405</v>
      </c>
      <c r="H70" s="2753">
        <f t="shared" si="18"/>
        <v>43313</v>
      </c>
      <c r="I70" s="2753">
        <f t="shared" si="18"/>
        <v>43221</v>
      </c>
      <c r="J70" s="2753">
        <f t="shared" si="18"/>
        <v>43132</v>
      </c>
      <c r="K70" s="2753">
        <f t="shared" si="18"/>
        <v>43040</v>
      </c>
      <c r="L70" s="2753">
        <f t="shared" si="18"/>
        <v>42948</v>
      </c>
      <c r="M70" s="2753">
        <f t="shared" si="18"/>
        <v>42856</v>
      </c>
      <c r="N70" s="2753">
        <f t="shared" si="18"/>
        <v>42767</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北京市平均增长率1.98%</v>
      </c>
      <c r="C73" s="893">
        <v>100</v>
      </c>
      <c r="D73" s="729">
        <f>C73-0.5</f>
        <v>99.5</v>
      </c>
      <c r="E73" s="729">
        <f t="shared" ref="E73:J73" si="20">D73-0.5</f>
        <v>99</v>
      </c>
      <c r="F73" s="729">
        <f t="shared" si="20"/>
        <v>98.5</v>
      </c>
      <c r="G73" s="729">
        <f t="shared" si="20"/>
        <v>98</v>
      </c>
      <c r="H73" s="729">
        <f t="shared" si="20"/>
        <v>97.5</v>
      </c>
      <c r="I73" s="729">
        <f t="shared" si="20"/>
        <v>97</v>
      </c>
      <c r="J73" s="729">
        <f t="shared" si="20"/>
        <v>96.5</v>
      </c>
      <c r="K73" s="729">
        <f t="shared" ref="K73" si="21">J73-0.5</f>
        <v>96</v>
      </c>
      <c r="L73" s="729">
        <f t="shared" ref="L73" si="22">K73-0.5</f>
        <v>95.5</v>
      </c>
      <c r="M73" s="729">
        <f t="shared" ref="M73" si="23">L73-0.5</f>
        <v>95</v>
      </c>
      <c r="N73" s="729">
        <f t="shared" ref="N73" si="24">M73-0.5</f>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90" t="s">
        <v>3201</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5">D82&amp;"（含）"&amp;"-"&amp;E82</f>
        <v>1（含）-2</v>
      </c>
      <c r="E81" s="681" t="str">
        <f t="shared" si="25"/>
        <v>2（含）-3</v>
      </c>
      <c r="F81" s="681" t="str">
        <f t="shared" si="25"/>
        <v>3（含）-4</v>
      </c>
      <c r="G81" s="681" t="str">
        <f t="shared" si="25"/>
        <v>4（含）-5</v>
      </c>
      <c r="H81" s="681" t="str">
        <f t="shared" si="25"/>
        <v>5（含）-</v>
      </c>
      <c r="I81" s="681" t="str">
        <f t="shared" si="25"/>
        <v>（含）-</v>
      </c>
      <c r="J81" s="681" t="str">
        <f t="shared" si="25"/>
        <v>（含）-</v>
      </c>
      <c r="K81" s="681" t="str">
        <f t="shared" si="25"/>
        <v>（含）-</v>
      </c>
      <c r="L81" s="681" t="str">
        <f t="shared" si="25"/>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99.5</v>
      </c>
      <c r="E83" s="678">
        <f t="shared" ref="E83:M83" si="26">IF($B$48="单位面积地价",D83+$K13,D83-$K13)</f>
        <v>99</v>
      </c>
      <c r="F83" s="678">
        <f t="shared" si="26"/>
        <v>98.5</v>
      </c>
      <c r="G83" s="678">
        <f t="shared" si="26"/>
        <v>98</v>
      </c>
      <c r="H83" s="678">
        <f t="shared" si="26"/>
        <v>97.5</v>
      </c>
      <c r="I83" s="678">
        <f t="shared" si="26"/>
        <v>97</v>
      </c>
      <c r="J83" s="678">
        <f t="shared" si="26"/>
        <v>96.5</v>
      </c>
      <c r="K83" s="678">
        <f t="shared" si="26"/>
        <v>96</v>
      </c>
      <c r="L83" s="678">
        <f t="shared" si="26"/>
        <v>95.5</v>
      </c>
      <c r="M83" s="678">
        <f t="shared" si="26"/>
        <v>95</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7">D107-$K33</f>
        <v>100</v>
      </c>
      <c r="F107" s="678">
        <f t="shared" si="27"/>
        <v>100</v>
      </c>
      <c r="G107" s="678">
        <f t="shared" si="27"/>
        <v>100</v>
      </c>
      <c r="H107" s="678">
        <f t="shared" si="27"/>
        <v>100</v>
      </c>
      <c r="I107" s="678">
        <f t="shared" si="27"/>
        <v>100</v>
      </c>
      <c r="J107" s="678">
        <f t="shared" si="27"/>
        <v>100</v>
      </c>
      <c r="K107" s="678">
        <f t="shared" si="27"/>
        <v>100</v>
      </c>
      <c r="L107" s="678">
        <f t="shared" si="27"/>
        <v>100</v>
      </c>
      <c r="M107" s="678">
        <f t="shared" si="27"/>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95" t="s">
        <v>3116</v>
      </c>
      <c r="D108" s="3195" t="s">
        <v>3117</v>
      </c>
      <c r="E108" s="3195" t="s">
        <v>3118</v>
      </c>
      <c r="F108" s="3195" t="s">
        <v>3119</v>
      </c>
      <c r="G108" s="3195" t="s">
        <v>3120</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8">D109-$K34</f>
        <v>98</v>
      </c>
      <c r="F109" s="678">
        <f t="shared" si="28"/>
        <v>97</v>
      </c>
      <c r="G109" s="678">
        <f t="shared" si="28"/>
        <v>96</v>
      </c>
      <c r="H109" s="678">
        <f t="shared" si="28"/>
        <v>95</v>
      </c>
      <c r="I109" s="678">
        <f t="shared" si="28"/>
        <v>94</v>
      </c>
      <c r="J109" s="678">
        <f t="shared" si="28"/>
        <v>93</v>
      </c>
      <c r="K109" s="678">
        <f t="shared" si="28"/>
        <v>92</v>
      </c>
      <c r="L109" s="678">
        <f t="shared" si="28"/>
        <v>91</v>
      </c>
      <c r="M109" s="678">
        <f t="shared" si="28"/>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9">D111-$K36</f>
        <v>100</v>
      </c>
      <c r="F111" s="678">
        <f t="shared" si="29"/>
        <v>100</v>
      </c>
      <c r="G111" s="678">
        <f t="shared" si="29"/>
        <v>100</v>
      </c>
      <c r="H111" s="678">
        <f t="shared" si="29"/>
        <v>100</v>
      </c>
      <c r="I111" s="678">
        <f t="shared" si="29"/>
        <v>100</v>
      </c>
      <c r="J111" s="678">
        <f t="shared" si="29"/>
        <v>100</v>
      </c>
      <c r="K111" s="678">
        <f t="shared" si="29"/>
        <v>100</v>
      </c>
      <c r="L111" s="678">
        <f t="shared" si="29"/>
        <v>100</v>
      </c>
      <c r="M111" s="678">
        <f t="shared" si="29"/>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30">C119&amp;"(含)"&amp;"-"&amp;D119</f>
        <v>0(含)-50000</v>
      </c>
      <c r="D118" s="703" t="str">
        <f t="shared" si="30"/>
        <v>50000(含)-100000</v>
      </c>
      <c r="E118" s="703" t="str">
        <f t="shared" si="30"/>
        <v>100000(含)-200000</v>
      </c>
      <c r="F118" s="703" t="str">
        <f t="shared" si="30"/>
        <v>200000(含)-</v>
      </c>
      <c r="G118" s="703" t="str">
        <f t="shared" si="30"/>
        <v>(含)-</v>
      </c>
      <c r="H118" s="703" t="str">
        <f t="shared" si="30"/>
        <v>(含)-</v>
      </c>
      <c r="I118" s="703" t="str">
        <f t="shared" si="30"/>
        <v>(含)-</v>
      </c>
      <c r="J118" s="3037" t="str">
        <f t="shared" si="30"/>
        <v>(含)-</v>
      </c>
      <c r="K118" s="3037" t="str">
        <f t="shared" si="30"/>
        <v>(含)-</v>
      </c>
      <c r="L118" s="3038" t="str">
        <f t="shared" si="30"/>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50000</v>
      </c>
      <c r="E119" s="729">
        <v>100000</v>
      </c>
      <c r="F119" s="729">
        <v>200000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f>C120+1</f>
        <v>101</v>
      </c>
      <c r="E120" s="725">
        <f t="shared" ref="E120:F120" si="31">D120+1</f>
        <v>102</v>
      </c>
      <c r="F120" s="725">
        <f t="shared" si="31"/>
        <v>103</v>
      </c>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32">C122-$K41</f>
        <v>100</v>
      </c>
      <c r="E122" s="678">
        <f t="shared" si="32"/>
        <v>100</v>
      </c>
      <c r="F122" s="678">
        <f t="shared" si="32"/>
        <v>100</v>
      </c>
      <c r="G122" s="678">
        <f t="shared" si="32"/>
        <v>100</v>
      </c>
      <c r="H122" s="678">
        <f t="shared" si="32"/>
        <v>100</v>
      </c>
      <c r="I122" s="678">
        <f t="shared" si="32"/>
        <v>100</v>
      </c>
      <c r="J122" s="678">
        <f t="shared" si="32"/>
        <v>100</v>
      </c>
      <c r="K122" s="678">
        <f t="shared" si="32"/>
        <v>100</v>
      </c>
      <c r="L122" s="678">
        <f t="shared" si="32"/>
        <v>100</v>
      </c>
      <c r="M122" s="679">
        <f t="shared" si="32"/>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3">C124-$K42</f>
        <v>100</v>
      </c>
      <c r="E124" s="678">
        <f t="shared" si="33"/>
        <v>100</v>
      </c>
      <c r="F124" s="678">
        <f t="shared" si="33"/>
        <v>100</v>
      </c>
      <c r="G124" s="678">
        <f t="shared" si="33"/>
        <v>100</v>
      </c>
      <c r="H124" s="678">
        <f t="shared" si="33"/>
        <v>100</v>
      </c>
      <c r="I124" s="678">
        <f t="shared" si="33"/>
        <v>100</v>
      </c>
      <c r="J124" s="678">
        <f t="shared" si="33"/>
        <v>100</v>
      </c>
      <c r="K124" s="678">
        <f t="shared" si="33"/>
        <v>100</v>
      </c>
      <c r="L124" s="678">
        <f t="shared" si="33"/>
        <v>100</v>
      </c>
      <c r="M124" s="679">
        <f t="shared" si="33"/>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3192" t="s">
        <v>3132</v>
      </c>
      <c r="D125" s="3192" t="s">
        <v>3133</v>
      </c>
      <c r="E125" s="3192" t="s">
        <v>3134</v>
      </c>
      <c r="F125" s="3192" t="s">
        <v>3135</v>
      </c>
      <c r="G125" s="3192" t="s">
        <v>3136</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99</v>
      </c>
      <c r="E126" s="678">
        <f t="shared" ref="E126:M126" si="34">D126-$K43</f>
        <v>98</v>
      </c>
      <c r="F126" s="678">
        <f t="shared" si="34"/>
        <v>97</v>
      </c>
      <c r="G126" s="678">
        <f t="shared" si="34"/>
        <v>96</v>
      </c>
      <c r="H126" s="678">
        <f t="shared" si="34"/>
        <v>95</v>
      </c>
      <c r="I126" s="678">
        <f t="shared" si="34"/>
        <v>94</v>
      </c>
      <c r="J126" s="678">
        <f t="shared" si="34"/>
        <v>93</v>
      </c>
      <c r="K126" s="678">
        <f t="shared" si="34"/>
        <v>92</v>
      </c>
      <c r="L126" s="678">
        <f t="shared" si="34"/>
        <v>91</v>
      </c>
      <c r="M126" s="679">
        <f t="shared" si="34"/>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t="s">
        <v>3160</v>
      </c>
      <c r="D127" s="687" t="s">
        <v>3161</v>
      </c>
      <c r="E127" s="717" t="s">
        <v>3162</v>
      </c>
      <c r="F127" s="717" t="s">
        <v>3163</v>
      </c>
      <c r="G127" s="717" t="s">
        <v>3164</v>
      </c>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5">C128-$K44</f>
        <v>98</v>
      </c>
      <c r="E128" s="678">
        <f t="shared" si="35"/>
        <v>96</v>
      </c>
      <c r="F128" s="678">
        <f t="shared" si="35"/>
        <v>94</v>
      </c>
      <c r="G128" s="678">
        <f t="shared" si="35"/>
        <v>92</v>
      </c>
      <c r="H128" s="678">
        <f t="shared" si="35"/>
        <v>90</v>
      </c>
      <c r="I128" s="678">
        <f t="shared" si="35"/>
        <v>88</v>
      </c>
      <c r="J128" s="678">
        <f t="shared" si="35"/>
        <v>86</v>
      </c>
      <c r="K128" s="678">
        <f t="shared" si="35"/>
        <v>84</v>
      </c>
      <c r="L128" s="678">
        <f t="shared" si="35"/>
        <v>82</v>
      </c>
      <c r="M128" s="679">
        <f t="shared" si="35"/>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0</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0</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0</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08" t="str">
        <f>项目基本情况!B1</f>
        <v>广东省汕尾市区中轴西路东侧出让国有建设用地使用权抵押价格预评估</v>
      </c>
      <c r="C37" s="3208"/>
      <c r="D37" s="3208"/>
      <c r="E37" s="3208"/>
      <c r="F37" s="3208"/>
      <c r="G37" s="3208"/>
      <c r="H37" s="3208"/>
      <c r="I37" s="3208"/>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5" sqref="C1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11</v>
      </c>
    </row>
    <row r="2" spans="1:31" s="2025" customFormat="1" ht="18" customHeight="1">
      <c r="A2" s="2085" t="s">
        <v>467</v>
      </c>
      <c r="B2" s="2089">
        <f ca="1">C36</f>
        <v>95353</v>
      </c>
      <c r="C2" s="2088"/>
      <c r="D2" s="2088"/>
      <c r="E2" s="2088"/>
      <c r="F2" s="2088"/>
      <c r="G2" s="2088"/>
      <c r="H2" s="2088"/>
      <c r="I2" s="2088"/>
      <c r="J2" s="2088"/>
      <c r="K2" s="2088"/>
    </row>
    <row r="3" spans="1:31" s="2025" customFormat="1" ht="18" customHeight="1">
      <c r="A3" s="2090" t="s">
        <v>1684</v>
      </c>
      <c r="B3" s="2091">
        <f ca="1">ROUND(B2*10000/IF(B1="",'数据-汇总表'!E3,INDIRECT("'数据-取费表'!K"&amp;$K$1)),0)</f>
        <v>3133</v>
      </c>
      <c r="C3" s="2088"/>
      <c r="D3" s="2088"/>
      <c r="E3" s="2088"/>
      <c r="F3" s="2088"/>
      <c r="G3" s="2088"/>
      <c r="H3" s="2088"/>
      <c r="I3" s="2088"/>
      <c r="J3" s="2088"/>
      <c r="K3" s="2088"/>
    </row>
    <row r="4" spans="1:31" s="2025" customFormat="1" ht="18" customHeight="1">
      <c r="A4" s="425" t="s">
        <v>468</v>
      </c>
      <c r="B4" s="426">
        <f ca="1">ROUND(B2*10000/IF(B1="",'数据-汇总表'!D3,INDIRECT("'数据-取费表'!R"&amp;$K$1)),0)</f>
        <v>16099</v>
      </c>
      <c r="C4" s="427"/>
      <c r="D4" s="421"/>
      <c r="E4" s="421"/>
      <c r="F4" s="421"/>
      <c r="G4" s="421"/>
      <c r="H4" s="421"/>
      <c r="I4" s="421"/>
      <c r="J4" s="421"/>
      <c r="K4" s="421"/>
    </row>
    <row r="5" spans="1:31" s="2025" customFormat="1" ht="18" customHeight="1" thickBot="1">
      <c r="A5" s="428"/>
      <c r="B5" s="429">
        <f ca="1">ROUND(B2/(IF(B1="",'数据-汇总表'!D3,INDIRECT("'数据-取费表'!R"&amp;$K$1))/666.67),0)</f>
        <v>1073</v>
      </c>
      <c r="C5" s="430" t="s">
        <v>469</v>
      </c>
      <c r="D5" s="421"/>
      <c r="E5" s="421"/>
      <c r="F5" s="421"/>
      <c r="G5" s="421"/>
      <c r="H5" s="421"/>
      <c r="I5" s="421"/>
      <c r="J5" s="421"/>
      <c r="K5" s="421"/>
    </row>
    <row r="6" spans="1:31" s="2095" customFormat="1" ht="16.5" customHeight="1">
      <c r="A6" s="2782" t="s">
        <v>1842</v>
      </c>
      <c r="B6" s="2783"/>
      <c r="C6" s="2784">
        <f>SUM(C10:K10)</f>
        <v>275927.87</v>
      </c>
      <c r="D6" s="2783"/>
      <c r="E6" s="2783"/>
      <c r="F6" s="2783"/>
      <c r="G6" s="2783"/>
      <c r="H6" s="2783"/>
      <c r="I6" s="2783"/>
      <c r="J6" s="2783"/>
      <c r="K6" s="2785"/>
    </row>
    <row r="7" spans="1:31" s="2097" customFormat="1" ht="15">
      <c r="A7" s="2786" t="s">
        <v>470</v>
      </c>
      <c r="B7" s="2787" t="s">
        <v>471</v>
      </c>
      <c r="C7" s="435" t="s">
        <v>923</v>
      </c>
      <c r="D7" s="435" t="s">
        <v>3208</v>
      </c>
      <c r="E7" s="435" t="s">
        <v>3001</v>
      </c>
      <c r="F7" s="435" t="s">
        <v>35</v>
      </c>
      <c r="G7" s="435" t="s">
        <v>3210</v>
      </c>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v>12500</v>
      </c>
      <c r="D8" s="2788">
        <v>12000</v>
      </c>
      <c r="E8" s="2788">
        <v>13000</v>
      </c>
      <c r="F8" s="2788">
        <v>2026</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132855.79999999999</v>
      </c>
      <c r="D9" s="440">
        <f>SUMIF('数据-汇总表'!$C19:$C33,'剩余法-待开发'!D7,'数据-汇总表'!$E19:$E33)</f>
        <v>71956.600000000006</v>
      </c>
      <c r="E9" s="440">
        <f>SUMIF('数据-汇总表'!$C19:$C33,'剩余法-待开发'!E7,'数据-汇总表'!$E19:$E33)</f>
        <v>8734</v>
      </c>
      <c r="F9" s="440">
        <f>SUMIF('数据-汇总表'!$C19:$C33,'剩余法-待开发'!F7,'数据-汇总表'!$E19:$E33)</f>
        <v>75962.399999999994</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f>'数据-取费表'!AH9</f>
        <v>1753</v>
      </c>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7">
        <f>C8*C9/10000</f>
        <v>166069.74999999997</v>
      </c>
      <c r="D10" s="2977">
        <f>D8*D9/10000</f>
        <v>86347.920000000013</v>
      </c>
      <c r="E10" s="2977">
        <f t="shared" ref="E10:G10" si="0">E8*E9/10000</f>
        <v>11354.2</v>
      </c>
      <c r="F10" s="2977">
        <f>F8*6</f>
        <v>12156</v>
      </c>
      <c r="G10" s="2977"/>
      <c r="H10" s="2791"/>
      <c r="I10" s="2791"/>
      <c r="J10" s="2791"/>
      <c r="K10" s="2792"/>
      <c r="L10" s="2098">
        <f>F10/L9</f>
        <v>6.9343981745579004</v>
      </c>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84899</v>
      </c>
      <c r="D13" s="2798"/>
      <c r="E13" s="2799"/>
      <c r="F13" s="2800"/>
      <c r="G13" s="2766"/>
      <c r="H13" s="2767"/>
      <c r="I13" s="2767"/>
      <c r="J13" s="2767"/>
      <c r="K13" s="2768"/>
    </row>
    <row r="14" spans="1:31" s="2100" customFormat="1" ht="13.5" customHeight="1">
      <c r="A14" s="2796" t="s">
        <v>1849</v>
      </c>
      <c r="B14" s="2797" t="s">
        <v>480</v>
      </c>
      <c r="C14" s="53">
        <f ca="1">ROUND(C13*F14,0)</f>
        <v>2547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4251</v>
      </c>
      <c r="D15" s="2798"/>
      <c r="E15" s="2799"/>
      <c r="F15" s="2801">
        <f>'数据-取费表'!B34</f>
        <v>0.1</v>
      </c>
      <c r="G15" s="2766" t="s">
        <v>483</v>
      </c>
      <c r="H15" s="2767"/>
      <c r="I15" s="2767"/>
      <c r="J15" s="2767"/>
      <c r="K15" s="2768"/>
    </row>
    <row r="16" spans="1:31" s="2101" customFormat="1" ht="13.5" customHeight="1">
      <c r="A16" s="2796" t="s">
        <v>1851</v>
      </c>
      <c r="B16" s="2797" t="s">
        <v>484</v>
      </c>
      <c r="C16" s="53">
        <f ca="1">ROUND(D16*E16/10000,0)</f>
        <v>4565</v>
      </c>
      <c r="D16" s="2798">
        <f ca="1">IF(B1="",'数据-汇总表'!E3,INDIRECT("'数据-取费表'!K"&amp;$K$1)+INDIRECT("'数据-取费表'!S"&amp;$K$1))</f>
        <v>304328.8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1273</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97535</v>
      </c>
      <c r="D18" s="2807"/>
      <c r="E18" s="467"/>
      <c r="F18" s="467"/>
      <c r="G18" s="2770" t="s">
        <v>2430</v>
      </c>
      <c r="H18" s="2771"/>
      <c r="I18" s="2771"/>
      <c r="J18" s="2771"/>
      <c r="K18" s="2772"/>
    </row>
    <row r="19" spans="1:14" s="2100" customFormat="1" ht="13.5" customHeight="1">
      <c r="A19" s="2804" t="s">
        <v>1854</v>
      </c>
      <c r="B19" s="2805" t="s">
        <v>488</v>
      </c>
      <c r="C19" s="2762">
        <f ca="1">ROUND(D19*E19/10000,0)</f>
        <v>4565</v>
      </c>
      <c r="D19" s="2808">
        <f ca="1">D16</f>
        <v>304328.8</v>
      </c>
      <c r="E19" s="2762">
        <f>'数据-取费表'!B32</f>
        <v>150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3652</v>
      </c>
      <c r="D20" s="2808"/>
      <c r="E20" s="2762"/>
      <c r="F20" s="2809"/>
      <c r="G20" s="3033"/>
      <c r="H20" s="2764"/>
      <c r="I20" s="2765" t="s">
        <v>2651</v>
      </c>
      <c r="J20" s="2771"/>
      <c r="K20" s="2772"/>
    </row>
    <row r="21" spans="1:14" s="2100" customFormat="1" ht="13.5" customHeight="1">
      <c r="A21" s="2796" t="s">
        <v>1856</v>
      </c>
      <c r="B21" s="2797" t="s">
        <v>491</v>
      </c>
      <c r="C21" s="53">
        <f ca="1">ROUND(D21*E21/10000,0)</f>
        <v>1594</v>
      </c>
      <c r="D21" s="2798">
        <f ca="1">IF(B1="",'数据-汇总表'!E5,IF(INDIRECT("'数据-取费表'!c"&amp;$K$1)="住宅",INDIRECT("'数据-取费表'!k"&amp;$K$1),0))</f>
        <v>132855.79999999999</v>
      </c>
      <c r="E21" s="53">
        <f>'数据-取费表'!B27</f>
        <v>120</v>
      </c>
      <c r="F21" s="2801"/>
      <c r="G21" s="26"/>
      <c r="H21" s="51"/>
      <c r="I21" s="51"/>
      <c r="J21" s="51"/>
      <c r="K21" s="2773"/>
    </row>
    <row r="22" spans="1:14" s="2100" customFormat="1" ht="13.5" customHeight="1">
      <c r="A22" s="2796" t="s">
        <v>1857</v>
      </c>
      <c r="B22" s="2797" t="s">
        <v>492</v>
      </c>
      <c r="C22" s="53">
        <f ca="1">ROUND(D22*E22/10000,0)</f>
        <v>2058</v>
      </c>
      <c r="D22" s="2798">
        <f ca="1">IF(B1="",'数据-汇总表'!E6,IF(INDIRECT("'数据-取费表'!c"&amp;$K$1)="住宅",INDIRECT("'数据-取费表'!s"&amp;$K$1),INDIRECT("'数据-取费表'!k"&amp;$K$1)+INDIRECT("'数据-取费表'!s"&amp;$K$1)))</f>
        <v>171473</v>
      </c>
      <c r="E22" s="53">
        <f>'数据-取费表'!B28</f>
        <v>120</v>
      </c>
      <c r="F22" s="2801"/>
      <c r="G22" s="26"/>
      <c r="H22" s="51"/>
      <c r="I22" s="51"/>
      <c r="J22" s="51"/>
      <c r="K22" s="2773"/>
    </row>
    <row r="23" spans="1:14" s="2100" customFormat="1" ht="13.5" customHeight="1">
      <c r="A23" s="2804" t="s">
        <v>1858</v>
      </c>
      <c r="B23" s="2983" t="s">
        <v>2834</v>
      </c>
      <c r="C23" s="2806">
        <f ca="1">ROUND((C18+C19+C20)*F23,0)</f>
        <v>1058</v>
      </c>
      <c r="D23" s="467"/>
      <c r="E23" s="467"/>
      <c r="F23" s="2810">
        <f>'数据-取费表'!B37</f>
        <v>0.01</v>
      </c>
      <c r="G23" s="2766" t="s">
        <v>2431</v>
      </c>
      <c r="H23" s="2767"/>
      <c r="I23" s="2767"/>
      <c r="J23" s="2767"/>
      <c r="K23" s="2768"/>
      <c r="L23" s="2102"/>
      <c r="M23" s="2102"/>
      <c r="N23" s="2102"/>
    </row>
    <row r="24" spans="1:14" s="2100" customFormat="1" ht="13.5" customHeight="1">
      <c r="A24" s="2804" t="s">
        <v>1859</v>
      </c>
      <c r="B24" s="2983" t="s">
        <v>2837</v>
      </c>
      <c r="C24" s="2806">
        <f>ROUND(C6*F24,0)</f>
        <v>4139</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3" t="s">
        <v>2835</v>
      </c>
      <c r="C25" s="466">
        <f>ROUND(F25/(1+'数据-取费表'!C42),4)</f>
        <v>2.9000000000000001E-2</v>
      </c>
      <c r="D25" s="461" t="s">
        <v>2829</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4" t="s">
        <v>2836</v>
      </c>
      <c r="C26" s="2811">
        <f ca="1">C28</f>
        <v>6626</v>
      </c>
      <c r="D26" s="466">
        <f ca="1">C27</f>
        <v>0.12659999999999999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0.12659999999999999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6626</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ROUND(C6*F29/(1+'数据-取费表'!C42),0)</f>
        <v>14716</v>
      </c>
      <c r="D29" s="467"/>
      <c r="E29" s="467"/>
      <c r="F29" s="2985">
        <f>'数据-取费表'!B41</f>
        <v>5.6000000000000001E-2</v>
      </c>
      <c r="G29" s="2775" t="s">
        <v>498</v>
      </c>
      <c r="H29" s="2767"/>
      <c r="I29" s="2767"/>
      <c r="J29" s="2767"/>
      <c r="K29" s="2768"/>
    </row>
    <row r="30" spans="1:14" s="2105" customFormat="1" ht="13.5" customHeight="1">
      <c r="A30" s="1619" t="s">
        <v>1863</v>
      </c>
      <c r="B30" s="2816" t="s">
        <v>500</v>
      </c>
      <c r="C30" s="2811">
        <f ca="1">C31</f>
        <v>132291</v>
      </c>
      <c r="D30" s="476">
        <f ca="1">C32</f>
        <v>0.15559999999999999</v>
      </c>
      <c r="E30" s="468" t="s">
        <v>495</v>
      </c>
      <c r="F30" s="470"/>
      <c r="G30" s="2774" t="s">
        <v>2969</v>
      </c>
      <c r="H30" s="2767"/>
      <c r="I30" s="2767"/>
      <c r="J30" s="2767"/>
      <c r="K30" s="2768"/>
    </row>
    <row r="31" spans="1:14" s="2104" customFormat="1" ht="13.5" customHeight="1">
      <c r="A31" s="802" t="s">
        <v>1856</v>
      </c>
      <c r="B31" s="2812"/>
      <c r="C31" s="449">
        <f ca="1">C18+C19+C20+C23+C24+C26+C29</f>
        <v>132291</v>
      </c>
      <c r="D31" s="471"/>
      <c r="E31" s="472"/>
      <c r="F31" s="473"/>
      <c r="G31" s="260"/>
      <c r="H31" s="2769"/>
      <c r="I31" s="2769"/>
      <c r="J31" s="2769"/>
      <c r="K31" s="278"/>
    </row>
    <row r="32" spans="1:14" s="2104" customFormat="1" ht="13.5" customHeight="1">
      <c r="A32" s="802" t="s">
        <v>1857</v>
      </c>
      <c r="B32" s="2812"/>
      <c r="C32" s="53">
        <f ca="1">ROUND(C25+D26,4)</f>
        <v>0.15559999999999999</v>
      </c>
      <c r="D32" s="471"/>
      <c r="E32" s="472"/>
      <c r="F32" s="473"/>
      <c r="G32" s="260"/>
      <c r="H32" s="2769"/>
      <c r="I32" s="2769"/>
      <c r="J32" s="2769"/>
      <c r="K32" s="278"/>
    </row>
    <row r="33" spans="1:11" s="2106" customFormat="1" ht="13.5" customHeight="1">
      <c r="A33" s="2982" t="s">
        <v>2833</v>
      </c>
      <c r="B33" s="2980" t="s">
        <v>2831</v>
      </c>
      <c r="C33" s="477">
        <f ca="1">C35</f>
        <v>17752</v>
      </c>
      <c r="D33" s="466">
        <f ca="1">C34</f>
        <v>0.1646</v>
      </c>
      <c r="E33" s="468" t="s">
        <v>495</v>
      </c>
      <c r="F33" s="478">
        <f ca="1">IF(B1="",'数据-取费表'!Q16,INDIRECT("'数据-取费表'!q"&amp;$K$1))</f>
        <v>0.16</v>
      </c>
      <c r="G33" s="2770"/>
      <c r="H33" s="2771"/>
      <c r="I33" s="2771"/>
      <c r="J33" s="2771"/>
      <c r="K33" s="2772"/>
    </row>
    <row r="34" spans="1:11" s="2107" customFormat="1" ht="13.5" customHeight="1">
      <c r="A34" s="374" t="s">
        <v>1856</v>
      </c>
      <c r="B34" s="2817" t="s">
        <v>501</v>
      </c>
      <c r="C34" s="471">
        <f ca="1">ROUND((1+C25)*F33,4)</f>
        <v>0.1646</v>
      </c>
      <c r="D34" s="471"/>
      <c r="E34" s="472"/>
      <c r="F34" s="479"/>
      <c r="G34" s="260" t="s">
        <v>2290</v>
      </c>
      <c r="H34" s="2769"/>
      <c r="I34" s="2769"/>
      <c r="J34" s="2769"/>
      <c r="K34" s="278"/>
    </row>
    <row r="35" spans="1:11" s="2107" customFormat="1" ht="13.5" customHeight="1" thickBot="1">
      <c r="A35" s="1620" t="s">
        <v>1857</v>
      </c>
      <c r="B35" s="2981" t="s">
        <v>2839</v>
      </c>
      <c r="C35" s="1612">
        <f ca="1">ROUND((C18+C19+C20+C23+C24)*F33,0)</f>
        <v>17752</v>
      </c>
      <c r="D35" s="1613"/>
      <c r="E35" s="2818"/>
      <c r="F35" s="1614"/>
      <c r="G35" s="2776"/>
      <c r="H35" s="2777"/>
      <c r="I35" s="2777"/>
      <c r="J35" s="2777"/>
      <c r="K35" s="2778"/>
    </row>
    <row r="36" spans="1:11" s="2069" customFormat="1" ht="13.5" customHeight="1" thickBot="1">
      <c r="A36" s="283" t="s">
        <v>1844</v>
      </c>
      <c r="B36" s="2780"/>
      <c r="C36" s="2819">
        <f ca="1">ROUND((C6-C30-C33)/(1+D30+D33),0)</f>
        <v>95353</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11</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84899</v>
      </c>
      <c r="D13" s="450"/>
      <c r="E13" s="364"/>
      <c r="F13" s="451"/>
      <c r="G13" s="443"/>
      <c r="H13" s="446"/>
      <c r="I13" s="446"/>
      <c r="J13" s="446"/>
      <c r="K13" s="447"/>
    </row>
    <row r="14" spans="1:41" s="2100" customFormat="1" ht="13.5" customHeight="1">
      <c r="A14" s="1617" t="s">
        <v>1849</v>
      </c>
      <c r="B14" s="448" t="s">
        <v>480</v>
      </c>
      <c r="C14" s="53">
        <f ca="1">ROUND(C13*F14,0)</f>
        <v>2547</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4251</v>
      </c>
      <c r="D15" s="450"/>
      <c r="E15" s="364"/>
      <c r="F15" s="452">
        <f>'数据-取费表'!B34</f>
        <v>0.1</v>
      </c>
      <c r="G15" s="443" t="s">
        <v>502</v>
      </c>
      <c r="H15" s="446"/>
      <c r="I15" s="446"/>
      <c r="J15" s="446"/>
      <c r="K15" s="447"/>
    </row>
    <row r="16" spans="1:41" s="2101" customFormat="1" ht="13.5" customHeight="1">
      <c r="A16" s="1617" t="s">
        <v>1851</v>
      </c>
      <c r="B16" s="448" t="s">
        <v>484</v>
      </c>
      <c r="C16" s="53">
        <f ca="1">ROUND(D16*E16/10000,0)</f>
        <v>4565</v>
      </c>
      <c r="D16" s="450">
        <f ca="1">IF(B1="",'数据-汇总表'!E3,INDIRECT("'数据-取费表'!K"&amp;$K$1)+INDIRECT("'数据-取费表'!S"&amp;$K$1))</f>
        <v>304328.8</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1273</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97535</v>
      </c>
      <c r="D18" s="460"/>
      <c r="E18" s="461"/>
      <c r="F18" s="461"/>
      <c r="G18" s="1322" t="s">
        <v>2432</v>
      </c>
      <c r="H18" s="446"/>
      <c r="I18" s="446"/>
      <c r="J18" s="446"/>
      <c r="K18" s="447"/>
    </row>
    <row r="19" spans="1:14" s="2103" customFormat="1" ht="13.5" customHeight="1">
      <c r="A19" s="1618" t="s">
        <v>1854</v>
      </c>
      <c r="B19" s="458" t="s">
        <v>493</v>
      </c>
      <c r="C19" s="459">
        <f ca="1">ROUND(C18*F19,0)</f>
        <v>975</v>
      </c>
      <c r="D19" s="461"/>
      <c r="E19" s="461"/>
      <c r="F19" s="465">
        <f>'数据-取费表'!B37</f>
        <v>0.01</v>
      </c>
      <c r="G19" s="443" t="s">
        <v>503</v>
      </c>
      <c r="H19" s="446"/>
      <c r="I19" s="446"/>
      <c r="J19" s="446"/>
      <c r="K19" s="447"/>
      <c r="L19" s="2105"/>
      <c r="M19" s="2105"/>
      <c r="N19" s="2105"/>
    </row>
    <row r="20" spans="1:14" s="2103" customFormat="1" ht="13.5" customHeight="1">
      <c r="A20" s="1618" t="s">
        <v>1855</v>
      </c>
      <c r="B20" s="458" t="s">
        <v>504</v>
      </c>
      <c r="C20" s="2978">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5883</v>
      </c>
      <c r="D21" s="466">
        <f ca="1">C23</f>
        <v>8.9999999999999998E-4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5883</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8.9999999999999998E-4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0" t="s">
        <v>2832</v>
      </c>
      <c r="C24" s="477">
        <f ca="1">C25</f>
        <v>15762</v>
      </c>
      <c r="D24" s="488">
        <f ca="1">C26</f>
        <v>2.3999999999999998E-3</v>
      </c>
      <c r="E24" s="468" t="s">
        <v>507</v>
      </c>
      <c r="F24" s="478">
        <f ca="1">IF(B1="",'数据-取费表'!Q16,INDIRECT("'数据-取费表'!q"&amp;$K$1))</f>
        <v>0.16</v>
      </c>
      <c r="G24" s="443"/>
      <c r="H24" s="446"/>
      <c r="I24" s="446"/>
      <c r="J24" s="446"/>
      <c r="K24" s="447"/>
    </row>
    <row r="25" spans="1:14" s="2104" customFormat="1" ht="13.5" customHeight="1">
      <c r="A25" s="1617" t="s">
        <v>1848</v>
      </c>
      <c r="B25" s="1323" t="s">
        <v>2436</v>
      </c>
      <c r="C25" s="489">
        <f ca="1">ROUND((C18+C19)*F24,0)</f>
        <v>15762</v>
      </c>
      <c r="D25" s="471"/>
      <c r="E25" s="472"/>
      <c r="F25" s="479"/>
      <c r="G25" s="1321" t="s">
        <v>2433</v>
      </c>
      <c r="H25" s="456"/>
      <c r="I25" s="456"/>
      <c r="J25" s="456"/>
      <c r="K25" s="457"/>
    </row>
    <row r="26" spans="1:14" s="2104" customFormat="1" ht="13.5" customHeight="1">
      <c r="A26" s="1617" t="s">
        <v>1849</v>
      </c>
      <c r="B26" s="1323" t="s">
        <v>509</v>
      </c>
      <c r="C26" s="490">
        <f ca="1">ROUND(F20*F24,4)</f>
        <v>2.3999999999999998E-3</v>
      </c>
      <c r="D26" s="471"/>
      <c r="E26" s="480"/>
      <c r="F26" s="479"/>
      <c r="G26" s="1321" t="s">
        <v>510</v>
      </c>
      <c r="H26" s="456"/>
      <c r="I26" s="456"/>
      <c r="J26" s="456"/>
      <c r="K26" s="457"/>
    </row>
    <row r="27" spans="1:14" s="2104" customFormat="1" ht="13.5" customHeight="1">
      <c r="A27" s="1621" t="s">
        <v>1867</v>
      </c>
      <c r="B27" s="458" t="s">
        <v>511</v>
      </c>
      <c r="C27" s="2979">
        <f>ROUND(F27/(1+'数据-取费表'!C42),4)</f>
        <v>5.33E-2</v>
      </c>
      <c r="D27" s="461" t="s">
        <v>2830</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129422</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385" t="s">
        <v>522</v>
      </c>
      <c r="D6" s="3386"/>
      <c r="E6" s="3420" t="s">
        <v>523</v>
      </c>
      <c r="F6" s="3421"/>
      <c r="G6" s="3385" t="s">
        <v>524</v>
      </c>
      <c r="H6" s="3386"/>
      <c r="I6" s="3385" t="s">
        <v>525</v>
      </c>
      <c r="J6" s="3386"/>
      <c r="K6" s="513" t="s">
        <v>526</v>
      </c>
      <c r="L6" s="2117"/>
      <c r="M6" s="2118"/>
      <c r="N6" s="2118"/>
      <c r="O6" s="2118"/>
      <c r="P6" s="3387" t="s">
        <v>527</v>
      </c>
      <c r="Q6" s="3388"/>
      <c r="R6" s="3393" t="s">
        <v>523</v>
      </c>
      <c r="S6" s="3394"/>
      <c r="T6" s="3393" t="s">
        <v>524</v>
      </c>
      <c r="U6" s="3394"/>
      <c r="V6" s="3380" t="s">
        <v>525</v>
      </c>
      <c r="W6" s="3380"/>
      <c r="X6" s="1552"/>
      <c r="Y6" s="3393" t="s">
        <v>527</v>
      </c>
      <c r="Z6" s="3394"/>
      <c r="AA6" s="3382" t="s">
        <v>523</v>
      </c>
      <c r="AB6" s="3383" t="s">
        <v>524</v>
      </c>
      <c r="AC6" s="3382" t="s">
        <v>525</v>
      </c>
    </row>
    <row r="7" spans="1:29" ht="15">
      <c r="A7" s="514"/>
      <c r="B7" s="515"/>
      <c r="C7" s="3401" t="s">
        <v>2927</v>
      </c>
      <c r="D7" s="3402"/>
      <c r="E7" s="3422" t="s">
        <v>2928</v>
      </c>
      <c r="F7" s="3423"/>
      <c r="G7" s="3401" t="s">
        <v>2929</v>
      </c>
      <c r="H7" s="3402"/>
      <c r="I7" s="3401" t="s">
        <v>2930</v>
      </c>
      <c r="J7" s="3402"/>
      <c r="K7" s="513"/>
      <c r="L7" s="2117"/>
      <c r="M7" s="2118"/>
      <c r="N7" s="2118"/>
      <c r="O7" s="2118"/>
      <c r="P7" s="3389"/>
      <c r="Q7" s="3390"/>
      <c r="R7" s="3395"/>
      <c r="S7" s="3396"/>
      <c r="T7" s="3395"/>
      <c r="U7" s="3396"/>
      <c r="V7" s="3380"/>
      <c r="W7" s="3380"/>
      <c r="X7" s="1552"/>
      <c r="Y7" s="3395"/>
      <c r="Z7" s="3396"/>
      <c r="AA7" s="3383"/>
      <c r="AB7" s="3383"/>
      <c r="AC7" s="3383"/>
    </row>
    <row r="8" spans="1:29" ht="15.75" thickBot="1">
      <c r="A8" s="516"/>
      <c r="B8" s="517"/>
      <c r="C8" s="3399" t="s">
        <v>2931</v>
      </c>
      <c r="D8" s="3400"/>
      <c r="E8" s="3418" t="s">
        <v>2931</v>
      </c>
      <c r="F8" s="3419"/>
      <c r="G8" s="3399" t="s">
        <v>2931</v>
      </c>
      <c r="H8" s="3400"/>
      <c r="I8" s="3399" t="s">
        <v>2931</v>
      </c>
      <c r="J8" s="3400"/>
      <c r="K8" s="513" t="s">
        <v>528</v>
      </c>
      <c r="L8" s="2117"/>
      <c r="M8" s="2118"/>
      <c r="N8" s="2118"/>
      <c r="O8" s="2118"/>
      <c r="P8" s="3391"/>
      <c r="Q8" s="3392"/>
      <c r="R8" s="3395"/>
      <c r="S8" s="3396"/>
      <c r="T8" s="3397"/>
      <c r="U8" s="3398"/>
      <c r="V8" s="3380"/>
      <c r="W8" s="3380"/>
      <c r="X8" s="1552"/>
      <c r="Y8" s="3397"/>
      <c r="Z8" s="3398"/>
      <c r="AA8" s="3384"/>
      <c r="AB8" s="3384"/>
      <c r="AC8" s="3384"/>
    </row>
    <row r="9" spans="1:29" s="1215" customFormat="1" ht="15.75" thickBot="1">
      <c r="A9" s="2866"/>
      <c r="B9" s="2873" t="s">
        <v>529</v>
      </c>
      <c r="C9" s="518">
        <f>'数据-取费表'!B2</f>
        <v>43782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11" t="s">
        <v>530</v>
      </c>
      <c r="Q9" s="3413"/>
      <c r="R9" s="1553" t="s">
        <v>8</v>
      </c>
      <c r="S9" s="1554">
        <f t="shared" ref="S9:S17" si="0">F9</f>
        <v>0</v>
      </c>
      <c r="T9" s="1553" t="s">
        <v>8</v>
      </c>
      <c r="U9" s="1554">
        <f t="shared" ref="U9:U17" si="1">H9</f>
        <v>0</v>
      </c>
      <c r="V9" s="1553" t="s">
        <v>8</v>
      </c>
      <c r="W9" s="1554">
        <f t="shared" ref="W9:W17" si="2">J9</f>
        <v>0</v>
      </c>
      <c r="X9" s="1555"/>
      <c r="Y9" s="3411" t="s">
        <v>530</v>
      </c>
      <c r="Z9" s="3412"/>
      <c r="AA9" s="1556" t="e">
        <f>D9/F9</f>
        <v>#DIV/0!</v>
      </c>
      <c r="AB9" s="1556" t="e">
        <f>D9/H9</f>
        <v>#DIV/0!</v>
      </c>
      <c r="AC9" s="1556"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11" t="s">
        <v>533</v>
      </c>
      <c r="Q10" s="3412"/>
      <c r="R10" s="1553" t="s">
        <v>8</v>
      </c>
      <c r="S10" s="1554">
        <f t="shared" si="0"/>
        <v>0</v>
      </c>
      <c r="T10" s="1553" t="s">
        <v>8</v>
      </c>
      <c r="U10" s="1554">
        <f t="shared" si="1"/>
        <v>0</v>
      </c>
      <c r="V10" s="1553" t="s">
        <v>8</v>
      </c>
      <c r="W10" s="1554">
        <f t="shared" si="2"/>
        <v>0</v>
      </c>
      <c r="X10" s="1555"/>
      <c r="Y10" s="3411" t="s">
        <v>533</v>
      </c>
      <c r="Z10" s="3412"/>
      <c r="AA10" s="1556" t="e">
        <f t="shared" ref="AA10:AA42" si="3">D10/F10</f>
        <v>#DIV/0!</v>
      </c>
      <c r="AB10" s="1556" t="e">
        <f t="shared" ref="AB10:AB42" si="4">D10/H10</f>
        <v>#DIV/0!</v>
      </c>
      <c r="AC10" s="1556" t="e">
        <f t="shared" ref="AC10:AC42" si="5">D10/J10</f>
        <v>#DIV/0!</v>
      </c>
    </row>
    <row r="11" spans="1:29" s="1215" customFormat="1" ht="15">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79" t="s">
        <v>535</v>
      </c>
      <c r="Q11" s="1146" t="str">
        <f t="shared" ref="Q11:Q17" si="6">B11</f>
        <v>用途</v>
      </c>
      <c r="R11" s="1553" t="s">
        <v>8</v>
      </c>
      <c r="S11" s="1554">
        <f t="shared" si="0"/>
        <v>100</v>
      </c>
      <c r="T11" s="1553" t="s">
        <v>8</v>
      </c>
      <c r="U11" s="1554">
        <f t="shared" si="1"/>
        <v>100</v>
      </c>
      <c r="V11" s="1553" t="s">
        <v>8</v>
      </c>
      <c r="W11" s="1554">
        <f t="shared" si="2"/>
        <v>100</v>
      </c>
      <c r="X11" s="1555"/>
      <c r="Y11" s="3325" t="s">
        <v>536</v>
      </c>
      <c r="Z11" s="1145" t="str">
        <f t="shared" ref="Z11:Z17" si="7">Q11</f>
        <v>用途</v>
      </c>
      <c r="AA11" s="1556">
        <f t="shared" si="3"/>
        <v>1</v>
      </c>
      <c r="AB11" s="1556">
        <f t="shared" si="4"/>
        <v>1</v>
      </c>
      <c r="AC11" s="1556">
        <f t="shared" si="5"/>
        <v>1</v>
      </c>
    </row>
    <row r="12" spans="1:29" s="1333" customFormat="1" ht="27">
      <c r="A12" s="2869"/>
      <c r="B12" s="2874" t="s">
        <v>2757</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379"/>
      <c r="Q12" s="1146" t="str">
        <f t="shared" si="6"/>
        <v>土地使用年限（年）</v>
      </c>
      <c r="R12" s="1553" t="s">
        <v>8</v>
      </c>
      <c r="S12" s="1554">
        <f t="shared" si="0"/>
        <v>100</v>
      </c>
      <c r="T12" s="1553" t="s">
        <v>8</v>
      </c>
      <c r="U12" s="1554">
        <f t="shared" si="1"/>
        <v>100</v>
      </c>
      <c r="V12" s="1553" t="s">
        <v>8</v>
      </c>
      <c r="W12" s="1554">
        <f t="shared" si="2"/>
        <v>100</v>
      </c>
      <c r="X12" s="1555"/>
      <c r="Y12" s="3325"/>
      <c r="Z12" s="1145" t="str">
        <f t="shared" si="7"/>
        <v>土地使用年限（年）</v>
      </c>
      <c r="AA12" s="1556">
        <f t="shared" si="3"/>
        <v>1</v>
      </c>
      <c r="AB12" s="1556">
        <f t="shared" si="4"/>
        <v>1</v>
      </c>
      <c r="AC12" s="1556">
        <f t="shared" si="5"/>
        <v>1</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79"/>
      <c r="Q13" s="1146" t="str">
        <f t="shared" si="6"/>
        <v>容积率</v>
      </c>
      <c r="R13" s="1553" t="s">
        <v>8</v>
      </c>
      <c r="S13" s="1554" t="e">
        <f t="shared" si="0"/>
        <v>#N/A</v>
      </c>
      <c r="T13" s="1553" t="s">
        <v>8</v>
      </c>
      <c r="U13" s="1554" t="e">
        <f t="shared" si="1"/>
        <v>#N/A</v>
      </c>
      <c r="V13" s="1553" t="s">
        <v>8</v>
      </c>
      <c r="W13" s="1554" t="e">
        <f t="shared" si="2"/>
        <v>#N/A</v>
      </c>
      <c r="X13" s="1555"/>
      <c r="Y13" s="3325"/>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79"/>
      <c r="Q14" s="1146">
        <f t="shared" si="6"/>
        <v>111</v>
      </c>
      <c r="R14" s="1553" t="s">
        <v>8</v>
      </c>
      <c r="S14" s="1554">
        <f t="shared" si="0"/>
        <v>100</v>
      </c>
      <c r="T14" s="1553" t="s">
        <v>8</v>
      </c>
      <c r="U14" s="1554">
        <f t="shared" si="1"/>
        <v>100</v>
      </c>
      <c r="V14" s="1553" t="s">
        <v>8</v>
      </c>
      <c r="W14" s="1554">
        <f t="shared" si="2"/>
        <v>100</v>
      </c>
      <c r="X14" s="1555"/>
      <c r="Y14" s="3325"/>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79"/>
      <c r="Q15" s="1146">
        <f t="shared" si="6"/>
        <v>111</v>
      </c>
      <c r="R15" s="1553" t="s">
        <v>8</v>
      </c>
      <c r="S15" s="1554">
        <f t="shared" si="0"/>
        <v>100</v>
      </c>
      <c r="T15" s="1553" t="s">
        <v>8</v>
      </c>
      <c r="U15" s="1554">
        <f t="shared" si="1"/>
        <v>100</v>
      </c>
      <c r="V15" s="1553" t="s">
        <v>8</v>
      </c>
      <c r="W15" s="1554">
        <f t="shared" si="2"/>
        <v>100</v>
      </c>
      <c r="X15" s="1555"/>
      <c r="Y15" s="3325"/>
      <c r="Z15" s="1145">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79"/>
      <c r="Q16" s="1146">
        <f t="shared" si="6"/>
        <v>111</v>
      </c>
      <c r="R16" s="1553" t="s">
        <v>8</v>
      </c>
      <c r="S16" s="1554">
        <f t="shared" si="0"/>
        <v>100</v>
      </c>
      <c r="T16" s="1553" t="s">
        <v>8</v>
      </c>
      <c r="U16" s="1554">
        <f t="shared" si="1"/>
        <v>100</v>
      </c>
      <c r="V16" s="1553" t="s">
        <v>8</v>
      </c>
      <c r="W16" s="1554">
        <f t="shared" si="2"/>
        <v>100</v>
      </c>
      <c r="X16" s="1555"/>
      <c r="Y16" s="3325"/>
      <c r="Z16" s="1145">
        <f t="shared" si="7"/>
        <v>111</v>
      </c>
      <c r="AA16" s="1556">
        <f t="shared" si="3"/>
        <v>1</v>
      </c>
      <c r="AB16" s="1556">
        <f t="shared" si="4"/>
        <v>1</v>
      </c>
      <c r="AC16" s="1556">
        <f t="shared" si="5"/>
        <v>1</v>
      </c>
    </row>
    <row r="17" spans="1:29" ht="57">
      <c r="A17" s="286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14" t="s">
        <v>540</v>
      </c>
      <c r="Q17" s="1557" t="str">
        <f t="shared" si="6"/>
        <v>产业集聚程度</v>
      </c>
      <c r="R17" s="1558" t="s">
        <v>8</v>
      </c>
      <c r="S17" s="1559">
        <f t="shared" si="0"/>
        <v>100</v>
      </c>
      <c r="T17" s="1558" t="s">
        <v>8</v>
      </c>
      <c r="U17" s="1559">
        <f t="shared" si="1"/>
        <v>100</v>
      </c>
      <c r="V17" s="1558" t="s">
        <v>8</v>
      </c>
      <c r="W17" s="1559">
        <f t="shared" si="2"/>
        <v>100</v>
      </c>
      <c r="X17" s="1552"/>
      <c r="Y17" s="3414"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15"/>
      <c r="Q18" s="1557"/>
      <c r="R18" s="1558"/>
      <c r="S18" s="1559"/>
      <c r="T18" s="1558"/>
      <c r="U18" s="1559"/>
      <c r="V18" s="1558"/>
      <c r="W18" s="1559"/>
      <c r="X18" s="1552"/>
      <c r="Y18" s="3415"/>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15"/>
      <c r="Q19" s="1557" t="str">
        <f>B19</f>
        <v>交通便捷度</v>
      </c>
      <c r="R19" s="1558" t="s">
        <v>8</v>
      </c>
      <c r="S19" s="1559">
        <f>F19</f>
        <v>100</v>
      </c>
      <c r="T19" s="1558" t="s">
        <v>8</v>
      </c>
      <c r="U19" s="1559">
        <f>H19</f>
        <v>100</v>
      </c>
      <c r="V19" s="1558" t="s">
        <v>8</v>
      </c>
      <c r="W19" s="1559">
        <f>J19</f>
        <v>100</v>
      </c>
      <c r="X19" s="1552"/>
      <c r="Y19" s="3415"/>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415"/>
      <c r="Q20" s="1557"/>
      <c r="R20" s="1558"/>
      <c r="S20" s="1559"/>
      <c r="T20" s="1558"/>
      <c r="U20" s="1559"/>
      <c r="V20" s="1558"/>
      <c r="W20" s="1559"/>
      <c r="X20" s="1552"/>
      <c r="Y20" s="3415"/>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15"/>
      <c r="Q21" s="1557" t="str">
        <f t="shared" ref="Q21:Q35" si="8">B21</f>
        <v>区域土地利用方向</v>
      </c>
      <c r="R21" s="1558" t="s">
        <v>8</v>
      </c>
      <c r="S21" s="1559">
        <f>F21</f>
        <v>100</v>
      </c>
      <c r="T21" s="1558" t="s">
        <v>8</v>
      </c>
      <c r="U21" s="1559">
        <f>H21</f>
        <v>100</v>
      </c>
      <c r="V21" s="1558" t="s">
        <v>8</v>
      </c>
      <c r="W21" s="1559">
        <f>J21</f>
        <v>100</v>
      </c>
      <c r="X21" s="1552"/>
      <c r="Y21" s="3415"/>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415"/>
      <c r="Q22" s="1557"/>
      <c r="R22" s="1558"/>
      <c r="S22" s="1559"/>
      <c r="T22" s="1558"/>
      <c r="U22" s="1559"/>
      <c r="V22" s="1558"/>
      <c r="W22" s="1559"/>
      <c r="X22" s="1552"/>
      <c r="Y22" s="3415"/>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15"/>
      <c r="Q23" s="1557" t="str">
        <f t="shared" si="8"/>
        <v>环境状况</v>
      </c>
      <c r="R23" s="1558" t="s">
        <v>8</v>
      </c>
      <c r="S23" s="1559">
        <f>F23</f>
        <v>100</v>
      </c>
      <c r="T23" s="1558" t="s">
        <v>8</v>
      </c>
      <c r="U23" s="1559">
        <f>H23</f>
        <v>100</v>
      </c>
      <c r="V23" s="1558" t="s">
        <v>8</v>
      </c>
      <c r="W23" s="1559">
        <f>J23</f>
        <v>100</v>
      </c>
      <c r="X23" s="1552"/>
      <c r="Y23" s="3415"/>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15"/>
      <c r="Q24" s="1557"/>
      <c r="R24" s="1558"/>
      <c r="S24" s="1559"/>
      <c r="T24" s="1558"/>
      <c r="U24" s="1559"/>
      <c r="V24" s="1558"/>
      <c r="W24" s="1559"/>
      <c r="X24" s="1552"/>
      <c r="Y24" s="3415"/>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15"/>
      <c r="Q25" s="1146" t="str">
        <f t="shared" si="8"/>
        <v>公共配套设施</v>
      </c>
      <c r="R25" s="1553" t="s">
        <v>8</v>
      </c>
      <c r="S25" s="1554">
        <f>F25</f>
        <v>100</v>
      </c>
      <c r="T25" s="1553" t="s">
        <v>8</v>
      </c>
      <c r="U25" s="1554">
        <f>H25</f>
        <v>100</v>
      </c>
      <c r="V25" s="1553" t="s">
        <v>8</v>
      </c>
      <c r="W25" s="1554">
        <f>J25</f>
        <v>100</v>
      </c>
      <c r="X25" s="1555"/>
      <c r="Y25" s="3415"/>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415"/>
      <c r="Q26" s="1146"/>
      <c r="R26" s="1553"/>
      <c r="S26" s="1554"/>
      <c r="T26" s="1553"/>
      <c r="U26" s="1554"/>
      <c r="V26" s="1553"/>
      <c r="W26" s="1554"/>
      <c r="X26" s="1555"/>
      <c r="Y26" s="3415"/>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15"/>
      <c r="Q27" s="2541" t="str">
        <f t="shared" ref="Q27" si="9">B27</f>
        <v>基础设施水平</v>
      </c>
      <c r="R27" s="1553" t="s">
        <v>8</v>
      </c>
      <c r="S27" s="1554">
        <f>F27</f>
        <v>100</v>
      </c>
      <c r="T27" s="1553" t="s">
        <v>8</v>
      </c>
      <c r="U27" s="1554">
        <f>H27</f>
        <v>100</v>
      </c>
      <c r="V27" s="1553" t="s">
        <v>8</v>
      </c>
      <c r="W27" s="1554">
        <f>J27</f>
        <v>100</v>
      </c>
      <c r="X27" s="1555"/>
      <c r="Y27" s="3415"/>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415"/>
      <c r="Q28" s="2541"/>
      <c r="R28" s="1553"/>
      <c r="S28" s="1554"/>
      <c r="T28" s="1553"/>
      <c r="U28" s="1554"/>
      <c r="V28" s="1553"/>
      <c r="W28" s="1554"/>
      <c r="X28" s="1555"/>
      <c r="Y28" s="3415"/>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1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5"/>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15"/>
      <c r="Q30" s="1557" t="str">
        <f t="shared" si="8"/>
        <v>毗邻道路的类型与等级</v>
      </c>
      <c r="R30" s="1558" t="s">
        <v>8</v>
      </c>
      <c r="S30" s="1559">
        <f t="shared" si="10"/>
        <v>100</v>
      </c>
      <c r="T30" s="1558" t="s">
        <v>8</v>
      </c>
      <c r="U30" s="1559">
        <f t="shared" si="11"/>
        <v>100</v>
      </c>
      <c r="V30" s="1558" t="s">
        <v>8</v>
      </c>
      <c r="W30" s="1559">
        <f t="shared" si="12"/>
        <v>100</v>
      </c>
      <c r="X30" s="1552"/>
      <c r="Y30" s="3415"/>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15"/>
      <c r="Q31" s="1557"/>
      <c r="R31" s="1558"/>
      <c r="S31" s="1559"/>
      <c r="T31" s="1558"/>
      <c r="U31" s="1559"/>
      <c r="V31" s="1558"/>
      <c r="W31" s="1559"/>
      <c r="X31" s="1552"/>
      <c r="Y31" s="3415"/>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15"/>
      <c r="Q32" s="1557" t="str">
        <f t="shared" si="8"/>
        <v>土地级别</v>
      </c>
      <c r="R32" s="1558" t="s">
        <v>8</v>
      </c>
      <c r="S32" s="1559">
        <f t="shared" si="10"/>
        <v>100</v>
      </c>
      <c r="T32" s="1558" t="s">
        <v>8</v>
      </c>
      <c r="U32" s="1559">
        <f t="shared" si="11"/>
        <v>100</v>
      </c>
      <c r="V32" s="1558" t="s">
        <v>8</v>
      </c>
      <c r="W32" s="1559">
        <f t="shared" si="12"/>
        <v>100</v>
      </c>
      <c r="X32" s="1552"/>
      <c r="Y32" s="3415"/>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15"/>
      <c r="Q33" s="1557">
        <f t="shared" si="8"/>
        <v>111</v>
      </c>
      <c r="R33" s="1558" t="s">
        <v>8</v>
      </c>
      <c r="S33" s="1559">
        <f t="shared" si="10"/>
        <v>100</v>
      </c>
      <c r="T33" s="1558" t="s">
        <v>8</v>
      </c>
      <c r="U33" s="1559">
        <f t="shared" si="11"/>
        <v>100</v>
      </c>
      <c r="V33" s="1558" t="s">
        <v>8</v>
      </c>
      <c r="W33" s="1559">
        <f t="shared" si="12"/>
        <v>100</v>
      </c>
      <c r="X33" s="1552"/>
      <c r="Y33" s="3415"/>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16" t="s">
        <v>550</v>
      </c>
      <c r="Q34" s="1557">
        <f t="shared" si="8"/>
        <v>111</v>
      </c>
      <c r="R34" s="1558" t="s">
        <v>8</v>
      </c>
      <c r="S34" s="1559">
        <f t="shared" si="10"/>
        <v>100</v>
      </c>
      <c r="T34" s="1558" t="s">
        <v>8</v>
      </c>
      <c r="U34" s="1559">
        <f t="shared" si="11"/>
        <v>100</v>
      </c>
      <c r="V34" s="1558" t="s">
        <v>8</v>
      </c>
      <c r="W34" s="1559">
        <f t="shared" si="12"/>
        <v>100</v>
      </c>
      <c r="X34" s="1552"/>
      <c r="Y34" s="3417"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17"/>
      <c r="Q35" s="1557">
        <f t="shared" si="8"/>
        <v>111</v>
      </c>
      <c r="R35" s="1562" t="s">
        <v>8</v>
      </c>
      <c r="S35" s="1563">
        <f t="shared" si="10"/>
        <v>100</v>
      </c>
      <c r="T35" s="1562" t="s">
        <v>8</v>
      </c>
      <c r="U35" s="1563">
        <f t="shared" si="11"/>
        <v>100</v>
      </c>
      <c r="V35" s="1562" t="s">
        <v>8</v>
      </c>
      <c r="W35" s="1563">
        <f t="shared" si="12"/>
        <v>100</v>
      </c>
      <c r="X35" s="1564"/>
      <c r="Y35" s="3417"/>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17"/>
      <c r="Q36" s="1557" t="str">
        <f>B36</f>
        <v>宗地面积</v>
      </c>
      <c r="R36" s="1558" t="s">
        <v>8</v>
      </c>
      <c r="S36" s="1559" t="e">
        <f t="shared" si="10"/>
        <v>#N/A</v>
      </c>
      <c r="T36" s="1558" t="s">
        <v>8</v>
      </c>
      <c r="U36" s="1559" t="e">
        <f t="shared" si="11"/>
        <v>#N/A</v>
      </c>
      <c r="V36" s="1558" t="s">
        <v>8</v>
      </c>
      <c r="W36" s="1559" t="e">
        <f t="shared" si="12"/>
        <v>#N/A</v>
      </c>
      <c r="X36" s="1552"/>
      <c r="Y36" s="3417"/>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17"/>
      <c r="Q37" s="1557" t="str">
        <f t="shared" ref="Q37:Q42" si="14">B37</f>
        <v>宗地形状</v>
      </c>
      <c r="R37" s="1558" t="s">
        <v>8</v>
      </c>
      <c r="S37" s="1559">
        <f t="shared" si="10"/>
        <v>100</v>
      </c>
      <c r="T37" s="1558" t="s">
        <v>8</v>
      </c>
      <c r="U37" s="1559">
        <f t="shared" si="11"/>
        <v>100</v>
      </c>
      <c r="V37" s="1558" t="s">
        <v>8</v>
      </c>
      <c r="W37" s="1559">
        <f t="shared" si="12"/>
        <v>100</v>
      </c>
      <c r="X37" s="1552"/>
      <c r="Y37" s="3417"/>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17"/>
      <c r="Q38" s="1557" t="str">
        <f t="shared" si="14"/>
        <v>宗地开发程度</v>
      </c>
      <c r="R38" s="1553" t="s">
        <v>8</v>
      </c>
      <c r="S38" s="1554">
        <f t="shared" si="10"/>
        <v>100</v>
      </c>
      <c r="T38" s="1553" t="s">
        <v>8</v>
      </c>
      <c r="U38" s="1554">
        <f t="shared" si="11"/>
        <v>100</v>
      </c>
      <c r="V38" s="1553" t="s">
        <v>8</v>
      </c>
      <c r="W38" s="1554">
        <f t="shared" si="12"/>
        <v>100</v>
      </c>
      <c r="X38" s="1555"/>
      <c r="Y38" s="3417"/>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7" t="s">
        <v>601</v>
      </c>
      <c r="Q39" s="1557" t="str">
        <f t="shared" si="14"/>
        <v>工程地质条件</v>
      </c>
      <c r="R39" s="1558" t="s">
        <v>8</v>
      </c>
      <c r="S39" s="1559">
        <f t="shared" si="10"/>
        <v>100</v>
      </c>
      <c r="T39" s="1558" t="s">
        <v>8</v>
      </c>
      <c r="U39" s="1559">
        <f t="shared" si="11"/>
        <v>100</v>
      </c>
      <c r="V39" s="1558" t="s">
        <v>8</v>
      </c>
      <c r="W39" s="1559">
        <f t="shared" si="12"/>
        <v>100</v>
      </c>
      <c r="X39" s="1552"/>
      <c r="Y39" s="3417"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17"/>
      <c r="Q40" s="1557">
        <f t="shared" si="14"/>
        <v>111</v>
      </c>
      <c r="R40" s="1558" t="s">
        <v>8</v>
      </c>
      <c r="S40" s="1559">
        <f t="shared" si="10"/>
        <v>100</v>
      </c>
      <c r="T40" s="1558" t="s">
        <v>8</v>
      </c>
      <c r="U40" s="1559">
        <f t="shared" si="11"/>
        <v>100</v>
      </c>
      <c r="V40" s="1558" t="s">
        <v>8</v>
      </c>
      <c r="W40" s="1559">
        <f t="shared" si="12"/>
        <v>100</v>
      </c>
      <c r="X40" s="1552"/>
      <c r="Y40" s="3417"/>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17"/>
      <c r="Q41" s="1557">
        <f t="shared" si="14"/>
        <v>111</v>
      </c>
      <c r="R41" s="1558" t="s">
        <v>8</v>
      </c>
      <c r="S41" s="1559">
        <f t="shared" si="10"/>
        <v>100</v>
      </c>
      <c r="T41" s="1558" t="s">
        <v>8</v>
      </c>
      <c r="U41" s="1559">
        <f t="shared" si="11"/>
        <v>100</v>
      </c>
      <c r="V41" s="1558" t="s">
        <v>8</v>
      </c>
      <c r="W41" s="1559">
        <f t="shared" si="12"/>
        <v>100</v>
      </c>
      <c r="X41" s="1552"/>
      <c r="Y41" s="3417"/>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17"/>
      <c r="Q42" s="1557">
        <f t="shared" si="14"/>
        <v>111</v>
      </c>
      <c r="R42" s="1562" t="s">
        <v>8</v>
      </c>
      <c r="S42" s="1563">
        <f t="shared" si="10"/>
        <v>100</v>
      </c>
      <c r="T42" s="1562" t="s">
        <v>8</v>
      </c>
      <c r="U42" s="1563">
        <f t="shared" si="11"/>
        <v>100</v>
      </c>
      <c r="V42" s="1562" t="s">
        <v>8</v>
      </c>
      <c r="W42" s="1563">
        <f t="shared" si="12"/>
        <v>100</v>
      </c>
      <c r="X42" s="1564"/>
      <c r="Y42" s="3417"/>
      <c r="Z42" s="1565">
        <f t="shared" si="13"/>
        <v>111</v>
      </c>
      <c r="AA42" s="1561">
        <f t="shared" si="3"/>
        <v>1</v>
      </c>
      <c r="AB42" s="1561">
        <f t="shared" si="4"/>
        <v>1</v>
      </c>
      <c r="AC42" s="1561">
        <f t="shared" si="5"/>
        <v>1</v>
      </c>
    </row>
    <row r="43" spans="1:29" ht="15">
      <c r="A43" s="606" t="s">
        <v>556</v>
      </c>
      <c r="B43" s="607" t="s">
        <v>2932</v>
      </c>
      <c r="C43" s="608" t="s">
        <v>1</v>
      </c>
      <c r="D43" s="609"/>
      <c r="E43" s="610"/>
      <c r="F43" s="611"/>
      <c r="G43" s="612"/>
      <c r="H43" s="613"/>
      <c r="I43" s="610"/>
      <c r="J43" s="613"/>
      <c r="K43" s="1335"/>
      <c r="L43" s="2128"/>
      <c r="M43" s="2118"/>
      <c r="N43" s="2118"/>
      <c r="O43" s="2129"/>
      <c r="P43" s="3379" t="str">
        <f>A43</f>
        <v>成交单价</v>
      </c>
      <c r="Q43" s="3379"/>
      <c r="R43" s="3380">
        <f>E43</f>
        <v>0</v>
      </c>
      <c r="S43" s="3380"/>
      <c r="T43" s="3380">
        <f>G43</f>
        <v>0</v>
      </c>
      <c r="U43" s="3380"/>
      <c r="V43" s="3380">
        <f>I43</f>
        <v>0</v>
      </c>
      <c r="W43" s="3380"/>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379" t="str">
        <f>A44</f>
        <v>比较价格（元/平方米）</v>
      </c>
      <c r="Q44" s="3379"/>
      <c r="R44" s="3381" t="e">
        <f>ROUND(PRODUCT(R43,AA9:AA42),0)</f>
        <v>#DIV/0!</v>
      </c>
      <c r="S44" s="3381"/>
      <c r="T44" s="3381" t="e">
        <f>ROUND(PRODUCT(T43,AB9:AB42),0)</f>
        <v>#DIV/0!</v>
      </c>
      <c r="U44" s="3381"/>
      <c r="V44" s="3381" t="e">
        <f>ROUND(PRODUCT(V43,AC9:AC42),0)</f>
        <v>#DIV/0!</v>
      </c>
      <c r="W44" s="3381"/>
      <c r="X44" s="1544"/>
      <c r="Y44" s="1544"/>
      <c r="Z44" s="1544"/>
      <c r="AA44" s="1544"/>
      <c r="AB44" s="1544"/>
      <c r="AC44" s="1544"/>
    </row>
    <row r="45" spans="1:29" ht="15.75" thickBot="1">
      <c r="A45" s="620" t="s">
        <v>2933</v>
      </c>
      <c r="B45" s="621"/>
      <c r="C45" s="622" t="e">
        <f>R45</f>
        <v>#DIV/0!</v>
      </c>
      <c r="D45" s="622"/>
      <c r="E45" s="622"/>
      <c r="F45" s="622"/>
      <c r="G45" s="622"/>
      <c r="H45" s="622"/>
      <c r="I45" s="622"/>
      <c r="J45" s="622"/>
      <c r="K45" s="1337"/>
      <c r="L45" s="2128"/>
      <c r="M45" s="2118"/>
      <c r="N45" s="2118"/>
      <c r="O45" s="2129"/>
      <c r="P45" s="3376" t="str">
        <f>A45</f>
        <v>估价对象XX用房的比较价格（楼面单价，元/平方米）</v>
      </c>
      <c r="Q45" s="3377"/>
      <c r="R45" s="3378" t="e">
        <f>ROUND(AVERAGE(R44:V44),0)</f>
        <v>#DIV/0!</v>
      </c>
      <c r="S45" s="3378"/>
      <c r="T45" s="3378"/>
      <c r="U45" s="3378"/>
      <c r="V45" s="3378"/>
      <c r="W45" s="337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424" t="s">
        <v>2284</v>
      </c>
      <c r="H52" s="3425"/>
      <c r="I52" s="1936" t="s">
        <v>1945</v>
      </c>
      <c r="J52" s="1540" t="str">
        <f>项目基本情况!F41</f>
        <v>广东省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213546.4</v>
      </c>
      <c r="F53" s="1934" t="e">
        <f t="shared" ref="F53:F62" si="15">ROUND(B53*E53/10000,0)</f>
        <v>#DIV/0!</v>
      </c>
      <c r="G53" s="3426"/>
      <c r="H53" s="3427"/>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3428"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3428"/>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3428"/>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3428"/>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75962.399999999994</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59228</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2019-11-1</v>
      </c>
      <c r="D65" s="2753">
        <f>EDATE(C65,-3)</f>
        <v>43678</v>
      </c>
      <c r="E65" s="2753">
        <f t="shared" ref="E65:N65" si="18">EDATE(D65,-3)</f>
        <v>43586</v>
      </c>
      <c r="F65" s="2753">
        <f t="shared" si="18"/>
        <v>43497</v>
      </c>
      <c r="G65" s="2753">
        <f t="shared" si="18"/>
        <v>43405</v>
      </c>
      <c r="H65" s="2753">
        <f t="shared" si="18"/>
        <v>43313</v>
      </c>
      <c r="I65" s="2753">
        <f t="shared" si="18"/>
        <v>43221</v>
      </c>
      <c r="J65" s="2753">
        <f t="shared" si="18"/>
        <v>43132</v>
      </c>
      <c r="K65" s="2753">
        <f t="shared" si="18"/>
        <v>43040</v>
      </c>
      <c r="L65" s="2753">
        <f t="shared" si="18"/>
        <v>42948</v>
      </c>
      <c r="M65" s="2753">
        <f t="shared" si="18"/>
        <v>42856</v>
      </c>
      <c r="N65" s="2753">
        <f t="shared" si="18"/>
        <v>42767</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北京市平均增长率1.38%</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1"/>
      <c r="L4" s="1869" t="s">
        <v>2241</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5" t="e">
        <f>ROUND(C6+C16,0)</f>
        <v>#DIV/0!</v>
      </c>
      <c r="E5" s="3065"/>
      <c r="F5" s="1411"/>
      <c r="G5" s="1412"/>
      <c r="H5" s="1412"/>
      <c r="I5" s="1412"/>
      <c r="J5" s="1413"/>
      <c r="K5" s="3142"/>
      <c r="L5" s="1869" t="s">
        <v>2242</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40"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2765</v>
      </c>
      <c r="X7" s="2881">
        <f>G2</f>
        <v>0</v>
      </c>
      <c r="Y7" s="2881" t="s">
        <v>2766</v>
      </c>
      <c r="Z7" s="2882">
        <f>G3</f>
        <v>4</v>
      </c>
      <c r="AA7" s="2176"/>
      <c r="AB7" s="2176"/>
      <c r="AC7" s="2177"/>
      <c r="AD7" s="2883"/>
      <c r="AE7" s="2883"/>
      <c r="AF7" s="2883"/>
      <c r="AG7" s="2883"/>
      <c r="AH7" s="2883"/>
      <c r="AI7" s="2883"/>
      <c r="AJ7" s="2884"/>
    </row>
    <row r="8" spans="1:39" ht="15">
      <c r="A8" s="3441"/>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0" t="s">
        <v>2783</v>
      </c>
      <c r="X8" s="3431"/>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41"/>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9" t="s">
        <v>2779</v>
      </c>
      <c r="X9" s="2885" t="s">
        <v>2780</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1"/>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1"/>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9" t="s">
        <v>2781</v>
      </c>
      <c r="X11" s="1047" t="s">
        <v>2766</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40"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9"/>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2"/>
      <c r="B13" s="1439" t="s">
        <v>1696</v>
      </c>
      <c r="C13" s="1440" t="s">
        <v>1697</v>
      </c>
      <c r="D13" s="1084" t="s">
        <v>1698</v>
      </c>
      <c r="E13" s="1084" t="s">
        <v>1699</v>
      </c>
      <c r="F13" s="1441" t="s">
        <v>948</v>
      </c>
      <c r="G13" s="1442" t="s">
        <v>1642</v>
      </c>
      <c r="H13" s="1443" t="s">
        <v>1642</v>
      </c>
      <c r="I13" s="1444" t="s">
        <v>1642</v>
      </c>
      <c r="J13" s="1445" t="s">
        <v>1642</v>
      </c>
      <c r="K13" s="3157"/>
      <c r="L13" s="3157"/>
      <c r="M13" s="3157"/>
      <c r="N13" s="3157"/>
      <c r="O13" s="3157"/>
      <c r="P13" s="1396"/>
      <c r="Q13" s="2173"/>
      <c r="R13" s="2891">
        <v>12</v>
      </c>
      <c r="S13" s="2880"/>
      <c r="T13" s="2891" t="e">
        <f t="shared" si="0"/>
        <v>#DIV/0!</v>
      </c>
      <c r="U13" s="2880"/>
      <c r="V13" s="2891" t="e">
        <f t="shared" si="1"/>
        <v>#DIV/0!</v>
      </c>
      <c r="W13" s="3429"/>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42"/>
      <c r="B14" s="1446"/>
      <c r="C14" s="1447"/>
      <c r="D14" s="1448"/>
      <c r="E14" s="1448"/>
      <c r="F14" s="1449"/>
      <c r="G14" s="1450" t="s">
        <v>949</v>
      </c>
      <c r="H14" s="1451"/>
      <c r="I14" s="1452"/>
      <c r="J14" s="1453"/>
      <c r="K14" s="3143"/>
      <c r="L14" s="3143"/>
      <c r="M14" s="3143"/>
      <c r="N14" s="3143"/>
      <c r="O14" s="314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3"/>
      <c r="B15" s="3162" t="s">
        <v>1700</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40" t="s">
        <v>1838</v>
      </c>
      <c r="B16" s="1422" t="s">
        <v>950</v>
      </c>
      <c r="C16" s="1051" t="e">
        <f>ROUND(IF(F17="与级别开发程度一致",0,(G17-E17)/C17),0)</f>
        <v>#DIV/0!</v>
      </c>
      <c r="D16" s="3437" t="s">
        <v>954</v>
      </c>
      <c r="E16" s="3438"/>
      <c r="F16" s="3437" t="s">
        <v>951</v>
      </c>
      <c r="G16" s="3438"/>
      <c r="H16" s="1454"/>
      <c r="I16" s="1454"/>
      <c r="J16" s="1454"/>
      <c r="K16" s="1454"/>
      <c r="L16" s="1454"/>
      <c r="M16" s="1454"/>
      <c r="N16" s="1454"/>
      <c r="O16" s="316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44"/>
      <c r="B17" s="3168" t="s">
        <v>953</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3" t="s">
        <v>955</v>
      </c>
      <c r="C18" s="3164">
        <f>SUMIF(修正!C18:C39,E3,修正!E18:E39)</f>
        <v>0</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43782</v>
      </c>
      <c r="H19" s="1462" t="s">
        <v>2991</v>
      </c>
      <c r="I19" s="2739" t="str">
        <f>IF(H19="季度增幅（自定义）",SUMIF(N21:N24,E2,O21:O24),"")</f>
        <v/>
      </c>
      <c r="J19" s="1458"/>
      <c r="K19" s="3142"/>
      <c r="L19" s="2988" t="s">
        <v>2841</v>
      </c>
      <c r="M19" s="2989">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0">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4"/>
      <c r="L20" s="2990" t="s">
        <v>2842</v>
      </c>
      <c r="M20" s="3151">
        <f>ROUND(SUMPRODUCT((地价!A4:A28=YEAR(G19)&amp;"-"&amp;ROUNDUP(MONTH(G19)/3,0))*(地价!B2:F2=E2)*(地价!B4:F28)),0)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2"/>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5"/>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6"/>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46"/>
      <c r="L24" s="1468"/>
      <c r="M24" s="1468"/>
      <c r="N24" s="1465" t="s">
        <v>981</v>
      </c>
      <c r="O24" s="3150"/>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2" t="s">
        <v>2648</v>
      </c>
      <c r="O25" s="3153"/>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7" t="s">
        <v>2958</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8"/>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8"/>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9"/>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2985</v>
      </c>
      <c r="C41" s="838" t="e">
        <f>ROUND(POWER(1+E41,H41-G41)*(POWER(1+E41,G41)-1)/(POWER(1+E41,H41)-1),4)</f>
        <v>#DIV/0!</v>
      </c>
      <c r="D41" s="377" t="s">
        <v>2983</v>
      </c>
      <c r="E41" s="3139">
        <f>G20</f>
        <v>0</v>
      </c>
      <c r="F41" s="377" t="s">
        <v>2984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估价对象位于长堎工业区附近，周边商业氛围较差，人流量一般，商业繁华度较差</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估价对象周边道路状况较好、公共交通通达情况一般，有117路、119路等公交车、停车便捷程度较好，综合评价交通便捷度一般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2" t="s">
        <v>2935</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城市支路</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1" t="s">
        <v>2934</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估价对象所在区域公共配套设施齐备情况较差</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估价对象所在区域基础设施水平一般</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75" thickBot="1">
      <c r="A55" s="2404" t="s">
        <v>1028</v>
      </c>
      <c r="B55" s="2375" t="str">
        <f>估价对象房地状况!C20</f>
        <v>区域自然环境一般：；人文环境：南昌工学院；综合评价环境状况一般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2" t="s">
        <v>1030</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估价对象周边道路状况较好、公共交通通达情况一般，有117路、119路等公交车、停车便捷程度较好，综合评价交通便捷度一般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2" t="s">
        <v>2936</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城市支路</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1" t="s">
        <v>2934</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估价对象所在区域公共配套设施齐备情况较差</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估价对象所在区域基础设施水平一般</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75" thickBot="1">
      <c r="A66" s="2404" t="s">
        <v>1028</v>
      </c>
      <c r="B66" s="2376" t="str">
        <f>估价对象房地状况!C20</f>
        <v>区域自然环境一般：；人文环境：南昌工学院；综合评价环境状况一般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72">
      <c r="A69" s="1062" t="s">
        <v>1032</v>
      </c>
      <c r="B69" s="2374" t="str">
        <f>估价对象房地状况!C15</f>
        <v>估价对象周边居住用地比例一般、居住小区规模和社区发展完善程度一般，周边有新力城、丰泽花园、联富花园等住宅项目，综合评价居住社区成熟度一般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估价对象周边道路状况较好、公共交通通达情况一般，有117路、119路等公交车、停车便捷程度较好，综合评价交通便捷度一般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城市支路</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估价对象所在区域公共配套设施齐备情况较差</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估价对象所在区域基础设施水平一般</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1" t="s">
        <v>2934</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区域自然环境一般：；人文环境：南昌工学院；综合评价环境状况一般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1" t="s">
        <v>2934</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5" t="s">
        <v>1633</v>
      </c>
      <c r="B90" s="3445"/>
      <c r="C90" s="3445"/>
      <c r="D90" s="3445"/>
      <c r="E90" s="3445"/>
      <c r="F90" s="3445"/>
      <c r="G90" s="3445"/>
      <c r="H90" s="3445"/>
      <c r="I90" s="3445"/>
      <c r="J90" s="3445"/>
      <c r="K90" s="2413"/>
      <c r="L90" s="2413"/>
      <c r="M90" s="2413"/>
      <c r="N90" s="2413"/>
    </row>
    <row r="91" spans="1:40">
      <c r="A91" s="3446" t="s">
        <v>1443</v>
      </c>
      <c r="B91" s="3446" t="s">
        <v>1634</v>
      </c>
      <c r="C91" s="1135" t="s">
        <v>1635</v>
      </c>
      <c r="D91" s="1136"/>
      <c r="E91" s="1136"/>
      <c r="F91" s="1136"/>
      <c r="G91" s="1136"/>
      <c r="H91" s="1136"/>
      <c r="I91" s="1136"/>
      <c r="J91" s="1137"/>
      <c r="K91" s="1129"/>
      <c r="L91" s="1129"/>
      <c r="M91" s="1129"/>
      <c r="N91" s="1129"/>
    </row>
    <row r="92" spans="1:40">
      <c r="A92" s="3446"/>
      <c r="B92" s="344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2"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3"/>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2"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33"/>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33"/>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33"/>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33"/>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33"/>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33"/>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33"/>
      <c r="B108" s="3435"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4"/>
      <c r="B109" s="3436"/>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9" t="s">
        <v>1639</v>
      </c>
      <c r="B110" s="3439"/>
      <c r="C110" s="3439"/>
      <c r="D110" s="3439"/>
      <c r="E110" s="3439"/>
      <c r="F110" s="3439"/>
      <c r="G110" s="3439"/>
      <c r="H110" s="3439"/>
      <c r="I110" s="3439"/>
      <c r="J110" s="3439"/>
      <c r="K110" s="2411"/>
      <c r="L110" s="2411"/>
      <c r="M110" s="2411"/>
      <c r="N110" s="2411"/>
    </row>
    <row r="112" spans="1:14" ht="12.75" thickBot="1"/>
    <row r="113" spans="1:13" ht="25.5" thickBot="1">
      <c r="A113" s="1015" t="s">
        <v>896</v>
      </c>
      <c r="B113" s="2414">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2988</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46" t="s">
        <v>1007</v>
      </c>
      <c r="B18" s="1149" t="s">
        <v>1446</v>
      </c>
      <c r="C18" s="1126" t="s">
        <v>1447</v>
      </c>
      <c r="D18" s="1127"/>
      <c r="E18" s="1149">
        <v>1</v>
      </c>
      <c r="F18" s="1128" t="s">
        <v>1448</v>
      </c>
      <c r="G18" s="1129"/>
      <c r="H18" s="1100"/>
      <c r="I18" s="1100"/>
    </row>
    <row r="19" spans="1:9" s="1583" customFormat="1" ht="19.5" customHeight="1">
      <c r="A19" s="3446"/>
      <c r="B19" s="3446" t="s">
        <v>1449</v>
      </c>
      <c r="C19" s="1126" t="s">
        <v>1450</v>
      </c>
      <c r="D19" s="1127"/>
      <c r="E19" s="1149">
        <v>0.9</v>
      </c>
      <c r="F19" s="1128" t="s">
        <v>1451</v>
      </c>
      <c r="G19" s="1129"/>
      <c r="H19" s="1100"/>
      <c r="I19" s="1100"/>
    </row>
    <row r="20" spans="1:9" s="1583" customFormat="1" ht="19.5" customHeight="1">
      <c r="A20" s="3446"/>
      <c r="B20" s="3446"/>
      <c r="C20" s="1126" t="s">
        <v>1452</v>
      </c>
      <c r="D20" s="1127"/>
      <c r="E20" s="1149">
        <v>1.1000000000000001</v>
      </c>
      <c r="F20" s="1128" t="s">
        <v>1453</v>
      </c>
      <c r="G20" s="1129"/>
      <c r="H20" s="1100"/>
      <c r="I20" s="1100"/>
    </row>
    <row r="21" spans="1:9" s="1583" customFormat="1" ht="19.5" customHeight="1">
      <c r="A21" s="3446"/>
      <c r="B21" s="3446"/>
      <c r="C21" s="1126" t="s">
        <v>1454</v>
      </c>
      <c r="D21" s="1127"/>
      <c r="E21" s="1149">
        <v>0.8</v>
      </c>
      <c r="F21" s="1128" t="s">
        <v>1455</v>
      </c>
      <c r="G21" s="1129"/>
      <c r="H21" s="1100"/>
      <c r="I21" s="1100"/>
    </row>
    <row r="22" spans="1:9" s="1583" customFormat="1" ht="19.5" customHeight="1">
      <c r="A22" s="3446"/>
      <c r="B22" s="3446"/>
      <c r="C22" s="1126" t="s">
        <v>1456</v>
      </c>
      <c r="D22" s="1127"/>
      <c r="E22" s="1149">
        <v>0.5</v>
      </c>
      <c r="F22" s="1128"/>
      <c r="G22" s="1129"/>
      <c r="H22" s="1100"/>
      <c r="I22" s="1100"/>
    </row>
    <row r="23" spans="1:9" s="1583" customFormat="1" ht="19.5" customHeight="1">
      <c r="A23" s="3446" t="s">
        <v>1029</v>
      </c>
      <c r="B23" s="1149" t="s">
        <v>1446</v>
      </c>
      <c r="C23" s="1126" t="s">
        <v>1457</v>
      </c>
      <c r="D23" s="1127"/>
      <c r="E23" s="1149">
        <v>1</v>
      </c>
      <c r="F23" s="1128" t="s">
        <v>1458</v>
      </c>
      <c r="G23" s="1129"/>
      <c r="H23" s="1100"/>
      <c r="I23" s="1100"/>
    </row>
    <row r="24" spans="1:9" s="1583" customFormat="1" ht="19.5" customHeight="1">
      <c r="A24" s="3446"/>
      <c r="B24" s="3446" t="s">
        <v>1449</v>
      </c>
      <c r="C24" s="1126" t="s">
        <v>1459</v>
      </c>
      <c r="D24" s="1127"/>
      <c r="E24" s="1149">
        <v>0.5</v>
      </c>
      <c r="F24" s="1128"/>
      <c r="G24" s="1129"/>
      <c r="H24" s="1100"/>
      <c r="I24" s="1100"/>
    </row>
    <row r="25" spans="1:9" s="1583" customFormat="1" ht="19.5" customHeight="1">
      <c r="A25" s="3446"/>
      <c r="B25" s="3446"/>
      <c r="C25" s="1126" t="s">
        <v>1460</v>
      </c>
      <c r="D25" s="1127"/>
      <c r="E25" s="1149">
        <v>1.1000000000000001</v>
      </c>
      <c r="F25" s="1128"/>
      <c r="G25" s="1129"/>
      <c r="H25" s="1100"/>
      <c r="I25" s="1100"/>
    </row>
    <row r="26" spans="1:9" s="1583" customFormat="1" ht="19.5" customHeight="1">
      <c r="A26" s="3446"/>
      <c r="B26" s="3446"/>
      <c r="C26" s="1126" t="s">
        <v>1461</v>
      </c>
      <c r="D26" s="1127"/>
      <c r="E26" s="1149">
        <v>1.1000000000000001</v>
      </c>
      <c r="F26" s="1128"/>
      <c r="G26" s="1129"/>
      <c r="H26" s="1100"/>
      <c r="I26" s="1100"/>
    </row>
    <row r="27" spans="1:9" s="1583" customFormat="1" ht="19.5" customHeight="1">
      <c r="A27" s="3446"/>
      <c r="B27" s="3446"/>
      <c r="C27" s="1126" t="s">
        <v>1462</v>
      </c>
      <c r="D27" s="1127"/>
      <c r="E27" s="1149">
        <v>0.9</v>
      </c>
      <c r="F27" s="1128" t="s">
        <v>1463</v>
      </c>
      <c r="G27" s="1129"/>
      <c r="H27" s="1100"/>
      <c r="I27" s="1100"/>
    </row>
    <row r="28" spans="1:9" s="1583" customFormat="1" ht="19.5" customHeight="1">
      <c r="A28" s="3446"/>
      <c r="B28" s="3446"/>
      <c r="C28" s="1126" t="s">
        <v>1464</v>
      </c>
      <c r="D28" s="1127"/>
      <c r="E28" s="1149">
        <v>0.9</v>
      </c>
      <c r="F28" s="1128" t="s">
        <v>1465</v>
      </c>
      <c r="G28" s="1129"/>
      <c r="H28" s="1100"/>
      <c r="I28" s="1100"/>
    </row>
    <row r="29" spans="1:9" s="1583" customFormat="1" ht="19.5" customHeight="1">
      <c r="A29" s="3446"/>
      <c r="B29" s="3446"/>
      <c r="C29" s="1126" t="s">
        <v>1466</v>
      </c>
      <c r="D29" s="1127"/>
      <c r="E29" s="1149">
        <v>0.9</v>
      </c>
      <c r="F29" s="1128" t="s">
        <v>1467</v>
      </c>
      <c r="G29" s="1129"/>
      <c r="H29" s="1100"/>
      <c r="I29" s="1100"/>
    </row>
    <row r="30" spans="1:9" s="1583" customFormat="1" ht="19.5" customHeight="1">
      <c r="A30" s="3446"/>
      <c r="B30" s="3446"/>
      <c r="C30" s="1126" t="s">
        <v>1468</v>
      </c>
      <c r="D30" s="1127"/>
      <c r="E30" s="1149">
        <v>0.9</v>
      </c>
      <c r="F30" s="1128" t="s">
        <v>1469</v>
      </c>
      <c r="G30" s="1129"/>
      <c r="H30" s="1100"/>
      <c r="I30" s="1100"/>
    </row>
    <row r="31" spans="1:9" s="1583" customFormat="1" ht="19.5" customHeight="1">
      <c r="A31" s="3446"/>
      <c r="B31" s="3446"/>
      <c r="C31" s="1126" t="s">
        <v>1470</v>
      </c>
      <c r="D31" s="1127"/>
      <c r="E31" s="1149">
        <v>0.8</v>
      </c>
      <c r="F31" s="1128" t="s">
        <v>1471</v>
      </c>
      <c r="G31" s="1129"/>
      <c r="H31" s="1100"/>
      <c r="I31" s="1100"/>
    </row>
    <row r="32" spans="1:9" s="1583" customFormat="1" ht="19.5" customHeight="1">
      <c r="A32" s="3446"/>
      <c r="B32" s="3446"/>
      <c r="C32" s="1126" t="s">
        <v>1472</v>
      </c>
      <c r="D32" s="1127"/>
      <c r="E32" s="1149">
        <v>0.8</v>
      </c>
      <c r="F32" s="1128" t="s">
        <v>1473</v>
      </c>
      <c r="G32" s="1129"/>
      <c r="H32" s="1100"/>
      <c r="I32" s="1100"/>
    </row>
    <row r="33" spans="1:9" s="1583" customFormat="1" ht="19.5" customHeight="1">
      <c r="A33" s="3446" t="s">
        <v>1474</v>
      </c>
      <c r="B33" s="1149" t="s">
        <v>1446</v>
      </c>
      <c r="C33" s="1126" t="s">
        <v>1475</v>
      </c>
      <c r="D33" s="1127"/>
      <c r="E33" s="1149">
        <v>1</v>
      </c>
      <c r="F33" s="1128" t="s">
        <v>1476</v>
      </c>
      <c r="G33" s="1129"/>
      <c r="H33" s="1100"/>
      <c r="I33" s="1100"/>
    </row>
    <row r="34" spans="1:9" s="1583" customFormat="1" ht="19.5" customHeight="1">
      <c r="A34" s="3446"/>
      <c r="B34" s="1149" t="s">
        <v>1449</v>
      </c>
      <c r="C34" s="1126" t="s">
        <v>1477</v>
      </c>
      <c r="D34" s="1127"/>
      <c r="E34" s="1149">
        <v>1.5</v>
      </c>
      <c r="F34" s="1128" t="s">
        <v>1478</v>
      </c>
      <c r="G34" s="1129"/>
      <c r="H34" s="1100"/>
      <c r="I34" s="1100"/>
    </row>
    <row r="35" spans="1:9" s="1583" customFormat="1" ht="19.5" customHeight="1">
      <c r="A35" s="3446" t="s">
        <v>1432</v>
      </c>
      <c r="B35" s="1149" t="s">
        <v>1446</v>
      </c>
      <c r="C35" s="1126" t="s">
        <v>1479</v>
      </c>
      <c r="D35" s="1127"/>
      <c r="E35" s="1149">
        <v>1</v>
      </c>
      <c r="F35" s="1128" t="s">
        <v>1480</v>
      </c>
      <c r="G35" s="1129"/>
      <c r="H35" s="1100"/>
      <c r="I35" s="1100"/>
    </row>
    <row r="36" spans="1:9" s="1583" customFormat="1" ht="19.5" customHeight="1">
      <c r="A36" s="3446"/>
      <c r="B36" s="3446" t="s">
        <v>1449</v>
      </c>
      <c r="C36" s="1126" t="s">
        <v>1481</v>
      </c>
      <c r="D36" s="1127"/>
      <c r="E36" s="1149">
        <v>1</v>
      </c>
      <c r="F36" s="1128" t="s">
        <v>1482</v>
      </c>
      <c r="G36" s="1129"/>
      <c r="H36" s="1100"/>
      <c r="I36" s="1100"/>
    </row>
    <row r="37" spans="1:9" s="1583" customFormat="1" ht="19.5" customHeight="1">
      <c r="A37" s="3446"/>
      <c r="B37" s="3446"/>
      <c r="C37" s="1126" t="s">
        <v>1483</v>
      </c>
      <c r="D37" s="1127"/>
      <c r="E37" s="1149">
        <v>1.5</v>
      </c>
      <c r="F37" s="1128" t="s">
        <v>1484</v>
      </c>
      <c r="G37" s="1129"/>
      <c r="H37" s="1100"/>
      <c r="I37" s="1100"/>
    </row>
    <row r="38" spans="1:9" s="1583" customFormat="1" ht="19.5" customHeight="1">
      <c r="A38" s="3446"/>
      <c r="B38" s="3446"/>
      <c r="C38" s="1126" t="s">
        <v>1485</v>
      </c>
      <c r="D38" s="1127"/>
      <c r="E38" s="1149">
        <v>1</v>
      </c>
      <c r="F38" s="1128" t="s">
        <v>1486</v>
      </c>
      <c r="G38" s="1129"/>
      <c r="H38" s="1100"/>
      <c r="I38" s="1100"/>
    </row>
    <row r="39" spans="1:9" s="1583" customFormat="1" ht="19.5" customHeight="1">
      <c r="A39" s="3446"/>
      <c r="B39" s="3446"/>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46" t="s">
        <v>1501</v>
      </c>
      <c r="C61" s="1063" t="s">
        <v>1502</v>
      </c>
      <c r="D61" s="1063" t="s">
        <v>1503</v>
      </c>
      <c r="E61" s="1134">
        <v>0.5</v>
      </c>
      <c r="F61" s="1149">
        <v>80</v>
      </c>
      <c r="H61" s="1100">
        <f>SUMIF(C59:C119,基准地价!C8,E59:E119)</f>
        <v>0</v>
      </c>
    </row>
    <row r="62" spans="1:8" s="1100" customFormat="1" ht="24">
      <c r="A62" s="1149">
        <v>2</v>
      </c>
      <c r="B62" s="3446"/>
      <c r="C62" s="1063" t="s">
        <v>1504</v>
      </c>
      <c r="D62" s="1063" t="s">
        <v>1505</v>
      </c>
      <c r="E62" s="1134">
        <v>0.5</v>
      </c>
      <c r="F62" s="1149">
        <v>80</v>
      </c>
    </row>
    <row r="63" spans="1:8" s="1100" customFormat="1" ht="36">
      <c r="A63" s="1149">
        <v>3</v>
      </c>
      <c r="B63" s="3446"/>
      <c r="C63" s="1063" t="s">
        <v>1506</v>
      </c>
      <c r="D63" s="1063" t="s">
        <v>1507</v>
      </c>
      <c r="E63" s="1134">
        <v>0.5</v>
      </c>
      <c r="F63" s="1149">
        <v>80</v>
      </c>
    </row>
    <row r="64" spans="1:8" s="1100" customFormat="1" ht="36">
      <c r="A64" s="1149">
        <v>4</v>
      </c>
      <c r="B64" s="3446"/>
      <c r="C64" s="1063" t="s">
        <v>1508</v>
      </c>
      <c r="D64" s="1063" t="s">
        <v>1509</v>
      </c>
      <c r="E64" s="1134">
        <v>0.4</v>
      </c>
      <c r="F64" s="1149">
        <v>60</v>
      </c>
    </row>
    <row r="65" spans="1:6" s="1100" customFormat="1" ht="36">
      <c r="A65" s="1149">
        <v>5</v>
      </c>
      <c r="B65" s="3446"/>
      <c r="C65" s="1063" t="s">
        <v>1510</v>
      </c>
      <c r="D65" s="1063" t="s">
        <v>1511</v>
      </c>
      <c r="E65" s="1134">
        <v>0.2</v>
      </c>
      <c r="F65" s="1149">
        <v>30</v>
      </c>
    </row>
    <row r="66" spans="1:6" s="1100" customFormat="1" ht="36">
      <c r="A66" s="1149">
        <v>6</v>
      </c>
      <c r="B66" s="3446"/>
      <c r="C66" s="1063" t="s">
        <v>1512</v>
      </c>
      <c r="D66" s="1063" t="s">
        <v>1513</v>
      </c>
      <c r="E66" s="1134">
        <v>0.3</v>
      </c>
      <c r="F66" s="1149">
        <v>50</v>
      </c>
    </row>
    <row r="67" spans="1:6" s="1100" customFormat="1" ht="36">
      <c r="A67" s="1149">
        <v>7</v>
      </c>
      <c r="B67" s="3446"/>
      <c r="C67" s="1063" t="s">
        <v>1514</v>
      </c>
      <c r="D67" s="1063" t="s">
        <v>1515</v>
      </c>
      <c r="E67" s="1134">
        <v>0.2</v>
      </c>
      <c r="F67" s="1149">
        <v>30</v>
      </c>
    </row>
    <row r="68" spans="1:6" s="1100" customFormat="1" ht="36">
      <c r="A68" s="1149">
        <v>8</v>
      </c>
      <c r="B68" s="3446"/>
      <c r="C68" s="1063" t="s">
        <v>1516</v>
      </c>
      <c r="D68" s="1063" t="s">
        <v>1517</v>
      </c>
      <c r="E68" s="1134">
        <v>0.2</v>
      </c>
      <c r="F68" s="1149">
        <v>30</v>
      </c>
    </row>
    <row r="69" spans="1:6" s="1100" customFormat="1" ht="36">
      <c r="A69" s="1149">
        <v>9</v>
      </c>
      <c r="B69" s="3446"/>
      <c r="C69" s="1063" t="s">
        <v>1518</v>
      </c>
      <c r="D69" s="1063" t="s">
        <v>1519</v>
      </c>
      <c r="E69" s="1134">
        <v>0.2</v>
      </c>
      <c r="F69" s="1149">
        <v>30</v>
      </c>
    </row>
    <row r="70" spans="1:6" s="1100" customFormat="1" ht="48">
      <c r="A70" s="1149">
        <v>10</v>
      </c>
      <c r="B70" s="3446"/>
      <c r="C70" s="1063" t="s">
        <v>1520</v>
      </c>
      <c r="D70" s="1063" t="s">
        <v>1521</v>
      </c>
      <c r="E70" s="1134">
        <v>0.2</v>
      </c>
      <c r="F70" s="1149">
        <v>30</v>
      </c>
    </row>
    <row r="71" spans="1:6" s="1100" customFormat="1" ht="48">
      <c r="A71" s="1149">
        <v>11</v>
      </c>
      <c r="B71" s="3446"/>
      <c r="C71" s="1063" t="s">
        <v>1522</v>
      </c>
      <c r="D71" s="1063" t="s">
        <v>1523</v>
      </c>
      <c r="E71" s="1134">
        <v>0.2</v>
      </c>
      <c r="F71" s="1149">
        <v>30</v>
      </c>
    </row>
    <row r="72" spans="1:6" s="1100" customFormat="1" ht="36">
      <c r="A72" s="1149">
        <v>12</v>
      </c>
      <c r="B72" s="3446"/>
      <c r="C72" s="1063" t="s">
        <v>1524</v>
      </c>
      <c r="D72" s="1063" t="s">
        <v>1525</v>
      </c>
      <c r="E72" s="1134">
        <v>0.5</v>
      </c>
      <c r="F72" s="1149">
        <v>80</v>
      </c>
    </row>
    <row r="73" spans="1:6" s="1100" customFormat="1" ht="24">
      <c r="A73" s="1149">
        <v>13</v>
      </c>
      <c r="B73" s="3446"/>
      <c r="C73" s="1063" t="s">
        <v>1526</v>
      </c>
      <c r="D73" s="1063" t="s">
        <v>1527</v>
      </c>
      <c r="E73" s="1134">
        <v>0.4</v>
      </c>
      <c r="F73" s="1149">
        <v>60</v>
      </c>
    </row>
    <row r="74" spans="1:6" s="1100" customFormat="1" ht="24">
      <c r="A74" s="1149">
        <v>14</v>
      </c>
      <c r="B74" s="3446"/>
      <c r="C74" s="1063" t="s">
        <v>1528</v>
      </c>
      <c r="D74" s="1063" t="s">
        <v>1529</v>
      </c>
      <c r="E74" s="1134">
        <v>0.2</v>
      </c>
      <c r="F74" s="1149">
        <v>30</v>
      </c>
    </row>
    <row r="75" spans="1:6" s="1100" customFormat="1" ht="24">
      <c r="A75" s="1149">
        <v>15</v>
      </c>
      <c r="B75" s="3446"/>
      <c r="C75" s="1063" t="s">
        <v>1530</v>
      </c>
      <c r="D75" s="1063" t="s">
        <v>1531</v>
      </c>
      <c r="E75" s="1134">
        <v>0.2</v>
      </c>
      <c r="F75" s="1149">
        <v>30</v>
      </c>
    </row>
    <row r="76" spans="1:6" s="1100" customFormat="1" ht="24">
      <c r="A76" s="1149">
        <v>16</v>
      </c>
      <c r="B76" s="3446" t="s">
        <v>1532</v>
      </c>
      <c r="C76" s="1063" t="s">
        <v>1533</v>
      </c>
      <c r="D76" s="1063" t="s">
        <v>1534</v>
      </c>
      <c r="E76" s="1134">
        <v>0.5</v>
      </c>
      <c r="F76" s="1149">
        <v>80</v>
      </c>
    </row>
    <row r="77" spans="1:6" s="1100" customFormat="1" ht="24">
      <c r="A77" s="1149">
        <v>17</v>
      </c>
      <c r="B77" s="3446"/>
      <c r="C77" s="1063" t="s">
        <v>1535</v>
      </c>
      <c r="D77" s="1063" t="s">
        <v>1536</v>
      </c>
      <c r="E77" s="1134">
        <v>0.5</v>
      </c>
      <c r="F77" s="1149">
        <v>80</v>
      </c>
    </row>
    <row r="78" spans="1:6" s="1100" customFormat="1" ht="24">
      <c r="A78" s="1149">
        <v>18</v>
      </c>
      <c r="B78" s="3446"/>
      <c r="C78" s="1063" t="s">
        <v>1537</v>
      </c>
      <c r="D78" s="1063" t="s">
        <v>1538</v>
      </c>
      <c r="E78" s="1134">
        <v>0.2</v>
      </c>
      <c r="F78" s="1149">
        <v>30</v>
      </c>
    </row>
    <row r="79" spans="1:6" s="1100" customFormat="1" ht="24">
      <c r="A79" s="1149">
        <v>19</v>
      </c>
      <c r="B79" s="3446"/>
      <c r="C79" s="1063" t="s">
        <v>1539</v>
      </c>
      <c r="D79" s="1063" t="s">
        <v>1540</v>
      </c>
      <c r="E79" s="1134">
        <v>0.5</v>
      </c>
      <c r="F79" s="1149">
        <v>80</v>
      </c>
    </row>
    <row r="80" spans="1:6" s="1100" customFormat="1" ht="36">
      <c r="A80" s="1149">
        <v>20</v>
      </c>
      <c r="B80" s="3446"/>
      <c r="C80" s="1063" t="s">
        <v>1541</v>
      </c>
      <c r="D80" s="1063" t="s">
        <v>1542</v>
      </c>
      <c r="E80" s="1134">
        <v>0.2</v>
      </c>
      <c r="F80" s="1149">
        <v>30</v>
      </c>
    </row>
    <row r="81" spans="1:6" s="1100" customFormat="1" ht="36">
      <c r="A81" s="1149">
        <v>21</v>
      </c>
      <c r="B81" s="3446"/>
      <c r="C81" s="1063" t="s">
        <v>1543</v>
      </c>
      <c r="D81" s="1063" t="s">
        <v>1544</v>
      </c>
      <c r="E81" s="1134">
        <v>0.2</v>
      </c>
      <c r="F81" s="1149">
        <v>30</v>
      </c>
    </row>
    <row r="82" spans="1:6" s="1100" customFormat="1" ht="48">
      <c r="A82" s="1149">
        <v>22</v>
      </c>
      <c r="B82" s="3446"/>
      <c r="C82" s="1063" t="s">
        <v>1545</v>
      </c>
      <c r="D82" s="1063" t="s">
        <v>1546</v>
      </c>
      <c r="E82" s="1134">
        <v>0.2</v>
      </c>
      <c r="F82" s="1149">
        <v>30</v>
      </c>
    </row>
    <row r="83" spans="1:6" s="1100" customFormat="1" ht="48">
      <c r="A83" s="1149">
        <v>23</v>
      </c>
      <c r="B83" s="3446"/>
      <c r="C83" s="1063" t="s">
        <v>1547</v>
      </c>
      <c r="D83" s="1063" t="s">
        <v>1548</v>
      </c>
      <c r="E83" s="1134">
        <v>0.2</v>
      </c>
      <c r="F83" s="1149">
        <v>30</v>
      </c>
    </row>
    <row r="84" spans="1:6" s="1100" customFormat="1" ht="36">
      <c r="A84" s="1149">
        <v>24</v>
      </c>
      <c r="B84" s="3446"/>
      <c r="C84" s="1063" t="s">
        <v>1549</v>
      </c>
      <c r="D84" s="1063" t="s">
        <v>1550</v>
      </c>
      <c r="E84" s="1134">
        <v>0.2</v>
      </c>
      <c r="F84" s="1149">
        <v>30</v>
      </c>
    </row>
    <row r="85" spans="1:6" s="1100" customFormat="1" ht="36">
      <c r="A85" s="1149">
        <v>25</v>
      </c>
      <c r="B85" s="3446"/>
      <c r="C85" s="1063" t="s">
        <v>1551</v>
      </c>
      <c r="D85" s="1063" t="s">
        <v>1552</v>
      </c>
      <c r="E85" s="1134">
        <v>0.5</v>
      </c>
      <c r="F85" s="1149">
        <v>80</v>
      </c>
    </row>
    <row r="86" spans="1:6" s="1100" customFormat="1" ht="36">
      <c r="A86" s="1149">
        <v>26</v>
      </c>
      <c r="B86" s="3446"/>
      <c r="C86" s="1063" t="s">
        <v>1553</v>
      </c>
      <c r="D86" s="1063" t="s">
        <v>1554</v>
      </c>
      <c r="E86" s="1134">
        <v>0.2</v>
      </c>
      <c r="F86" s="1149">
        <v>30</v>
      </c>
    </row>
    <row r="87" spans="1:6" s="1100" customFormat="1" ht="36">
      <c r="A87" s="1149">
        <v>27</v>
      </c>
      <c r="B87" s="3446"/>
      <c r="C87" s="1063" t="s">
        <v>1555</v>
      </c>
      <c r="D87" s="1063" t="s">
        <v>1556</v>
      </c>
      <c r="E87" s="1134">
        <v>0.2</v>
      </c>
      <c r="F87" s="1149">
        <v>30</v>
      </c>
    </row>
    <row r="88" spans="1:6" s="1100" customFormat="1" ht="36">
      <c r="A88" s="1149">
        <v>28</v>
      </c>
      <c r="B88" s="3446"/>
      <c r="C88" s="1063" t="s">
        <v>1557</v>
      </c>
      <c r="D88" s="1063" t="s">
        <v>1558</v>
      </c>
      <c r="E88" s="1134">
        <v>0.2</v>
      </c>
      <c r="F88" s="1149">
        <v>30</v>
      </c>
    </row>
    <row r="89" spans="1:6" s="1100" customFormat="1" ht="24">
      <c r="A89" s="1149">
        <v>29</v>
      </c>
      <c r="B89" s="3446"/>
      <c r="C89" s="1063" t="s">
        <v>1559</v>
      </c>
      <c r="D89" s="1063" t="s">
        <v>1560</v>
      </c>
      <c r="E89" s="1134">
        <v>0.2</v>
      </c>
      <c r="F89" s="1149">
        <v>30</v>
      </c>
    </row>
    <row r="90" spans="1:6" s="1100" customFormat="1" ht="24">
      <c r="A90" s="1149">
        <v>30</v>
      </c>
      <c r="B90" s="3446"/>
      <c r="C90" s="1063" t="s">
        <v>1561</v>
      </c>
      <c r="D90" s="1063" t="s">
        <v>1562</v>
      </c>
      <c r="E90" s="1134">
        <v>0.2</v>
      </c>
      <c r="F90" s="1149">
        <v>30</v>
      </c>
    </row>
    <row r="91" spans="1:6" s="1100" customFormat="1" ht="36">
      <c r="A91" s="1149">
        <v>31</v>
      </c>
      <c r="B91" s="3446"/>
      <c r="C91" s="1063" t="s">
        <v>1563</v>
      </c>
      <c r="D91" s="1063" t="s">
        <v>1564</v>
      </c>
      <c r="E91" s="1134">
        <v>0.2</v>
      </c>
      <c r="F91" s="1149">
        <v>30</v>
      </c>
    </row>
    <row r="92" spans="1:6" s="1100" customFormat="1" ht="24">
      <c r="A92" s="1149">
        <v>32</v>
      </c>
      <c r="B92" s="3446" t="s">
        <v>1565</v>
      </c>
      <c r="C92" s="1149" t="s">
        <v>1566</v>
      </c>
      <c r="D92" s="1063" t="s">
        <v>1567</v>
      </c>
      <c r="E92" s="1134">
        <v>0.2</v>
      </c>
      <c r="F92" s="1149">
        <v>30</v>
      </c>
    </row>
    <row r="93" spans="1:6" s="1100" customFormat="1" ht="36">
      <c r="A93" s="1149">
        <v>33</v>
      </c>
      <c r="B93" s="3446"/>
      <c r="C93" s="1149" t="s">
        <v>1568</v>
      </c>
      <c r="D93" s="1063" t="s">
        <v>1569</v>
      </c>
      <c r="E93" s="1134">
        <v>0.2</v>
      </c>
      <c r="F93" s="1149">
        <v>30</v>
      </c>
    </row>
    <row r="94" spans="1:6" s="1100" customFormat="1" ht="48">
      <c r="A94" s="1149">
        <v>34</v>
      </c>
      <c r="B94" s="3446"/>
      <c r="C94" s="1149" t="s">
        <v>1570</v>
      </c>
      <c r="D94" s="1063" t="s">
        <v>1571</v>
      </c>
      <c r="E94" s="1134">
        <v>0.2</v>
      </c>
      <c r="F94" s="1149">
        <v>30</v>
      </c>
    </row>
    <row r="95" spans="1:6" s="1100" customFormat="1" ht="36">
      <c r="A95" s="1149">
        <v>35</v>
      </c>
      <c r="B95" s="3446"/>
      <c r="C95" s="1149" t="s">
        <v>1572</v>
      </c>
      <c r="D95" s="1063" t="s">
        <v>1573</v>
      </c>
      <c r="E95" s="1134">
        <v>0.2</v>
      </c>
      <c r="F95" s="1149">
        <v>30</v>
      </c>
    </row>
    <row r="96" spans="1:6" s="1100" customFormat="1" ht="48">
      <c r="A96" s="1149">
        <v>36</v>
      </c>
      <c r="B96" s="3446"/>
      <c r="C96" s="1063" t="s">
        <v>1574</v>
      </c>
      <c r="D96" s="1063" t="s">
        <v>1575</v>
      </c>
      <c r="E96" s="1134">
        <v>0.2</v>
      </c>
      <c r="F96" s="1149">
        <v>30</v>
      </c>
    </row>
    <row r="97" spans="1:6" s="1100" customFormat="1" ht="36">
      <c r="A97" s="1149">
        <v>37</v>
      </c>
      <c r="B97" s="3446"/>
      <c r="C97" s="1149" t="s">
        <v>1576</v>
      </c>
      <c r="D97" s="1063" t="s">
        <v>1577</v>
      </c>
      <c r="E97" s="1134">
        <v>0.2</v>
      </c>
      <c r="F97" s="1149">
        <v>30</v>
      </c>
    </row>
    <row r="98" spans="1:6" s="1100" customFormat="1" ht="36">
      <c r="A98" s="1149">
        <v>38</v>
      </c>
      <c r="B98" s="3446"/>
      <c r="C98" s="1149" t="s">
        <v>1578</v>
      </c>
      <c r="D98" s="1063" t="s">
        <v>1579</v>
      </c>
      <c r="E98" s="1134">
        <v>0.2</v>
      </c>
      <c r="F98" s="1149">
        <v>30</v>
      </c>
    </row>
    <row r="99" spans="1:6" s="1100" customFormat="1" ht="36">
      <c r="A99" s="1149">
        <v>39</v>
      </c>
      <c r="B99" s="3446" t="s">
        <v>1580</v>
      </c>
      <c r="C99" s="1149" t="s">
        <v>1581</v>
      </c>
      <c r="D99" s="1063" t="s">
        <v>1582</v>
      </c>
      <c r="E99" s="1134">
        <v>0.3</v>
      </c>
      <c r="F99" s="1149">
        <v>50</v>
      </c>
    </row>
    <row r="100" spans="1:6" s="1100" customFormat="1" ht="24">
      <c r="A100" s="1149">
        <v>40</v>
      </c>
      <c r="B100" s="3446"/>
      <c r="C100" s="1149" t="s">
        <v>1583</v>
      </c>
      <c r="D100" s="1063" t="s">
        <v>1584</v>
      </c>
      <c r="E100" s="1134">
        <v>0.2</v>
      </c>
      <c r="F100" s="1149">
        <v>30</v>
      </c>
    </row>
    <row r="101" spans="1:6" s="1100" customFormat="1" ht="36">
      <c r="A101" s="1149">
        <v>41</v>
      </c>
      <c r="B101" s="344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46" t="s">
        <v>1595</v>
      </c>
      <c r="C105" s="1149" t="s">
        <v>1596</v>
      </c>
      <c r="D105" s="1063" t="s">
        <v>1597</v>
      </c>
      <c r="E105" s="1134">
        <v>0.2</v>
      </c>
      <c r="F105" s="1149">
        <v>30</v>
      </c>
    </row>
    <row r="106" spans="1:6" s="1100" customFormat="1" ht="36">
      <c r="A106" s="1149">
        <v>46</v>
      </c>
      <c r="B106" s="3446"/>
      <c r="C106" s="1149" t="s">
        <v>1598</v>
      </c>
      <c r="D106" s="1063" t="s">
        <v>1599</v>
      </c>
      <c r="E106" s="1134">
        <v>0.2</v>
      </c>
      <c r="F106" s="1149">
        <v>30</v>
      </c>
    </row>
    <row r="107" spans="1:6" s="1100" customFormat="1" ht="36">
      <c r="A107" s="1149">
        <v>47</v>
      </c>
      <c r="B107" s="3446" t="s">
        <v>1600</v>
      </c>
      <c r="C107" s="1149" t="s">
        <v>1601</v>
      </c>
      <c r="D107" s="1063" t="s">
        <v>1602</v>
      </c>
      <c r="E107" s="1134">
        <v>0.3</v>
      </c>
      <c r="F107" s="1149">
        <v>50</v>
      </c>
    </row>
    <row r="108" spans="1:6" s="1100" customFormat="1" ht="36">
      <c r="A108" s="1149">
        <v>48</v>
      </c>
      <c r="B108" s="344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46" t="s">
        <v>1611</v>
      </c>
      <c r="C111" s="1149" t="s">
        <v>1612</v>
      </c>
      <c r="D111" s="1063" t="s">
        <v>1613</v>
      </c>
      <c r="E111" s="1134">
        <v>0.2</v>
      </c>
      <c r="F111" s="1149">
        <v>30</v>
      </c>
    </row>
    <row r="112" spans="1:6" s="1100" customFormat="1" ht="24">
      <c r="A112" s="1149">
        <v>52</v>
      </c>
      <c r="B112" s="3446"/>
      <c r="C112" s="1149" t="s">
        <v>1614</v>
      </c>
      <c r="D112" s="1063" t="s">
        <v>1615</v>
      </c>
      <c r="E112" s="1134">
        <v>0.2</v>
      </c>
      <c r="F112" s="1149">
        <v>30</v>
      </c>
    </row>
    <row r="113" spans="1:14" s="1100" customFormat="1" ht="24">
      <c r="A113" s="1149">
        <v>53</v>
      </c>
      <c r="B113" s="344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46" t="s">
        <v>1624</v>
      </c>
      <c r="C116" s="1149" t="s">
        <v>1625</v>
      </c>
      <c r="D116" s="1063" t="s">
        <v>1626</v>
      </c>
      <c r="E116" s="1134">
        <v>0.2</v>
      </c>
      <c r="F116" s="1149">
        <v>30</v>
      </c>
    </row>
    <row r="117" spans="1:14" ht="36">
      <c r="A117" s="1149">
        <v>57</v>
      </c>
      <c r="B117" s="344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45" t="s">
        <v>1633</v>
      </c>
      <c r="B121" s="3445"/>
      <c r="C121" s="3445"/>
      <c r="D121" s="3445"/>
      <c r="E121" s="3445"/>
      <c r="F121" s="3445"/>
      <c r="G121" s="3445"/>
      <c r="H121" s="3445"/>
      <c r="I121" s="3445"/>
      <c r="J121" s="344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50" t="s">
        <v>1039</v>
      </c>
      <c r="B1" s="3450"/>
      <c r="C1" s="3450"/>
      <c r="D1" s="3450"/>
      <c r="E1" s="3450"/>
      <c r="F1" s="345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51" t="s">
        <v>1052</v>
      </c>
      <c r="B2" s="3451"/>
      <c r="C2" s="3451"/>
      <c r="D2" s="3451"/>
      <c r="E2" s="3451"/>
      <c r="F2" s="345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4" t="s">
        <v>2079</v>
      </c>
      <c r="B1" s="3454"/>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2" t="s">
        <v>2576</v>
      </c>
      <c r="C1" s="3462"/>
      <c r="D1" s="3462"/>
      <c r="E1" s="3462"/>
      <c r="F1" s="3462"/>
      <c r="G1" s="3461" t="s">
        <v>2577</v>
      </c>
      <c r="H1" s="3461"/>
      <c r="I1" s="3461"/>
      <c r="J1" s="3461"/>
      <c r="K1" s="3461"/>
      <c r="L1" s="3461"/>
      <c r="N1" s="3461" t="s">
        <v>2578</v>
      </c>
      <c r="O1" s="3461"/>
      <c r="P1" s="3461"/>
      <c r="Q1" s="3461"/>
      <c r="R1" s="2617"/>
      <c r="S1" s="3461" t="s">
        <v>2579</v>
      </c>
      <c r="T1" s="3461"/>
      <c r="U1" s="3461"/>
      <c r="V1" s="3461"/>
      <c r="X1" s="3460" t="s">
        <v>2639</v>
      </c>
      <c r="Y1" s="3461"/>
      <c r="Z1" s="3461"/>
      <c r="AA1" s="3461"/>
      <c r="AB1" s="3461"/>
      <c r="AD1" s="3460" t="s">
        <v>2643</v>
      </c>
      <c r="AE1" s="3461"/>
      <c r="AF1" s="3461"/>
      <c r="AG1" s="3461"/>
      <c r="AH1" s="3461"/>
    </row>
    <row r="2" spans="1:34" s="2718" customFormat="1" ht="14.25" thickBot="1">
      <c r="B2" s="2726" t="s">
        <v>2580</v>
      </c>
      <c r="C2" s="2726" t="s">
        <v>2641</v>
      </c>
      <c r="D2" s="2719" t="s">
        <v>1644</v>
      </c>
      <c r="E2" s="2719" t="s">
        <v>1949</v>
      </c>
      <c r="F2" s="2726" t="s">
        <v>2642</v>
      </c>
      <c r="G2" s="2722"/>
      <c r="H2" s="2721"/>
      <c r="I2" s="2726" t="s">
        <v>2953</v>
      </c>
      <c r="J2" s="2719" t="s">
        <v>2955</v>
      </c>
      <c r="K2" s="2719" t="s">
        <v>2956</v>
      </c>
      <c r="L2" s="2726" t="s">
        <v>2957</v>
      </c>
      <c r="N2" s="2726" t="s">
        <v>2580</v>
      </c>
      <c r="O2" s="2719" t="s">
        <v>2954</v>
      </c>
      <c r="P2" s="2719" t="s">
        <v>1949</v>
      </c>
      <c r="Q2" s="2726" t="s">
        <v>2642</v>
      </c>
      <c r="R2" s="2720"/>
      <c r="S2" s="2726" t="s">
        <v>2580</v>
      </c>
      <c r="T2" s="2719" t="s">
        <v>2954</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6" customFormat="1" ht="14.25">
      <c r="A3" s="3088" t="s">
        <v>2966</v>
      </c>
      <c r="B3" s="3077"/>
      <c r="C3" s="3077"/>
      <c r="D3" s="3078"/>
      <c r="E3" s="3078"/>
      <c r="F3" s="3077"/>
      <c r="G3" s="3079"/>
      <c r="H3" s="3080"/>
      <c r="I3" s="3087">
        <f>ROUND(AVERAGE($I4:$I28),2)</f>
        <v>1.98</v>
      </c>
      <c r="J3" s="3087">
        <f>ROUND(AVERAGE($J4:$J28),2)</f>
        <v>1.41</v>
      </c>
      <c r="K3" s="3087">
        <f>ROUND(AVERAGE($K4:$K28),2)</f>
        <v>2.16</v>
      </c>
      <c r="L3" s="3087">
        <f>ROUND(AVERAGE($L4:$L28),2)</f>
        <v>1.38</v>
      </c>
      <c r="N3" s="3079"/>
      <c r="O3" s="3081"/>
      <c r="P3" s="3081"/>
      <c r="Q3" s="3081"/>
      <c r="R3" s="3081"/>
      <c r="S3" s="3079"/>
      <c r="T3" s="3081"/>
      <c r="U3" s="3081"/>
      <c r="V3" s="3081"/>
      <c r="W3" s="3084"/>
      <c r="X3" s="3082">
        <f>ROUND(SUMPRODUCT(PRODUCT(1+N3:N$27)),4)</f>
        <v>1.5516000000000001</v>
      </c>
      <c r="Y3" s="3082">
        <f>ROUND(SUMPRODUCT(PRODUCT(1+O3:O$27)),4)</f>
        <v>1.3649</v>
      </c>
      <c r="Z3" s="3082">
        <f t="shared" ref="Z3:Z25" si="0">Y3</f>
        <v>1.3649</v>
      </c>
      <c r="AA3" s="3082">
        <f>ROUND(SUMPRODUCT(PRODUCT(1+P3:P$27)),4)</f>
        <v>1.6133999999999999</v>
      </c>
      <c r="AB3" s="3082">
        <f>ROUND(SUMPRODUCT(PRODUCT(1+Q3:Q$27)),4)</f>
        <v>1.3713</v>
      </c>
      <c r="AD3" s="3083">
        <f>ROUND(AVERAGE(I3:I$28)/100,4)</f>
        <v>1.9800000000000002E-2</v>
      </c>
      <c r="AE3" s="3083">
        <f>ROUND(AVERAGE(J3:J$28)/100,4)</f>
        <v>1.41E-2</v>
      </c>
      <c r="AF3" s="3083">
        <f t="shared" ref="AF3:AF26" si="1">AE3</f>
        <v>1.41E-2</v>
      </c>
      <c r="AG3" s="3083">
        <f>ROUND(AVERAGE(K3:K$28)/100,4)</f>
        <v>2.1600000000000001E-2</v>
      </c>
      <c r="AH3" s="3083">
        <f>ROUND(AVERAGE(L3:L$28)/100,4)</f>
        <v>1.38E-2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2994</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2019</v>
      </c>
      <c r="H5" s="3059">
        <v>4</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2967</v>
      </c>
      <c r="X5" s="3063">
        <f>ROUND(IF(项目基本情况!B7="出让",SUMPRODUCT(PRODUCT(1+N5:N$28)),SUMPRODUCT(PRODUCT(1+N5:N$27))),4)</f>
        <v>1.5516000000000001</v>
      </c>
      <c r="Y5" s="3063">
        <f>ROUND(IF(项目基本情况!B7="出让",SUMPRODUCT(PRODUCT(1+O5:O$28)),SUMPRODUCT(PRODUCT(1+O5:O$27))),4)</f>
        <v>1.3649</v>
      </c>
      <c r="Z5" s="3063">
        <f t="shared" ref="Z5" si="11">Y5</f>
        <v>1.3649</v>
      </c>
      <c r="AA5" s="3063">
        <f>ROUND(IF(项目基本情况!B7="出让",SUMPRODUCT(PRODUCT(1+P5:P$28)),SUMPRODUCT(PRODUCT(1+P5:P$27))),4)</f>
        <v>1.6133999999999999</v>
      </c>
      <c r="AB5" s="3063">
        <f>ROUND(IF(项目基本情况!B7="出让",SUMPRODUCT(PRODUCT(1+Q5:Q$28)),SUMPRODUCT(PRODUCT(1+Q5:Q$27))),4)</f>
        <v>1.3713</v>
      </c>
      <c r="AD5" s="3064">
        <f>ROUND(AVERAGE(I5:I$28)/100,4)</f>
        <v>1.9800000000000002E-2</v>
      </c>
      <c r="AE5" s="3064">
        <f>ROUND(AVERAGE(J5:J$28)/100,4)</f>
        <v>1.41E-2</v>
      </c>
      <c r="AF5" s="3064">
        <f t="shared" ref="AF5" si="12">AE5</f>
        <v>1.41E-2</v>
      </c>
      <c r="AG5" s="3064">
        <f>ROUND(AVERAGE(K5:K$28)/100,4)</f>
        <v>2.1600000000000001E-2</v>
      </c>
      <c r="AH5" s="3064">
        <f>ROUND(AVERAGE(L5:L$28)/100,4)</f>
        <v>1.38E-2</v>
      </c>
    </row>
    <row r="6" spans="1:34" s="2723" customFormat="1" ht="13.5" thickBot="1">
      <c r="A6" s="2618" t="s">
        <v>2993</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3</v>
      </c>
      <c r="I6" s="2621">
        <v>0.61</v>
      </c>
      <c r="J6" s="2621">
        <v>0.67</v>
      </c>
      <c r="K6" s="2621">
        <v>0.6</v>
      </c>
      <c r="L6" s="2632">
        <v>1.03</v>
      </c>
      <c r="M6" s="2625"/>
      <c r="N6" s="2626">
        <f t="shared" ref="N6" si="18">I6/100</f>
        <v>6.0999999999999995E-3</v>
      </c>
      <c r="O6" s="2627">
        <f t="shared" ref="O6" si="19">J6/100</f>
        <v>6.7000000000000002E-3</v>
      </c>
      <c r="P6" s="2627">
        <f t="shared" ref="P6" si="20">K6/100</f>
        <v>6.0000000000000001E-3</v>
      </c>
      <c r="Q6" s="2627">
        <f t="shared" ref="Q6" si="21">L6/100</f>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ref="Z6" si="22">Y6</f>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ref="AF6" si="23">AE6</f>
        <v>1.47E-2</v>
      </c>
      <c r="AG6" s="2636">
        <f>ROUND(AVERAGE(K6:K$28)/100,4)</f>
        <v>2.2599999999999999E-2</v>
      </c>
      <c r="AH6" s="2636">
        <f>ROUND(AVERAGE(L6:L$28)/100,4)</f>
        <v>1.44E-2</v>
      </c>
    </row>
    <row r="7" spans="1:34" s="2723" customFormat="1">
      <c r="A7" s="2618" t="s">
        <v>2990</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2619">
        <v>1.53</v>
      </c>
      <c r="J7" s="2619">
        <v>1.01</v>
      </c>
      <c r="K7" s="2619">
        <v>1.62</v>
      </c>
      <c r="L7" s="2620">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2989</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2986</v>
      </c>
      <c r="B9" s="3172">
        <f t="shared" si="24"/>
        <v>464.37293017158942</v>
      </c>
      <c r="C9" s="3172">
        <f t="shared" ref="C9" si="45">C10*(1+O9)</f>
        <v>344.73679941385956</v>
      </c>
      <c r="D9" s="3172">
        <f t="shared" ref="D9" si="46">C9</f>
        <v>344.73679941385956</v>
      </c>
      <c r="E9" s="3172">
        <f t="shared" ref="E9" si="47">E10*(1+P9)</f>
        <v>663.2377795103107</v>
      </c>
      <c r="F9" s="3173">
        <f t="shared" ref="F9" si="48">F10*(1+Q9)</f>
        <v>304.75936311478398</v>
      </c>
      <c r="G9" s="3456">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2976</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56"/>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2977</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56"/>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2973</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57"/>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2964</v>
      </c>
      <c r="B13" s="3090">
        <v>439</v>
      </c>
      <c r="C13" s="3090">
        <v>327</v>
      </c>
      <c r="D13" s="3090">
        <f t="shared" si="76"/>
        <v>327</v>
      </c>
      <c r="E13" s="3090">
        <v>627</v>
      </c>
      <c r="F13" s="3091">
        <v>283</v>
      </c>
      <c r="G13" s="3455">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2968</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56"/>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456"/>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457"/>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455">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56"/>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456"/>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459"/>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458">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56"/>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456"/>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459"/>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458">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56"/>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456"/>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459"/>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463">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64"/>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464"/>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465"/>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458">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456"/>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456"/>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459"/>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458">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56">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456">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459">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458">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56">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456">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459">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458">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56">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456">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459">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458">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56">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456">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459">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458">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56">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456">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459">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458">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56">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456">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459">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458">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56">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456">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459">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458">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56">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456">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459">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458">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456">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456">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459">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458">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456">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456">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459">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2946</v>
      </c>
      <c r="B1" s="3050"/>
      <c r="C1" s="3050"/>
      <c r="D1" s="3050"/>
      <c r="E1" s="3050"/>
      <c r="F1" s="3050"/>
    </row>
    <row r="2" spans="1:6" ht="14.25">
      <c r="A2" s="3051" t="s">
        <v>2941</v>
      </c>
      <c r="B2" s="3052" t="e">
        <f ca="1">SUMIF(B7:B14,"&lt;&gt;#ref!",B7:B14)</f>
        <v>#DIV/0!</v>
      </c>
      <c r="C2" s="3051" t="s">
        <v>2942</v>
      </c>
      <c r="D2" s="3050"/>
      <c r="E2" s="3050"/>
      <c r="F2" s="3050"/>
    </row>
    <row r="3" spans="1:6" ht="14.25">
      <c r="A3" s="3051" t="s">
        <v>2974</v>
      </c>
      <c r="B3" s="3052" t="e">
        <f ca="1">ROUND(B2*10000/E3,0)</f>
        <v>#DIV/0!</v>
      </c>
      <c r="C3" s="3051" t="s">
        <v>2078</v>
      </c>
      <c r="D3" s="3051" t="s">
        <v>2943</v>
      </c>
      <c r="E3" s="3052">
        <f ca="1">SUMIF(E7:E14,"&lt;&gt;#ref!",E7:E14)</f>
        <v>0</v>
      </c>
      <c r="F3" s="3050"/>
    </row>
    <row r="4" spans="1:6" ht="14.25">
      <c r="A4" s="3051" t="s">
        <v>2950</v>
      </c>
      <c r="B4" s="3052" t="e">
        <f ca="1">ROUND(B2*10000/E4,0)</f>
        <v>#DIV/0!</v>
      </c>
      <c r="C4" s="3051" t="s">
        <v>2078</v>
      </c>
      <c r="D4" s="3051" t="s">
        <v>2951</v>
      </c>
      <c r="E4" s="3052">
        <f ca="1">SUMIF(F7:F14,"&lt;&gt;#ref!",F7:F14)</f>
        <v>0</v>
      </c>
      <c r="F4" s="3050"/>
    </row>
    <row r="5" spans="1:6" ht="14.25">
      <c r="A5" s="3053"/>
      <c r="B5" s="1865"/>
      <c r="C5" s="1865"/>
      <c r="D5" s="1865"/>
      <c r="E5" s="1865"/>
      <c r="F5" s="3050"/>
    </row>
    <row r="6" spans="1:6" ht="28.5">
      <c r="A6" s="3054" t="s">
        <v>2947</v>
      </c>
      <c r="B6" s="3051" t="s">
        <v>2944</v>
      </c>
      <c r="C6" s="3052"/>
      <c r="D6" s="1865"/>
      <c r="E6" s="3051" t="s">
        <v>2945</v>
      </c>
      <c r="F6" s="3051" t="s">
        <v>2949</v>
      </c>
    </row>
    <row r="7" spans="1:6" ht="14.25">
      <c r="A7" s="259" t="s">
        <v>2948</v>
      </c>
      <c r="B7" s="3055" t="e">
        <f ca="1">SUMIF(INDIRECT("'"&amp;A7&amp;"'"&amp;"!A:A"),"总价",INDIRECT("'"&amp;A7&amp;"'"&amp;"!B:B"))</f>
        <v>#DIV/0!</v>
      </c>
      <c r="C7" s="3051" t="s">
        <v>2942</v>
      </c>
      <c r="D7" s="1865"/>
      <c r="E7" s="3056">
        <f ca="1">SUMIF(INDIRECT("'"&amp;A7&amp;"'"&amp;"!C:C"),"建筑面积",INDIRECT("'"&amp;A7&amp;"'"&amp;"!D:D"))</f>
        <v>0</v>
      </c>
      <c r="F7" s="3056">
        <f ca="1">SUMIF(INDIRECT("'"&amp;A7&amp;"'"&amp;"!E:E"),"土地面积",INDIRECT("'"&amp;A7&amp;"'"&amp;"!F:F"))</f>
        <v>0</v>
      </c>
    </row>
    <row r="8" spans="1:6" ht="14.25">
      <c r="A8" s="259"/>
      <c r="B8" s="3055" t="e">
        <f t="shared" ref="B8:B14" ca="1" si="0">SUMIF(INDIRECT("'"&amp;A8&amp;"'"&amp;"!A:A"),"总价",INDIRECT("'"&amp;A8&amp;"'"&amp;"!B:B"))</f>
        <v>#REF!</v>
      </c>
      <c r="C8" s="3051" t="s">
        <v>2942</v>
      </c>
      <c r="D8" s="1865"/>
      <c r="E8" s="3056" t="e">
        <f t="shared" ref="E8:E14" ca="1" si="1">SUMIF(INDIRECT("'"&amp;A8&amp;"'"&amp;"!C:C"),"建筑面积",INDIRECT("'"&amp;A8&amp;"'"&amp;"!D:D"))</f>
        <v>#REF!</v>
      </c>
      <c r="F8" s="3056" t="e">
        <f t="shared" ref="F8:F14" ca="1" si="2">SUMIF(INDIRECT("'"&amp;A8&amp;"'"&amp;"!E:E"),"土地面积",INDIRECT("'"&amp;A8&amp;"'"&amp;"!F:F"))</f>
        <v>#REF!</v>
      </c>
    </row>
    <row r="9" spans="1:6" ht="14.25">
      <c r="A9" s="259"/>
      <c r="B9" s="3055" t="e">
        <f t="shared" ca="1" si="0"/>
        <v>#REF!</v>
      </c>
      <c r="C9" s="3051" t="s">
        <v>2942</v>
      </c>
      <c r="D9" s="1865"/>
      <c r="E9" s="3056" t="e">
        <f t="shared" ca="1" si="1"/>
        <v>#REF!</v>
      </c>
      <c r="F9" s="3056" t="e">
        <f t="shared" ca="1" si="2"/>
        <v>#REF!</v>
      </c>
    </row>
    <row r="10" spans="1:6" ht="14.25">
      <c r="A10" s="259"/>
      <c r="B10" s="3055" t="e">
        <f t="shared" ca="1" si="0"/>
        <v>#REF!</v>
      </c>
      <c r="C10" s="3051" t="s">
        <v>2942</v>
      </c>
      <c r="D10" s="1865"/>
      <c r="E10" s="3056" t="e">
        <f t="shared" ca="1" si="1"/>
        <v>#REF!</v>
      </c>
      <c r="F10" s="3056" t="e">
        <f t="shared" ca="1" si="2"/>
        <v>#REF!</v>
      </c>
    </row>
    <row r="11" spans="1:6" ht="14.25">
      <c r="A11" s="259"/>
      <c r="B11" s="3055" t="e">
        <f t="shared" ca="1" si="0"/>
        <v>#REF!</v>
      </c>
      <c r="C11" s="3051" t="s">
        <v>2942</v>
      </c>
      <c r="D11" s="1865"/>
      <c r="E11" s="3056" t="e">
        <f t="shared" ca="1" si="1"/>
        <v>#REF!</v>
      </c>
      <c r="F11" s="3056" t="e">
        <f t="shared" ca="1" si="2"/>
        <v>#REF!</v>
      </c>
    </row>
    <row r="12" spans="1:6" ht="14.25">
      <c r="A12" s="259"/>
      <c r="B12" s="3055" t="e">
        <f t="shared" ca="1" si="0"/>
        <v>#REF!</v>
      </c>
      <c r="C12" s="3051" t="s">
        <v>2942</v>
      </c>
      <c r="D12" s="1865"/>
      <c r="E12" s="3056" t="e">
        <f t="shared" ca="1" si="1"/>
        <v>#REF!</v>
      </c>
      <c r="F12" s="3056" t="e">
        <f t="shared" ca="1" si="2"/>
        <v>#REF!</v>
      </c>
    </row>
    <row r="13" spans="1:6" ht="14.25">
      <c r="A13" s="259"/>
      <c r="B13" s="3055" t="e">
        <f t="shared" ca="1" si="0"/>
        <v>#REF!</v>
      </c>
      <c r="C13" s="3051" t="s">
        <v>2942</v>
      </c>
      <c r="D13" s="1865"/>
      <c r="E13" s="3056" t="e">
        <f t="shared" ca="1" si="1"/>
        <v>#REF!</v>
      </c>
      <c r="F13" s="3056" t="e">
        <f t="shared" ca="1" si="2"/>
        <v>#REF!</v>
      </c>
    </row>
    <row r="14" spans="1:6" ht="14.25">
      <c r="A14" s="3049"/>
      <c r="B14" s="3055" t="e">
        <f t="shared" ca="1" si="0"/>
        <v>#REF!</v>
      </c>
      <c r="C14" s="3051" t="s">
        <v>2942</v>
      </c>
      <c r="D14" s="1865"/>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受贵公司委托，我公司对广东省汕尾市区中轴西路东侧出让国有建设用地使用权抵押价格进行了预评估。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汕尾市壹加捌房地产开发有限公司使用的、位于广东省汕尾市区中轴西路东侧出让国有建设用地使用权。根据《国有土地使用证》[]，估价对象（分摊）出让国有建设用地使用权面积为59228平方米。根据《建设工程规划许可证》[]、《出让合同》[]，估价对象规划建筑面积为304328.8平方米。</v>
      </c>
    </row>
    <row r="7" spans="1:4" ht="56.25">
      <c r="A7" s="1779" t="s">
        <v>2747</v>
      </c>
    </row>
    <row r="8" spans="1:4" ht="18.75">
      <c r="A8" s="1778" t="s">
        <v>1906</v>
      </c>
    </row>
    <row r="9" spans="1:4" ht="75">
      <c r="A9" s="1780" t="str">
        <f>IF(项目基本情况!B8="抵押",IF(项目基本情况!B5=项目基本情况!B6,定义!C51,定义!B51),定义!D51)</f>
        <v>拟使用广东省汕尾市区中轴西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2019年11月13日（评估专业人员勘察现场之日）</v>
      </c>
    </row>
    <row r="12" spans="1:4" ht="18.75">
      <c r="A12" s="1781" t="s">
        <v>2025</v>
      </c>
    </row>
    <row r="13" spans="1:4" ht="18.75">
      <c r="A13" s="1775" t="s">
        <v>2939</v>
      </c>
    </row>
    <row r="14" spans="1:4" ht="37.5">
      <c r="A14" s="1775" t="str">
        <f>"根据"&amp;项目基本情况!F12&amp;"，本次评估估价对象证载（地类）用途为"&amp;项目基本情况!B12&amp;"。"</f>
        <v>根据《国有土地使用证》[]，本次评估估价对象证载（地类）用途为住宅、住宿餐饮、批发零售。</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本次评估设定用途即为证载用途住宅、住宿餐饮、批发零售。</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根据《国有土地使用证》[]，估价对象（分摊）出让国有建设用地使用权面积为59228平方米。根据《建设工程规划许可证》[]、《出让合同》[]，估价对象规划建筑面积为304328.8平方米。</v>
      </c>
    </row>
    <row r="21" spans="1:1" ht="18.75">
      <c r="A21" s="1775" t="s">
        <v>2074</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8月31日、商业2059年8月31日、办公2059年8月31日、地下车库2059年8月31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设定用途为住宅、住宿餐饮、批发零售，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-2.5</v>
      </c>
      <c r="G1" s="773">
        <f>MATCH(C1,'数据-取费表'!A6:A16,0)+5</f>
        <v>11</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67" t="s">
        <v>2463</v>
      </c>
      <c r="C8" s="1809">
        <f ca="1">ROUND(F8*F10*F9*(1-F11)/10000,0)</f>
        <v>0</v>
      </c>
      <c r="D8" s="1806" t="s">
        <v>2534</v>
      </c>
      <c r="E8" s="61" t="s">
        <v>637</v>
      </c>
      <c r="F8" s="784">
        <f ca="1">INDIRECT("'数据-取费表'!u"&amp;$G$1)</f>
        <v>0</v>
      </c>
      <c r="G8" s="1577"/>
      <c r="H8" s="2467" t="s">
        <v>1824</v>
      </c>
      <c r="I8" s="3467" t="s">
        <v>2463</v>
      </c>
      <c r="J8" s="782">
        <f ca="1">ROUND(M8*M10*M9*(1-M11)/10000,0)</f>
        <v>0</v>
      </c>
      <c r="K8" s="340" t="s">
        <v>2534</v>
      </c>
      <c r="L8" s="783" t="s">
        <v>1738</v>
      </c>
      <c r="M8" s="784">
        <f ca="1">INDIRECT("'数据-取费表'!z"&amp;$G$1)</f>
        <v>0</v>
      </c>
    </row>
    <row r="9" spans="1:25" ht="18" customHeight="1">
      <c r="A9" s="2463"/>
      <c r="B9" s="3468"/>
      <c r="C9" s="1810"/>
      <c r="D9" s="1807"/>
      <c r="E9" s="61" t="s">
        <v>638</v>
      </c>
      <c r="F9" s="784">
        <f ca="1">IF(INDIRECT("'数据-取费表'!ah"&amp;$G$1)="",INDIRECT("'数据-取费表'!k"&amp;$G$1),INDIRECT("'数据-取费表'!ah"&amp;$G$1))</f>
        <v>0</v>
      </c>
      <c r="G9" s="1577"/>
      <c r="H9" s="2452"/>
      <c r="I9" s="3468"/>
      <c r="J9" s="787"/>
      <c r="K9" s="788"/>
      <c r="L9" s="783" t="s">
        <v>1739</v>
      </c>
      <c r="M9" s="784">
        <f ca="1">F9</f>
        <v>0</v>
      </c>
    </row>
    <row r="10" spans="1:25" ht="18" customHeight="1">
      <c r="A10" s="2456"/>
      <c r="B10" s="3469"/>
      <c r="C10" s="1810"/>
      <c r="D10" s="1807"/>
      <c r="E10" s="61" t="s">
        <v>639</v>
      </c>
      <c r="F10" s="784">
        <f ca="1">INDIRECT("'数据-取费表'!ai"&amp;$G$1)</f>
        <v>0</v>
      </c>
      <c r="G10" s="1577"/>
      <c r="H10" s="2452"/>
      <c r="I10" s="3469"/>
      <c r="J10" s="787"/>
      <c r="K10" s="788"/>
      <c r="L10" s="783" t="s">
        <v>1740</v>
      </c>
      <c r="M10" s="784">
        <f ca="1">INDIRECT("'数据-取费表'!ai"&amp;$G$1)</f>
        <v>0</v>
      </c>
    </row>
    <row r="11" spans="1:25" ht="18" customHeight="1">
      <c r="A11" s="785"/>
      <c r="B11" s="3470"/>
      <c r="C11" s="1810"/>
      <c r="D11" s="1807"/>
      <c r="E11" s="61" t="s">
        <v>640</v>
      </c>
      <c r="F11" s="793">
        <f ca="1">INDIRECT("'数据-取费表'!w"&amp;$G$1)</f>
        <v>0</v>
      </c>
      <c r="G11" s="1577"/>
      <c r="H11" s="2468"/>
      <c r="I11" s="3469"/>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2971</v>
      </c>
      <c r="E12" s="2461" t="s">
        <v>2464</v>
      </c>
      <c r="F12" s="2584"/>
      <c r="G12" s="1577"/>
      <c r="H12" s="2524" t="s">
        <v>1825</v>
      </c>
      <c r="I12" s="2529" t="s">
        <v>2459</v>
      </c>
      <c r="J12" s="782">
        <f ca="1">ROUND(IF(M12="押一",J8/12*M13,IF(M12="押二",J8/12*2*M13,IF(M12="押三",J8/12*3*M13,J13*M13))),0)</f>
        <v>0</v>
      </c>
      <c r="K12" s="2464" t="s">
        <v>2971</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150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0.01</v>
      </c>
      <c r="G22" s="1578"/>
      <c r="H22" s="1816" t="s">
        <v>1850</v>
      </c>
      <c r="I22" s="1806" t="s">
        <v>668</v>
      </c>
      <c r="J22" s="54">
        <f ca="1">ROUND(M22*M23/10000,0)</f>
        <v>0</v>
      </c>
      <c r="K22" s="813" t="s">
        <v>669</v>
      </c>
      <c r="L22" s="783" t="s">
        <v>670</v>
      </c>
      <c r="M22" s="639">
        <f>'数据-取费表'!B52</f>
        <v>1.5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2.5</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8.9999999999999998E-4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1.5</v>
      </c>
      <c r="G36" s="2046"/>
      <c r="H36" s="2049"/>
      <c r="I36" s="3466"/>
      <c r="J36" s="2063"/>
      <c r="K36" s="2064"/>
      <c r="L36" s="2063"/>
      <c r="M36" s="2063"/>
    </row>
    <row r="37" spans="1:18" ht="18" customHeight="1">
      <c r="A37" s="814"/>
      <c r="B37" s="792"/>
      <c r="C37" s="69"/>
      <c r="D37" s="815"/>
      <c r="E37" s="783" t="s">
        <v>674</v>
      </c>
      <c r="F37" s="784">
        <f ca="1">INDIRECT("'数据-取费表'!r"&amp;$G$1)</f>
        <v>0</v>
      </c>
      <c r="G37" s="2046"/>
      <c r="H37" s="2049"/>
      <c r="I37" s="3466"/>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67" t="s">
        <v>2959</v>
      </c>
      <c r="F43" s="3068">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6">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69" t="s">
        <v>2962</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1" t="str">
        <f ca="1">IF(M48="住宅",0,IF(L49&gt;J52,L61,J61))</f>
        <v>0</v>
      </c>
      <c r="O47" s="2357" t="s">
        <v>2410</v>
      </c>
      <c r="P47" s="1577"/>
      <c r="Q47" s="1588"/>
      <c r="R47" s="1577"/>
    </row>
    <row r="48" spans="1:18" s="2043" customFormat="1" ht="18" customHeight="1" thickBot="1">
      <c r="A48" s="2068"/>
      <c r="C48" s="2071"/>
      <c r="D48" s="2072"/>
      <c r="E48" s="2072"/>
      <c r="F48" s="2073"/>
      <c r="G48" s="2074"/>
      <c r="I48" s="3092" t="s">
        <v>2344</v>
      </c>
      <c r="J48" s="2344"/>
      <c r="K48" s="3098" t="s">
        <v>2349</v>
      </c>
      <c r="L48" s="3102">
        <f ca="1">INDIRECT("'数据-取费表'!d"&amp;$G$1)</f>
        <v>0</v>
      </c>
      <c r="M48" s="3066"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1" t="s">
        <v>2345</v>
      </c>
      <c r="J49" s="2345"/>
      <c r="K49" s="3099"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1" t="s">
        <v>2346</v>
      </c>
      <c r="J50" s="2346"/>
      <c r="K50" s="3100"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1" t="s">
        <v>2347</v>
      </c>
      <c r="J51" s="3096">
        <f>SUMPRODUCT((I64:I66=J48)*(J63:L63=J49)*(J64:L66))</f>
        <v>0</v>
      </c>
      <c r="K51" s="3100" t="s">
        <v>2353</v>
      </c>
      <c r="L51" s="2347"/>
      <c r="O51" s="2364" t="s">
        <v>2383</v>
      </c>
      <c r="P51" s="2362" t="s">
        <v>2407</v>
      </c>
      <c r="Q51" s="2363">
        <f ca="1">C31</f>
        <v>0</v>
      </c>
      <c r="R51" s="2362" t="s">
        <v>2380</v>
      </c>
    </row>
    <row r="52" spans="1:18" s="2043" customFormat="1" ht="18" customHeight="1" thickBot="1">
      <c r="A52" s="2080"/>
      <c r="F52" s="2069"/>
      <c r="I52" s="3093" t="s">
        <v>2348</v>
      </c>
      <c r="J52" s="3097">
        <f>IF(J50="",J51,J50+J51-YEAR('数据-取费表'!B3))</f>
        <v>0</v>
      </c>
      <c r="K52" s="3071" t="s">
        <v>2354</v>
      </c>
      <c r="L52" s="3103">
        <f ca="1">ROUND(-PV(INDIRECT("'数据-取费表'!h"&amp;$G$1),L49,(C40-C14*J36),0),0)</f>
        <v>0</v>
      </c>
      <c r="O52" s="2364" t="s">
        <v>2384</v>
      </c>
      <c r="P52" s="2362" t="s">
        <v>2385</v>
      </c>
      <c r="Q52" s="2365" t="e">
        <f ca="1">J59</f>
        <v>#VALUE!</v>
      </c>
      <c r="R52" s="2366"/>
    </row>
    <row r="53" spans="1:18" s="2043" customFormat="1" ht="18" customHeight="1" thickBot="1">
      <c r="A53" s="2080"/>
      <c r="F53" s="2069"/>
      <c r="I53" s="3094" t="s">
        <v>2421</v>
      </c>
      <c r="J53" s="2348"/>
      <c r="K53" s="3094" t="s">
        <v>2420</v>
      </c>
      <c r="L53" s="2348"/>
      <c r="O53" s="2364" t="s">
        <v>2386</v>
      </c>
      <c r="P53" s="2362" t="s">
        <v>2387</v>
      </c>
      <c r="Q53" s="2365">
        <f>J53</f>
        <v>0</v>
      </c>
      <c r="R53" s="2366"/>
    </row>
    <row r="54" spans="1:18" s="2043" customFormat="1" ht="29.25" thickBot="1">
      <c r="A54" s="2080"/>
      <c r="I54" s="3095" t="s">
        <v>2975</v>
      </c>
      <c r="J54" s="3174">
        <f ca="1">IF(M48="住宅",MAX(J52,L49-'数据-取费表'!B20),MIN(J52,L49-'数据-取费表'!B20))</f>
        <v>-2.5</v>
      </c>
      <c r="K54" s="3471"/>
      <c r="L54" s="3472"/>
      <c r="O54" s="2364" t="s">
        <v>2388</v>
      </c>
      <c r="P54" s="2362" t="s">
        <v>2389</v>
      </c>
      <c r="Q54" s="2363">
        <f ca="1">J54</f>
        <v>-2.5</v>
      </c>
      <c r="R54" s="2362" t="s">
        <v>2390</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2391</v>
      </c>
      <c r="P55" s="2362" t="s">
        <v>2408</v>
      </c>
      <c r="Q55" s="2363">
        <f ca="1">Q49+Q50</f>
        <v>0</v>
      </c>
      <c r="R55" s="2366" t="s">
        <v>2392</v>
      </c>
    </row>
    <row r="56" spans="1:18" s="2043" customFormat="1" ht="16.5" thickBot="1">
      <c r="A56" s="2080"/>
      <c r="B56" s="2081"/>
      <c r="C56" s="2081"/>
      <c r="I56" s="3106" t="s">
        <v>2355</v>
      </c>
      <c r="J56" s="3046" t="e">
        <f ca="1">ROUND(IF(J48="钢混",J58/J51,1-(1-2%)*(J51-J58)/J51),3)</f>
        <v>#VALUE!</v>
      </c>
      <c r="K56" s="3107" t="s">
        <v>2356</v>
      </c>
      <c r="L56" s="2349"/>
      <c r="O56" s="2367" t="s">
        <v>2411</v>
      </c>
      <c r="P56" s="1577"/>
      <c r="Q56" s="1588"/>
      <c r="R56" s="1577"/>
    </row>
    <row r="57" spans="1:18" s="2043" customFormat="1" ht="43.5" thickBot="1">
      <c r="A57" s="2080"/>
      <c r="B57" s="2081"/>
      <c r="C57" s="2081"/>
      <c r="I57" s="3108" t="s">
        <v>2357</v>
      </c>
      <c r="J57" s="3118" t="s">
        <v>1678</v>
      </c>
      <c r="K57" s="3071" t="s">
        <v>2362</v>
      </c>
      <c r="L57" s="1892">
        <f ca="1">IF(L49&lt;J52,"——",L49-J52)</f>
        <v>0</v>
      </c>
      <c r="O57" s="2358" t="s">
        <v>2375</v>
      </c>
      <c r="P57" s="2359" t="s">
        <v>2376</v>
      </c>
      <c r="Q57" s="2360" t="s">
        <v>2377</v>
      </c>
      <c r="R57" s="2359" t="s">
        <v>2378</v>
      </c>
    </row>
    <row r="58" spans="1:18" s="2043" customFormat="1" ht="29.25" thickBot="1">
      <c r="A58" s="2080"/>
      <c r="B58" s="2081"/>
      <c r="C58" s="2081"/>
      <c r="I58" s="3109" t="s">
        <v>2358</v>
      </c>
      <c r="J58" s="3110" t="str">
        <f ca="1">IF(OR(M48="住宅",J52&lt;L49,J57="是"),"——",J52-L49)</f>
        <v>——</v>
      </c>
      <c r="K58" s="3071"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09" t="s">
        <v>2359</v>
      </c>
      <c r="J59" s="3047" t="e">
        <f ca="1">IF(J56&lt;0.4,0.4,J56)</f>
        <v>#VALUE!</v>
      </c>
      <c r="K59" s="3071"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09" t="s">
        <v>2360</v>
      </c>
      <c r="J60" s="3110" t="str">
        <f ca="1">IF(OR(M48="住宅",J52&lt;L49,J57="是"),"——",ROUND(C30*J59,0))</f>
        <v>——</v>
      </c>
      <c r="K60" s="3071"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1" t="s">
        <v>2361</v>
      </c>
      <c r="J61" s="3112" t="str">
        <f ca="1">IF(OR(M48="住宅",J52&lt;L49,J57="是"),"0",ROUND(J60/(1+J53)^J54,0))</f>
        <v>0</v>
      </c>
      <c r="K61" s="3113" t="s">
        <v>2366</v>
      </c>
      <c r="L61" s="3112"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4" t="s">
        <v>2367</v>
      </c>
      <c r="J63" s="3115" t="s">
        <v>2368</v>
      </c>
      <c r="K63" s="3115" t="s">
        <v>2369</v>
      </c>
      <c r="L63" s="3115" t="s">
        <v>2350</v>
      </c>
      <c r="M63" s="3116" t="s">
        <v>2940</v>
      </c>
      <c r="O63" s="2364" t="s">
        <v>2388</v>
      </c>
      <c r="P63" s="2362" t="s">
        <v>2396</v>
      </c>
      <c r="Q63" s="2363">
        <f ca="1">L60</f>
        <v>0</v>
      </c>
      <c r="R63" s="2366" t="s">
        <v>2397</v>
      </c>
    </row>
    <row r="64" spans="1:18" s="2043" customFormat="1" ht="15.75" thickBot="1">
      <c r="A64" s="2080"/>
      <c r="B64" s="2081"/>
      <c r="C64" s="2081"/>
      <c r="I64" s="3114" t="s">
        <v>2370</v>
      </c>
      <c r="J64" s="3115">
        <v>70</v>
      </c>
      <c r="K64" s="3115">
        <v>50</v>
      </c>
      <c r="L64" s="3115">
        <v>80</v>
      </c>
      <c r="M64" s="3117">
        <v>0.02</v>
      </c>
      <c r="O64" s="2361" t="s">
        <v>2391</v>
      </c>
      <c r="P64" s="2362" t="s">
        <v>2408</v>
      </c>
      <c r="Q64" s="2363" t="e">
        <f ca="1">Q58+Q59</f>
        <v>#DIV/0!</v>
      </c>
      <c r="R64" s="2366" t="s">
        <v>2392</v>
      </c>
    </row>
    <row r="65" spans="1:18" s="2043" customFormat="1" ht="16.5" thickBot="1">
      <c r="A65" s="2080"/>
      <c r="B65" s="2081"/>
      <c r="C65" s="2081"/>
      <c r="I65" s="3114" t="s">
        <v>2371</v>
      </c>
      <c r="J65" s="3115">
        <v>50</v>
      </c>
      <c r="K65" s="3115">
        <v>35</v>
      </c>
      <c r="L65" s="3115">
        <v>60</v>
      </c>
      <c r="M65" s="845">
        <v>0</v>
      </c>
      <c r="O65" s="2367" t="s">
        <v>2415</v>
      </c>
      <c r="P65" s="1577"/>
      <c r="Q65" s="1588"/>
      <c r="R65" s="1577"/>
    </row>
    <row r="66" spans="1:18" s="2043" customFormat="1" ht="15.75" thickBot="1">
      <c r="A66" s="2080"/>
      <c r="B66" s="2081"/>
      <c r="C66" s="2081"/>
      <c r="I66" s="3114" t="s">
        <v>2372</v>
      </c>
      <c r="J66" s="3115">
        <v>40</v>
      </c>
      <c r="K66" s="3115">
        <v>30</v>
      </c>
      <c r="L66" s="3115">
        <v>50</v>
      </c>
      <c r="M66" s="3117">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6" zoomScale="80" zoomScaleNormal="80" workbookViewId="0">
      <selection activeCell="H102" sqref="H102"/>
    </sheetView>
  </sheetViews>
  <sheetFormatPr defaultColWidth="9" defaultRowHeight="14.25"/>
  <cols>
    <col min="1" max="1" width="10.5" style="1332" customWidth="1"/>
    <col min="2" max="2" width="15.75" style="1332" customWidth="1"/>
    <col min="3" max="3" width="2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3113</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166668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12545</v>
      </c>
      <c r="C3" s="851" t="s">
        <v>722</v>
      </c>
      <c r="D3" s="850">
        <f>SUMIF('数据-汇总表'!$C19:$C33,D1,'数据-汇总表'!$E19:$E33)</f>
        <v>132855.79999999999</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385" t="s">
        <v>522</v>
      </c>
      <c r="D4" s="3386"/>
      <c r="E4" s="3420" t="s">
        <v>523</v>
      </c>
      <c r="F4" s="3421"/>
      <c r="G4" s="3385" t="s">
        <v>524</v>
      </c>
      <c r="H4" s="3386"/>
      <c r="I4" s="3385" t="s">
        <v>525</v>
      </c>
      <c r="J4" s="3386"/>
      <c r="K4" s="852" t="s">
        <v>526</v>
      </c>
      <c r="L4" s="2117"/>
      <c r="M4" s="2118"/>
      <c r="N4" s="2118"/>
      <c r="O4" s="2118"/>
      <c r="P4" s="3387" t="s">
        <v>527</v>
      </c>
      <c r="Q4" s="3388"/>
      <c r="R4" s="3393" t="s">
        <v>523</v>
      </c>
      <c r="S4" s="3394"/>
      <c r="T4" s="3393" t="s">
        <v>524</v>
      </c>
      <c r="U4" s="3394"/>
      <c r="V4" s="3380" t="s">
        <v>525</v>
      </c>
      <c r="W4" s="3380"/>
      <c r="X4" s="1552"/>
      <c r="Y4" s="3393" t="s">
        <v>527</v>
      </c>
      <c r="Z4" s="3394"/>
      <c r="AA4" s="3382" t="s">
        <v>523</v>
      </c>
      <c r="AB4" s="3382" t="s">
        <v>524</v>
      </c>
      <c r="AC4" s="3382" t="s">
        <v>525</v>
      </c>
    </row>
    <row r="5" spans="1:29" ht="15">
      <c r="A5" s="514"/>
      <c r="B5" s="515"/>
      <c r="C5" s="3401" t="s">
        <v>2927</v>
      </c>
      <c r="D5" s="3402"/>
      <c r="E5" s="3477" t="s">
        <v>3112</v>
      </c>
      <c r="F5" s="3423"/>
      <c r="G5" s="3476" t="s">
        <v>3150</v>
      </c>
      <c r="H5" s="3402"/>
      <c r="I5" s="3401" t="s">
        <v>2930</v>
      </c>
      <c r="J5" s="3402"/>
      <c r="K5" s="853"/>
      <c r="L5" s="2117"/>
      <c r="M5" s="2118"/>
      <c r="N5" s="2118"/>
      <c r="O5" s="2118"/>
      <c r="P5" s="3389"/>
      <c r="Q5" s="3390"/>
      <c r="R5" s="3395"/>
      <c r="S5" s="3396"/>
      <c r="T5" s="3395"/>
      <c r="U5" s="3396"/>
      <c r="V5" s="3380"/>
      <c r="W5" s="3380"/>
      <c r="X5" s="1552"/>
      <c r="Y5" s="3395"/>
      <c r="Z5" s="3396"/>
      <c r="AA5" s="3383"/>
      <c r="AB5" s="3383"/>
      <c r="AC5" s="3383"/>
    </row>
    <row r="6" spans="1:29" ht="15.75" thickBot="1">
      <c r="A6" s="516"/>
      <c r="B6" s="517"/>
      <c r="C6" s="3399" t="s">
        <v>2931</v>
      </c>
      <c r="D6" s="3400"/>
      <c r="E6" s="3418" t="s">
        <v>2931</v>
      </c>
      <c r="F6" s="3419"/>
      <c r="G6" s="3399" t="s">
        <v>2931</v>
      </c>
      <c r="H6" s="3400"/>
      <c r="I6" s="3399" t="s">
        <v>2931</v>
      </c>
      <c r="J6" s="3400"/>
      <c r="K6" s="853" t="s">
        <v>528</v>
      </c>
      <c r="L6" s="2117"/>
      <c r="M6" s="2118"/>
      <c r="N6" s="2118"/>
      <c r="O6" s="2118"/>
      <c r="P6" s="3391"/>
      <c r="Q6" s="3392"/>
      <c r="R6" s="3395"/>
      <c r="S6" s="3396"/>
      <c r="T6" s="3397"/>
      <c r="U6" s="3398"/>
      <c r="V6" s="3380"/>
      <c r="W6" s="3380"/>
      <c r="X6" s="1552"/>
      <c r="Y6" s="3397"/>
      <c r="Z6" s="3398"/>
      <c r="AA6" s="3384"/>
      <c r="AB6" s="3384"/>
      <c r="AC6" s="3384"/>
    </row>
    <row r="7" spans="1:29" s="1215" customFormat="1" ht="15.75" thickBot="1">
      <c r="A7" s="2866"/>
      <c r="B7" s="2873" t="s">
        <v>529</v>
      </c>
      <c r="C7" s="518">
        <f>'数据-取费表'!B2</f>
        <v>43782</v>
      </c>
      <c r="D7" s="519">
        <v>100</v>
      </c>
      <c r="E7" s="520">
        <v>43775</v>
      </c>
      <c r="F7" s="521">
        <f>SUMIF(58:58,YEAR(E7)&amp;"-"&amp;MONTH(E7),59:59)</f>
        <v>100</v>
      </c>
      <c r="G7" s="522">
        <f>E7</f>
        <v>43775</v>
      </c>
      <c r="H7" s="519">
        <f>SUMIF(58:58,YEAR(G7)&amp;"-"&amp;MONTH(G7),59:59)</f>
        <v>100</v>
      </c>
      <c r="I7" s="522">
        <f>G7</f>
        <v>43775</v>
      </c>
      <c r="J7" s="519">
        <f>SUMIF(58:58,YEAR(I7)&amp;"-"&amp;MONTH(I7),59:59)</f>
        <v>100</v>
      </c>
      <c r="K7" s="854"/>
      <c r="L7" s="2119"/>
      <c r="M7" s="2120"/>
      <c r="N7" s="2120"/>
      <c r="O7" s="2120"/>
      <c r="P7" s="3411" t="s">
        <v>530</v>
      </c>
      <c r="Q7" s="3413"/>
      <c r="R7" s="1553" t="s">
        <v>13</v>
      </c>
      <c r="S7" s="1554">
        <f t="shared" ref="S7:S15" si="0">F7</f>
        <v>100</v>
      </c>
      <c r="T7" s="1553" t="s">
        <v>13</v>
      </c>
      <c r="U7" s="1554">
        <f t="shared" ref="U7:U15" si="1">H7</f>
        <v>100</v>
      </c>
      <c r="V7" s="1553" t="s">
        <v>13</v>
      </c>
      <c r="W7" s="1554">
        <f t="shared" ref="W7:W15" si="2">J7</f>
        <v>100</v>
      </c>
      <c r="X7" s="1555"/>
      <c r="Y7" s="3411" t="s">
        <v>530</v>
      </c>
      <c r="Z7" s="3412"/>
      <c r="AA7" s="1556">
        <f>D7/F7</f>
        <v>1</v>
      </c>
      <c r="AB7" s="1556">
        <f>D7/H7</f>
        <v>1</v>
      </c>
      <c r="AC7" s="1556">
        <f>D7/J7</f>
        <v>1</v>
      </c>
    </row>
    <row r="8" spans="1:29" s="1215" customFormat="1" ht="15.75" thickBot="1">
      <c r="A8" s="2867"/>
      <c r="B8" s="2874" t="s">
        <v>531</v>
      </c>
      <c r="C8" s="524" t="s">
        <v>576</v>
      </c>
      <c r="D8" s="519">
        <v>100</v>
      </c>
      <c r="E8" s="855" t="s">
        <v>3040</v>
      </c>
      <c r="F8" s="521">
        <f>SUMIF(61:61,E8,62:62)-SUMIF(61:61,C8,62:62)+100</f>
        <v>100</v>
      </c>
      <c r="G8" s="855" t="s">
        <v>3040</v>
      </c>
      <c r="H8" s="519">
        <f>SUMIF(61:61,G8,62:62)-SUMIF(61:61,C8,62:62)+100</f>
        <v>100</v>
      </c>
      <c r="I8" s="855" t="s">
        <v>3040</v>
      </c>
      <c r="J8" s="519">
        <f>SUMIF(61:61,I8,62:62)-SUMIF(61:61,C8,62:62)+100</f>
        <v>100</v>
      </c>
      <c r="K8" s="854"/>
      <c r="L8" s="2119"/>
      <c r="M8" s="2120"/>
      <c r="N8" s="2120"/>
      <c r="O8" s="2120"/>
      <c r="P8" s="3411" t="s">
        <v>533</v>
      </c>
      <c r="Q8" s="3412"/>
      <c r="R8" s="1553" t="s">
        <v>13</v>
      </c>
      <c r="S8" s="1554">
        <f t="shared" si="0"/>
        <v>100</v>
      </c>
      <c r="T8" s="1553" t="s">
        <v>13</v>
      </c>
      <c r="U8" s="1554">
        <f t="shared" si="1"/>
        <v>100</v>
      </c>
      <c r="V8" s="1553" t="s">
        <v>13</v>
      </c>
      <c r="W8" s="1554">
        <f t="shared" si="2"/>
        <v>100</v>
      </c>
      <c r="X8" s="1555"/>
      <c r="Y8" s="3411" t="s">
        <v>533</v>
      </c>
      <c r="Z8" s="3412"/>
      <c r="AA8" s="1556">
        <f t="shared" ref="AA8:AA46" si="3">D8/F8</f>
        <v>1</v>
      </c>
      <c r="AB8" s="1556">
        <f t="shared" ref="AB8:AB46" si="4">D8/H8</f>
        <v>1</v>
      </c>
      <c r="AC8" s="1556">
        <f t="shared" ref="AC8:AC46" si="5">D8/J8</f>
        <v>1</v>
      </c>
    </row>
    <row r="9" spans="1:29" s="1215" customFormat="1" ht="15">
      <c r="A9" s="2868"/>
      <c r="B9" s="2875" t="s">
        <v>2756</v>
      </c>
      <c r="C9" s="3189" t="s">
        <v>3148</v>
      </c>
      <c r="D9" s="253">
        <v>100</v>
      </c>
      <c r="E9" s="857" t="s">
        <v>923</v>
      </c>
      <c r="F9" s="858">
        <f>SUMIF(63:63,E9,64:64)-SUMIF(63:63,C9,64:64)+100</f>
        <v>100</v>
      </c>
      <c r="G9" s="857" t="s">
        <v>923</v>
      </c>
      <c r="H9" s="253">
        <f>SUMIF(63:63,G9,64:64)-SUMIF(63:63,C9,64:64)+100</f>
        <v>100</v>
      </c>
      <c r="I9" s="857" t="s">
        <v>923</v>
      </c>
      <c r="J9" s="253">
        <f>SUMIF(63:63,I9,64:64)-SUMIF(63:63,C9,64:64)+100</f>
        <v>100</v>
      </c>
      <c r="K9" s="854"/>
      <c r="L9" s="2119"/>
      <c r="M9" s="2120"/>
      <c r="N9" s="2120"/>
      <c r="O9" s="2121"/>
      <c r="P9" s="3379" t="s">
        <v>535</v>
      </c>
      <c r="Q9" s="1146" t="str">
        <f t="shared" ref="Q9:Q15" si="6">B9</f>
        <v>用途</v>
      </c>
      <c r="R9" s="1553" t="s">
        <v>8</v>
      </c>
      <c r="S9" s="1554">
        <f t="shared" si="0"/>
        <v>100</v>
      </c>
      <c r="T9" s="1553" t="s">
        <v>8</v>
      </c>
      <c r="U9" s="1554">
        <f t="shared" si="1"/>
        <v>100</v>
      </c>
      <c r="V9" s="1553" t="s">
        <v>8</v>
      </c>
      <c r="W9" s="1554">
        <f t="shared" si="2"/>
        <v>100</v>
      </c>
      <c r="X9" s="1555"/>
      <c r="Y9" s="3325" t="s">
        <v>536</v>
      </c>
      <c r="Z9" s="1145" t="str">
        <f t="shared" ref="Z9:Z15" si="7">Q9</f>
        <v>用途</v>
      </c>
      <c r="AA9" s="1556">
        <f t="shared" si="3"/>
        <v>1</v>
      </c>
      <c r="AB9" s="1556">
        <f t="shared" si="4"/>
        <v>1</v>
      </c>
      <c r="AC9" s="1556">
        <f t="shared" si="5"/>
        <v>1</v>
      </c>
    </row>
    <row r="10" spans="1:29" s="1333" customFormat="1" ht="27">
      <c r="A10" s="2869"/>
      <c r="B10" s="2874" t="s">
        <v>2757</v>
      </c>
      <c r="C10" s="860" t="s">
        <v>3149</v>
      </c>
      <c r="D10" s="254">
        <v>100</v>
      </c>
      <c r="E10" s="860" t="s">
        <v>3149</v>
      </c>
      <c r="F10" s="862">
        <f>SUMIF(65:65,E10,66:66)-SUMIF(65:65,C10,66:66)+100</f>
        <v>100</v>
      </c>
      <c r="G10" s="860" t="s">
        <v>3149</v>
      </c>
      <c r="H10" s="254">
        <f>SUMIF(65:65,G10,66:66)-SUMIF(65:65,C10,66:66)+100</f>
        <v>100</v>
      </c>
      <c r="I10" s="860" t="s">
        <v>3149</v>
      </c>
      <c r="J10" s="254">
        <f>SUMIF(65:65,I10,66:66)-SUMIF(65:65,C10,66:66)+100</f>
        <v>100</v>
      </c>
      <c r="K10" s="863">
        <v>1</v>
      </c>
      <c r="L10" s="2122"/>
      <c r="M10" s="2162"/>
      <c r="N10" s="2162"/>
      <c r="O10" s="2123"/>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0"/>
      <c r="B11" s="2874" t="s">
        <v>2758</v>
      </c>
      <c r="C11" s="532">
        <f>'数据-汇总表'!I6</f>
        <v>3.86</v>
      </c>
      <c r="D11" s="254">
        <v>100</v>
      </c>
      <c r="E11" s="533">
        <v>2.34</v>
      </c>
      <c r="F11" s="862">
        <f>LOOKUP(E11,68:68,69:69)-LOOKUP(C11,68:68,69:69)+100</f>
        <v>103</v>
      </c>
      <c r="G11" s="532">
        <v>3.5</v>
      </c>
      <c r="H11" s="254">
        <f>LOOKUP(G11,68:68,69:69)-LOOKUP(C11,68:68,69:69)+100</f>
        <v>100</v>
      </c>
      <c r="I11" s="532">
        <v>3.9</v>
      </c>
      <c r="J11" s="254">
        <f>LOOKUP(I11,68:68,69:69)-LOOKUP(C11,68:68,69:69)+100</f>
        <v>100</v>
      </c>
      <c r="K11" s="863">
        <v>1</v>
      </c>
      <c r="L11" s="2124"/>
      <c r="M11" s="2118"/>
      <c r="N11" s="2118"/>
      <c r="O11" s="2125"/>
      <c r="P11" s="3379"/>
      <c r="Q11" s="1146" t="str">
        <f t="shared" si="6"/>
        <v>容积率</v>
      </c>
      <c r="R11" s="1553" t="s">
        <v>11</v>
      </c>
      <c r="S11" s="1554">
        <f t="shared" si="0"/>
        <v>103</v>
      </c>
      <c r="T11" s="1553" t="s">
        <v>11</v>
      </c>
      <c r="U11" s="1554">
        <f t="shared" si="1"/>
        <v>100</v>
      </c>
      <c r="V11" s="1553" t="s">
        <v>11</v>
      </c>
      <c r="W11" s="1554">
        <f t="shared" si="2"/>
        <v>100</v>
      </c>
      <c r="X11" s="1555"/>
      <c r="Y11" s="3325"/>
      <c r="Z11" s="1145" t="str">
        <f t="shared" si="7"/>
        <v>容积率</v>
      </c>
      <c r="AA11" s="1556">
        <f t="shared" si="3"/>
        <v>0.970873786407767</v>
      </c>
      <c r="AB11" s="1556">
        <f t="shared" si="4"/>
        <v>1</v>
      </c>
      <c r="AC11" s="1556">
        <f t="shared" si="5"/>
        <v>1</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79"/>
      <c r="Q12" s="1146">
        <f t="shared" si="6"/>
        <v>111</v>
      </c>
      <c r="R12" s="1553" t="s">
        <v>11</v>
      </c>
      <c r="S12" s="1554">
        <f t="shared" si="0"/>
        <v>100</v>
      </c>
      <c r="T12" s="1553" t="s">
        <v>11</v>
      </c>
      <c r="U12" s="1554">
        <f t="shared" si="1"/>
        <v>100</v>
      </c>
      <c r="V12" s="1553" t="s">
        <v>11</v>
      </c>
      <c r="W12" s="1554">
        <f t="shared" si="2"/>
        <v>100</v>
      </c>
      <c r="X12" s="1555"/>
      <c r="Y12" s="3325"/>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79"/>
      <c r="Q13" s="1146">
        <f t="shared" si="6"/>
        <v>111</v>
      </c>
      <c r="R13" s="1553" t="s">
        <v>11</v>
      </c>
      <c r="S13" s="1554">
        <f t="shared" si="0"/>
        <v>100</v>
      </c>
      <c r="T13" s="1553" t="s">
        <v>11</v>
      </c>
      <c r="U13" s="1554">
        <f t="shared" si="1"/>
        <v>100</v>
      </c>
      <c r="V13" s="1553" t="s">
        <v>11</v>
      </c>
      <c r="W13" s="1554">
        <f t="shared" si="2"/>
        <v>100</v>
      </c>
      <c r="X13" s="1555"/>
      <c r="Y13" s="3325"/>
      <c r="Z13" s="1145">
        <f t="shared" si="7"/>
        <v>111</v>
      </c>
      <c r="AA13" s="1556">
        <f t="shared" si="3"/>
        <v>1</v>
      </c>
      <c r="AB13" s="1556">
        <f t="shared" si="4"/>
        <v>1</v>
      </c>
      <c r="AC13" s="1556">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79"/>
      <c r="Q14" s="1146">
        <f t="shared" si="6"/>
        <v>111</v>
      </c>
      <c r="R14" s="1553" t="s">
        <v>11</v>
      </c>
      <c r="S14" s="1554">
        <f t="shared" si="0"/>
        <v>100</v>
      </c>
      <c r="T14" s="1553" t="s">
        <v>11</v>
      </c>
      <c r="U14" s="1554">
        <f t="shared" si="1"/>
        <v>100</v>
      </c>
      <c r="V14" s="1553" t="s">
        <v>11</v>
      </c>
      <c r="W14" s="1554">
        <f t="shared" si="2"/>
        <v>100</v>
      </c>
      <c r="X14" s="1555"/>
      <c r="Y14" s="3325"/>
      <c r="Z14" s="1145">
        <f t="shared" si="7"/>
        <v>111</v>
      </c>
      <c r="AA14" s="1556">
        <f t="shared" si="3"/>
        <v>1</v>
      </c>
      <c r="AB14" s="1556">
        <f t="shared" si="4"/>
        <v>1</v>
      </c>
      <c r="AC14" s="1556">
        <f t="shared" si="5"/>
        <v>1</v>
      </c>
    </row>
    <row r="15" spans="1:29" ht="99.75">
      <c r="A15" s="2864" t="s">
        <v>2754</v>
      </c>
      <c r="B15" s="166" t="s">
        <v>295</v>
      </c>
      <c r="C15" s="866" t="str">
        <f>估价对象房地状况!C3</f>
        <v>估价对象周边居住用地比例一般、居住小区规模和社区发展完善程度一般，周边有新力城、丰泽花园、联富花园等住宅项目，综合评价居住社区成熟度一般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26"/>
      <c r="M15" s="2118"/>
      <c r="N15" s="2118"/>
      <c r="O15" s="2125"/>
      <c r="P15" s="3414" t="s">
        <v>540</v>
      </c>
      <c r="Q15" s="1557" t="str">
        <f t="shared" si="6"/>
        <v>居住社区成熟度</v>
      </c>
      <c r="R15" s="1558" t="s">
        <v>11</v>
      </c>
      <c r="S15" s="1559">
        <f t="shared" si="0"/>
        <v>100</v>
      </c>
      <c r="T15" s="1558" t="s">
        <v>11</v>
      </c>
      <c r="U15" s="1559">
        <f t="shared" si="1"/>
        <v>100</v>
      </c>
      <c r="V15" s="1558" t="s">
        <v>11</v>
      </c>
      <c r="W15" s="1559">
        <f t="shared" si="2"/>
        <v>100</v>
      </c>
      <c r="X15" s="1552"/>
      <c r="Y15" s="3414" t="s">
        <v>540</v>
      </c>
      <c r="Z15" s="1560" t="str">
        <f t="shared" si="7"/>
        <v>居住社区成熟度</v>
      </c>
      <c r="AA15" s="1561">
        <f t="shared" si="3"/>
        <v>1</v>
      </c>
      <c r="AB15" s="1561">
        <f t="shared" si="4"/>
        <v>1</v>
      </c>
      <c r="AC15" s="1561">
        <f t="shared" si="5"/>
        <v>1</v>
      </c>
    </row>
    <row r="16" spans="1:29" ht="15">
      <c r="A16" s="531"/>
      <c r="B16" s="868"/>
      <c r="C16" s="575" t="s">
        <v>3048</v>
      </c>
      <c r="D16" s="554"/>
      <c r="E16" s="575" t="s">
        <v>3048</v>
      </c>
      <c r="F16" s="556"/>
      <c r="G16" s="575" t="s">
        <v>3048</v>
      </c>
      <c r="H16" s="558"/>
      <c r="I16" s="575" t="s">
        <v>3048</v>
      </c>
      <c r="J16" s="554"/>
      <c r="K16" s="869"/>
      <c r="L16" s="2126"/>
      <c r="M16" s="2118"/>
      <c r="N16" s="2118"/>
      <c r="O16" s="2125"/>
      <c r="P16" s="3415"/>
      <c r="Q16" s="1557"/>
      <c r="R16" s="1558"/>
      <c r="S16" s="1559"/>
      <c r="T16" s="1558"/>
      <c r="U16" s="1559"/>
      <c r="V16" s="1558"/>
      <c r="W16" s="1559"/>
      <c r="X16" s="1552"/>
      <c r="Y16" s="3415"/>
      <c r="Z16" s="1560"/>
      <c r="AA16" s="1561">
        <v>1</v>
      </c>
      <c r="AB16" s="1561">
        <v>1</v>
      </c>
      <c r="AC16" s="1561">
        <v>1</v>
      </c>
    </row>
    <row r="17" spans="1:29" ht="85.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3"/>
      <c r="J17" s="564">
        <f>SUMIF(78:78,I18,79:79)-SUMIF(78:78,C18,79:79)+100</f>
        <v>100</v>
      </c>
      <c r="K17" s="867">
        <v>2</v>
      </c>
      <c r="L17" s="2126"/>
      <c r="M17" s="2118"/>
      <c r="N17" s="2118"/>
      <c r="O17" s="2125"/>
      <c r="P17" s="3415"/>
      <c r="Q17" s="1557" t="str">
        <f>B17</f>
        <v>交通便捷度</v>
      </c>
      <c r="R17" s="1558" t="s">
        <v>11</v>
      </c>
      <c r="S17" s="1559">
        <f>F17</f>
        <v>100</v>
      </c>
      <c r="T17" s="1558" t="s">
        <v>11</v>
      </c>
      <c r="U17" s="1559">
        <f>H17</f>
        <v>100</v>
      </c>
      <c r="V17" s="1558" t="s">
        <v>11</v>
      </c>
      <c r="W17" s="1559">
        <f>J17</f>
        <v>100</v>
      </c>
      <c r="X17" s="1552"/>
      <c r="Y17" s="3415"/>
      <c r="Z17" s="1560" t="str">
        <f>Q17</f>
        <v>交通便捷度</v>
      </c>
      <c r="AA17" s="1561">
        <f t="shared" si="3"/>
        <v>1</v>
      </c>
      <c r="AB17" s="1561">
        <f t="shared" si="4"/>
        <v>1</v>
      </c>
      <c r="AC17" s="1561">
        <f t="shared" si="5"/>
        <v>1</v>
      </c>
    </row>
    <row r="18" spans="1:29" ht="15">
      <c r="A18" s="531"/>
      <c r="B18" s="594"/>
      <c r="C18" s="872" t="s">
        <v>3048</v>
      </c>
      <c r="D18" s="558"/>
      <c r="E18" s="872" t="s">
        <v>3048</v>
      </c>
      <c r="F18" s="562"/>
      <c r="G18" s="575" t="s">
        <v>3048</v>
      </c>
      <c r="H18" s="554"/>
      <c r="I18" s="575" t="s">
        <v>3048</v>
      </c>
      <c r="J18" s="554"/>
      <c r="K18" s="869"/>
      <c r="L18" s="2126"/>
      <c r="M18" s="2118"/>
      <c r="N18" s="2118"/>
      <c r="O18" s="2125"/>
      <c r="P18" s="3415"/>
      <c r="Q18" s="1557"/>
      <c r="R18" s="1558"/>
      <c r="S18" s="1559"/>
      <c r="T18" s="1558"/>
      <c r="U18" s="1559"/>
      <c r="V18" s="1558"/>
      <c r="W18" s="1559"/>
      <c r="X18" s="1552"/>
      <c r="Y18" s="3415"/>
      <c r="Z18" s="1560"/>
      <c r="AA18" s="1561">
        <v>1</v>
      </c>
      <c r="AB18" s="1561">
        <v>1</v>
      </c>
      <c r="AC18" s="1561">
        <v>1</v>
      </c>
    </row>
    <row r="19" spans="1:29" ht="28.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71"/>
      <c r="J19" s="558">
        <f>SUMIF(80:80,I20,81:81)-SUMIF(80:80,C20,81:81)+100</f>
        <v>100</v>
      </c>
      <c r="K19" s="867">
        <v>2</v>
      </c>
      <c r="L19" s="2126"/>
      <c r="M19" s="2118"/>
      <c r="N19" s="2118"/>
      <c r="O19" s="2125"/>
      <c r="P19" s="3415"/>
      <c r="Q19" s="1557" t="str">
        <f>B19</f>
        <v>公共配套设施</v>
      </c>
      <c r="R19" s="1558" t="s">
        <v>11</v>
      </c>
      <c r="S19" s="1559">
        <f>F19</f>
        <v>100</v>
      </c>
      <c r="T19" s="1558" t="s">
        <v>11</v>
      </c>
      <c r="U19" s="1559">
        <f>H19</f>
        <v>100</v>
      </c>
      <c r="V19" s="1558" t="s">
        <v>11</v>
      </c>
      <c r="W19" s="1559">
        <f>J19</f>
        <v>100</v>
      </c>
      <c r="X19" s="1552"/>
      <c r="Y19" s="3415"/>
      <c r="Z19" s="1560" t="str">
        <f>Q19</f>
        <v>公共配套设施</v>
      </c>
      <c r="AA19" s="1561">
        <f t="shared" si="3"/>
        <v>1</v>
      </c>
      <c r="AB19" s="1561">
        <f t="shared" si="4"/>
        <v>1</v>
      </c>
      <c r="AC19" s="1561">
        <f t="shared" si="5"/>
        <v>1</v>
      </c>
    </row>
    <row r="20" spans="1:29" ht="15">
      <c r="A20" s="531"/>
      <c r="B20" s="594"/>
      <c r="C20" s="575" t="s">
        <v>3114</v>
      </c>
      <c r="D20" s="554"/>
      <c r="E20" s="575" t="s">
        <v>3114</v>
      </c>
      <c r="F20" s="556"/>
      <c r="G20" s="575" t="s">
        <v>3114</v>
      </c>
      <c r="H20" s="554"/>
      <c r="I20" s="575" t="s">
        <v>3114</v>
      </c>
      <c r="J20" s="554"/>
      <c r="K20" s="869"/>
      <c r="L20" s="2126"/>
      <c r="M20" s="2118"/>
      <c r="N20" s="2118"/>
      <c r="O20" s="2125"/>
      <c r="P20" s="3415"/>
      <c r="Q20" s="1557"/>
      <c r="R20" s="1558"/>
      <c r="S20" s="1559"/>
      <c r="T20" s="1558"/>
      <c r="U20" s="1559"/>
      <c r="V20" s="1558"/>
      <c r="W20" s="1559"/>
      <c r="X20" s="1552"/>
      <c r="Y20" s="3415"/>
      <c r="Z20" s="1560"/>
      <c r="AA20" s="1561">
        <v>1</v>
      </c>
      <c r="AB20" s="1561">
        <v>1</v>
      </c>
      <c r="AC20" s="1561">
        <v>1</v>
      </c>
    </row>
    <row r="21" spans="1:29" ht="28.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71"/>
      <c r="J21" s="564">
        <f>SUMIF(82:82,I22,83:83)-SUMIF(82:82,C22,83:83)+100</f>
        <v>100</v>
      </c>
      <c r="K21" s="867">
        <v>1</v>
      </c>
      <c r="L21" s="2126"/>
      <c r="M21" s="2118"/>
      <c r="N21" s="2118"/>
      <c r="O21" s="2125"/>
      <c r="P21" s="3415"/>
      <c r="Q21" s="2542" t="str">
        <f>B21</f>
        <v>基础设施水平</v>
      </c>
      <c r="R21" s="1558" t="s">
        <v>11</v>
      </c>
      <c r="S21" s="1559">
        <f>F21</f>
        <v>100</v>
      </c>
      <c r="T21" s="1558" t="s">
        <v>11</v>
      </c>
      <c r="U21" s="1559">
        <f>H21</f>
        <v>100</v>
      </c>
      <c r="V21" s="1558" t="s">
        <v>11</v>
      </c>
      <c r="W21" s="1559">
        <f>J21</f>
        <v>100</v>
      </c>
      <c r="X21" s="2544"/>
      <c r="Y21" s="3415"/>
      <c r="Z21" s="2543" t="str">
        <f>Q21</f>
        <v>基础设施水平</v>
      </c>
      <c r="AA21" s="1561">
        <f t="shared" ref="AA21" si="8">D21/F21</f>
        <v>1</v>
      </c>
      <c r="AB21" s="1561">
        <f t="shared" ref="AB21" si="9">D21/H21</f>
        <v>1</v>
      </c>
      <c r="AC21" s="1561">
        <f t="shared" ref="AC21" si="10">D21/J21</f>
        <v>1</v>
      </c>
    </row>
    <row r="22" spans="1:29" ht="15">
      <c r="A22" s="531"/>
      <c r="B22" s="921"/>
      <c r="C22" s="872" t="s">
        <v>3115</v>
      </c>
      <c r="D22" s="554"/>
      <c r="E22" s="872" t="s">
        <v>3115</v>
      </c>
      <c r="F22" s="556"/>
      <c r="G22" s="872" t="s">
        <v>3115</v>
      </c>
      <c r="H22" s="554"/>
      <c r="I22" s="872" t="s">
        <v>3115</v>
      </c>
      <c r="J22" s="554"/>
      <c r="K22" s="2562"/>
      <c r="L22" s="2126"/>
      <c r="M22" s="2118"/>
      <c r="N22" s="2118"/>
      <c r="O22" s="2125"/>
      <c r="P22" s="3415"/>
      <c r="Q22" s="2542"/>
      <c r="R22" s="1558"/>
      <c r="S22" s="1559"/>
      <c r="T22" s="1558"/>
      <c r="U22" s="1559"/>
      <c r="V22" s="1558"/>
      <c r="W22" s="1559"/>
      <c r="X22" s="2544"/>
      <c r="Y22" s="3415"/>
      <c r="Z22" s="2543"/>
      <c r="AA22" s="1561">
        <v>1</v>
      </c>
      <c r="AB22" s="1561">
        <v>1</v>
      </c>
      <c r="AC22" s="1561">
        <v>1</v>
      </c>
    </row>
    <row r="23" spans="1:29" ht="42.75">
      <c r="A23" s="531"/>
      <c r="B23" s="870" t="s">
        <v>297</v>
      </c>
      <c r="C23" s="871"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3"/>
      <c r="J23" s="558">
        <f>SUMIF(84:84,I24,85:85)-SUMIF(84:84,C24,85:85)+100</f>
        <v>100</v>
      </c>
      <c r="K23" s="867">
        <v>2</v>
      </c>
      <c r="L23" s="2126"/>
      <c r="M23" s="2118"/>
      <c r="N23" s="2118"/>
      <c r="O23" s="2125"/>
      <c r="P23" s="3415"/>
      <c r="Q23" s="1557" t="str">
        <f>B23</f>
        <v>自然及人文环境</v>
      </c>
      <c r="R23" s="1558" t="s">
        <v>11</v>
      </c>
      <c r="S23" s="1559">
        <f>F23</f>
        <v>100</v>
      </c>
      <c r="T23" s="1558" t="s">
        <v>11</v>
      </c>
      <c r="U23" s="1559">
        <f>H23</f>
        <v>100</v>
      </c>
      <c r="V23" s="1558" t="s">
        <v>11</v>
      </c>
      <c r="W23" s="1559">
        <f>J23</f>
        <v>100</v>
      </c>
      <c r="X23" s="1552"/>
      <c r="Y23" s="3415"/>
      <c r="Z23" s="1560" t="str">
        <f>Q23</f>
        <v>自然及人文环境</v>
      </c>
      <c r="AA23" s="1561">
        <f t="shared" si="3"/>
        <v>1</v>
      </c>
      <c r="AB23" s="1561">
        <f t="shared" si="4"/>
        <v>1</v>
      </c>
      <c r="AC23" s="1561">
        <f t="shared" si="5"/>
        <v>1</v>
      </c>
    </row>
    <row r="24" spans="1:29" ht="15">
      <c r="A24" s="531"/>
      <c r="B24" s="594"/>
      <c r="C24" s="575" t="s">
        <v>3048</v>
      </c>
      <c r="D24" s="554"/>
      <c r="E24" s="575" t="s">
        <v>3048</v>
      </c>
      <c r="F24" s="556"/>
      <c r="G24" s="575" t="s">
        <v>3048</v>
      </c>
      <c r="H24" s="554"/>
      <c r="I24" s="575" t="s">
        <v>3048</v>
      </c>
      <c r="J24" s="554"/>
      <c r="K24" s="869"/>
      <c r="L24" s="2126"/>
      <c r="M24" s="2118"/>
      <c r="N24" s="2118"/>
      <c r="O24" s="2125"/>
      <c r="P24" s="3415"/>
      <c r="Q24" s="1557"/>
      <c r="R24" s="1558"/>
      <c r="S24" s="1559"/>
      <c r="T24" s="1558"/>
      <c r="U24" s="1559"/>
      <c r="V24" s="1558"/>
      <c r="W24" s="1559"/>
      <c r="X24" s="1552"/>
      <c r="Y24" s="3415"/>
      <c r="Z24" s="1560"/>
      <c r="AA24" s="1561">
        <v>1</v>
      </c>
      <c r="AB24" s="1561">
        <v>1</v>
      </c>
      <c r="AC24" s="1561">
        <v>1</v>
      </c>
    </row>
    <row r="25" spans="1:29" ht="15">
      <c r="A25" s="531"/>
      <c r="B25" s="1879" t="s">
        <v>2256</v>
      </c>
      <c r="C25" s="573"/>
      <c r="D25" s="539">
        <v>100</v>
      </c>
      <c r="E25" s="873"/>
      <c r="F25" s="574">
        <f>SUMIF(86:86,E25,87:87)-SUMIF(86:86,C25,87:87)+100</f>
        <v>100</v>
      </c>
      <c r="G25" s="873"/>
      <c r="H25" s="539">
        <f>SUMIF(86:86,G25,87:87)-SUMIF(86:86,C25,87:87)+100</f>
        <v>100</v>
      </c>
      <c r="I25" s="873"/>
      <c r="J25" s="539">
        <f>SUMIF(86:86,I25,87:87)-SUMIF(86:86,C25,87:87)+100</f>
        <v>100</v>
      </c>
      <c r="K25" s="863"/>
      <c r="L25" s="2126"/>
      <c r="M25" s="2118"/>
      <c r="N25" s="2118"/>
      <c r="O25" s="2125"/>
      <c r="P25" s="3415"/>
      <c r="Q25" s="1557" t="str">
        <f t="shared" ref="Q25:Q46" si="11">B25</f>
        <v>楼层-1</v>
      </c>
      <c r="R25" s="1558" t="s">
        <v>11</v>
      </c>
      <c r="S25" s="1559">
        <f>F25</f>
        <v>100</v>
      </c>
      <c r="T25" s="1558" t="s">
        <v>11</v>
      </c>
      <c r="U25" s="1559">
        <f>H25</f>
        <v>100</v>
      </c>
      <c r="V25" s="1558" t="s">
        <v>11</v>
      </c>
      <c r="W25" s="1559">
        <f>J25</f>
        <v>100</v>
      </c>
      <c r="X25" s="1552"/>
      <c r="Y25" s="3415"/>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873"/>
      <c r="H26" s="539">
        <f>SUMIF(88:88,G26,89:89)-SUMIF(88:88,C26,89:89)+100</f>
        <v>100</v>
      </c>
      <c r="I26" s="873"/>
      <c r="J26" s="539">
        <f>SUMIF(88:88,I26,89:89)-SUMIF(88:88,C26,89:89)+100</f>
        <v>100</v>
      </c>
      <c r="K26" s="863"/>
      <c r="L26" s="2126"/>
      <c r="M26" s="2118"/>
      <c r="N26" s="2118"/>
      <c r="O26" s="2125"/>
      <c r="P26" s="3415"/>
      <c r="Q26" s="1557" t="str">
        <f t="shared" si="11"/>
        <v>朝向</v>
      </c>
      <c r="R26" s="1558" t="s">
        <v>11</v>
      </c>
      <c r="S26" s="1559">
        <f>F26</f>
        <v>100</v>
      </c>
      <c r="T26" s="1558" t="s">
        <v>11</v>
      </c>
      <c r="U26" s="1559">
        <f>H26</f>
        <v>100</v>
      </c>
      <c r="V26" s="1558" t="s">
        <v>11</v>
      </c>
      <c r="W26" s="1559">
        <f>J26</f>
        <v>100</v>
      </c>
      <c r="X26" s="1552"/>
      <c r="Y26" s="3415"/>
      <c r="Z26" s="1560" t="str">
        <f>Q26</f>
        <v>朝向</v>
      </c>
      <c r="AA26" s="1561">
        <f t="shared" si="3"/>
        <v>1</v>
      </c>
      <c r="AB26" s="1561">
        <f t="shared" si="4"/>
        <v>1</v>
      </c>
      <c r="AC26" s="1561">
        <f t="shared" si="5"/>
        <v>1</v>
      </c>
    </row>
    <row r="27" spans="1:29" s="1215" customFormat="1" ht="15">
      <c r="A27" s="535"/>
      <c r="B27" s="536" t="s">
        <v>724</v>
      </c>
      <c r="C27" s="3193" t="s">
        <v>3152</v>
      </c>
      <c r="D27" s="874">
        <v>100</v>
      </c>
      <c r="E27" s="3193" t="s">
        <v>3152</v>
      </c>
      <c r="F27" s="875">
        <f>SUMIF(90:90,E27,91:91)-SUMIF(90:90,C27,91:91)+100</f>
        <v>100</v>
      </c>
      <c r="G27" s="3193" t="s">
        <v>3152</v>
      </c>
      <c r="H27" s="874">
        <f>SUMIF(90:90,G27,91:91)-SUMIF(90:90,C27,91:91)+100</f>
        <v>100</v>
      </c>
      <c r="I27" s="3193" t="s">
        <v>3152</v>
      </c>
      <c r="J27" s="874">
        <f>SUMIF(90:90,I27,91:91)-SUMIF(90:90,C27,91:91)+100</f>
        <v>100</v>
      </c>
      <c r="K27" s="864"/>
      <c r="L27" s="2119"/>
      <c r="M27" s="2120"/>
      <c r="N27" s="2120"/>
      <c r="O27" s="2121"/>
      <c r="P27" s="3415"/>
      <c r="Q27" s="1146" t="str">
        <f t="shared" si="11"/>
        <v>道路级别</v>
      </c>
      <c r="R27" s="1553" t="s">
        <v>11</v>
      </c>
      <c r="S27" s="1554">
        <f>F27</f>
        <v>100</v>
      </c>
      <c r="T27" s="1553" t="s">
        <v>11</v>
      </c>
      <c r="U27" s="1554">
        <f>H27</f>
        <v>100</v>
      </c>
      <c r="V27" s="1553" t="s">
        <v>11</v>
      </c>
      <c r="W27" s="1554">
        <f>J27</f>
        <v>100</v>
      </c>
      <c r="X27" s="1555"/>
      <c r="Y27" s="3415"/>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15"/>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5"/>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15"/>
      <c r="Q29" s="1557">
        <f t="shared" si="11"/>
        <v>111</v>
      </c>
      <c r="R29" s="1558" t="s">
        <v>11</v>
      </c>
      <c r="S29" s="1559">
        <f t="shared" si="12"/>
        <v>100</v>
      </c>
      <c r="T29" s="1558" t="s">
        <v>11</v>
      </c>
      <c r="U29" s="1559">
        <f t="shared" si="13"/>
        <v>100</v>
      </c>
      <c r="V29" s="1558" t="s">
        <v>11</v>
      </c>
      <c r="W29" s="1559">
        <f t="shared" si="14"/>
        <v>100</v>
      </c>
      <c r="X29" s="1552"/>
      <c r="Y29" s="3415"/>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15"/>
      <c r="Q30" s="1557">
        <f t="shared" si="11"/>
        <v>111</v>
      </c>
      <c r="R30" s="1558" t="s">
        <v>11</v>
      </c>
      <c r="S30" s="1559">
        <f t="shared" si="12"/>
        <v>100</v>
      </c>
      <c r="T30" s="1558" t="s">
        <v>11</v>
      </c>
      <c r="U30" s="1559">
        <f t="shared" si="13"/>
        <v>100</v>
      </c>
      <c r="V30" s="1558" t="s">
        <v>11</v>
      </c>
      <c r="W30" s="1559">
        <f t="shared" si="14"/>
        <v>100</v>
      </c>
      <c r="X30" s="1552"/>
      <c r="Y30" s="3415"/>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15"/>
      <c r="Q31" s="1557">
        <f t="shared" si="11"/>
        <v>111</v>
      </c>
      <c r="R31" s="1558" t="s">
        <v>11</v>
      </c>
      <c r="S31" s="1559">
        <f t="shared" si="12"/>
        <v>100</v>
      </c>
      <c r="T31" s="1558" t="s">
        <v>11</v>
      </c>
      <c r="U31" s="1559">
        <f t="shared" si="13"/>
        <v>100</v>
      </c>
      <c r="V31" s="1558" t="s">
        <v>11</v>
      </c>
      <c r="W31" s="1559">
        <f t="shared" si="14"/>
        <v>100</v>
      </c>
      <c r="X31" s="1552"/>
      <c r="Y31" s="3415"/>
      <c r="Z31" s="1560">
        <f t="shared" si="15"/>
        <v>111</v>
      </c>
      <c r="AA31" s="1561">
        <f t="shared" si="3"/>
        <v>1</v>
      </c>
      <c r="AB31" s="1561">
        <f t="shared" si="4"/>
        <v>1</v>
      </c>
      <c r="AC31" s="1561">
        <f t="shared" si="5"/>
        <v>1</v>
      </c>
    </row>
    <row r="32" spans="1:29" ht="15">
      <c r="A32" s="2861" t="s">
        <v>2755</v>
      </c>
      <c r="B32" s="172" t="s">
        <v>725</v>
      </c>
      <c r="C32" s="877" t="s">
        <v>3141</v>
      </c>
      <c r="D32" s="596">
        <v>100</v>
      </c>
      <c r="E32" s="877" t="s">
        <v>3141</v>
      </c>
      <c r="F32" s="574">
        <f>SUMIF(100:100,E32,101:101)-SUMIF(100:100,C32,101:101)+100</f>
        <v>100</v>
      </c>
      <c r="G32" s="877" t="s">
        <v>3141</v>
      </c>
      <c r="H32" s="596">
        <f>SUMIF(100:100,G32,101:101)-SUMIF(100:100,C32,101:101)+100</f>
        <v>100</v>
      </c>
      <c r="I32" s="878" t="s">
        <v>3141</v>
      </c>
      <c r="J32" s="539">
        <f>SUMIF(100:100,I32,101:101)-SUMIF(100:100,C32,101:101)+100</f>
        <v>100</v>
      </c>
      <c r="K32" s="863">
        <v>2</v>
      </c>
      <c r="L32" s="2126"/>
      <c r="M32" s="2118"/>
      <c r="N32" s="2118"/>
      <c r="O32" s="2125"/>
      <c r="P32" s="3416" t="s">
        <v>550</v>
      </c>
      <c r="Q32" s="1557" t="str">
        <f t="shared" si="11"/>
        <v>建筑类型</v>
      </c>
      <c r="R32" s="1558" t="s">
        <v>11</v>
      </c>
      <c r="S32" s="1559">
        <f t="shared" si="12"/>
        <v>100</v>
      </c>
      <c r="T32" s="1558" t="s">
        <v>11</v>
      </c>
      <c r="U32" s="1559">
        <f t="shared" si="13"/>
        <v>100</v>
      </c>
      <c r="V32" s="1558" t="s">
        <v>11</v>
      </c>
      <c r="W32" s="1559">
        <f t="shared" si="14"/>
        <v>100</v>
      </c>
      <c r="X32" s="1552"/>
      <c r="Y32" s="3417" t="s">
        <v>550</v>
      </c>
      <c r="Z32" s="1560" t="str">
        <f t="shared" si="15"/>
        <v>建筑类型</v>
      </c>
      <c r="AA32" s="1561">
        <f t="shared" si="3"/>
        <v>1</v>
      </c>
      <c r="AB32" s="1561">
        <f t="shared" si="4"/>
        <v>1</v>
      </c>
      <c r="AC32" s="1561">
        <f t="shared" si="5"/>
        <v>1</v>
      </c>
    </row>
    <row r="33" spans="1:29" s="1334" customFormat="1" ht="15">
      <c r="A33" s="602"/>
      <c r="B33" s="526" t="s">
        <v>726</v>
      </c>
      <c r="C33" s="879">
        <f>'数据-基础表'!B3</f>
        <v>304328.8</v>
      </c>
      <c r="D33" s="254">
        <v>100</v>
      </c>
      <c r="E33" s="533">
        <v>755760</v>
      </c>
      <c r="F33" s="862">
        <f>LOOKUP(E33,103:103,104:104)-LOOKUP(C33,103:103,104:104)+100</f>
        <v>96</v>
      </c>
      <c r="G33" s="532">
        <v>530000</v>
      </c>
      <c r="H33" s="254">
        <f>LOOKUP(G33,103:103,104:104)-LOOKUP(C33,103:103,104:104)+100</f>
        <v>100</v>
      </c>
      <c r="I33" s="533">
        <v>270616</v>
      </c>
      <c r="J33" s="254">
        <f>LOOKUP(I33,103:103,104:104)-LOOKUP(C33,103:103,104:104)+100</f>
        <v>96</v>
      </c>
      <c r="K33" s="864"/>
      <c r="L33" s="2124"/>
      <c r="M33" s="2155"/>
      <c r="N33" s="2155"/>
      <c r="O33" s="2127"/>
      <c r="P33" s="3417"/>
      <c r="Q33" s="1589" t="str">
        <f t="shared" si="11"/>
        <v>项目建筑规模</v>
      </c>
      <c r="R33" s="1562" t="s">
        <v>11</v>
      </c>
      <c r="S33" s="1563">
        <f t="shared" si="12"/>
        <v>96</v>
      </c>
      <c r="T33" s="1562" t="s">
        <v>11</v>
      </c>
      <c r="U33" s="1563">
        <f t="shared" si="13"/>
        <v>100</v>
      </c>
      <c r="V33" s="1562" t="s">
        <v>11</v>
      </c>
      <c r="W33" s="1563">
        <f t="shared" si="14"/>
        <v>96</v>
      </c>
      <c r="X33" s="1564"/>
      <c r="Y33" s="3417"/>
      <c r="Z33" s="1565" t="str">
        <f t="shared" si="15"/>
        <v>项目建筑规模</v>
      </c>
      <c r="AA33" s="1561">
        <f t="shared" si="3"/>
        <v>1.0416666666666667</v>
      </c>
      <c r="AB33" s="1561">
        <f t="shared" si="4"/>
        <v>1</v>
      </c>
      <c r="AC33" s="1561">
        <f t="shared" si="5"/>
        <v>1.0416666666666667</v>
      </c>
    </row>
    <row r="34" spans="1:29" ht="15">
      <c r="A34" s="593"/>
      <c r="B34" s="526" t="s">
        <v>727</v>
      </c>
      <c r="C34" s="880" t="s">
        <v>3052</v>
      </c>
      <c r="D34" s="539">
        <v>100</v>
      </c>
      <c r="E34" s="880" t="s">
        <v>3052</v>
      </c>
      <c r="F34" s="574">
        <f>SUMIF(105:105,E34,106:106)-SUMIF(105:105,C34,106:106)+100</f>
        <v>100</v>
      </c>
      <c r="G34" s="880" t="s">
        <v>3052</v>
      </c>
      <c r="H34" s="539">
        <f>SUMIF(105:105,G34,106:106)-SUMIF(105:105,C34,106:106)+100</f>
        <v>100</v>
      </c>
      <c r="I34" s="880" t="s">
        <v>3052</v>
      </c>
      <c r="J34" s="539">
        <f>SUMIF(105:105,I34,106:106)-SUMIF(105:105,C34,106:106)+100</f>
        <v>100</v>
      </c>
      <c r="K34" s="863">
        <v>2</v>
      </c>
      <c r="L34" s="2126"/>
      <c r="M34" s="2118"/>
      <c r="N34" s="2118"/>
      <c r="O34" s="2125"/>
      <c r="P34" s="3417"/>
      <c r="Q34" s="1557" t="str">
        <f t="shared" si="11"/>
        <v>建筑结构</v>
      </c>
      <c r="R34" s="1558" t="s">
        <v>11</v>
      </c>
      <c r="S34" s="1559">
        <f t="shared" si="12"/>
        <v>100</v>
      </c>
      <c r="T34" s="1558" t="s">
        <v>11</v>
      </c>
      <c r="U34" s="1559">
        <f t="shared" si="13"/>
        <v>100</v>
      </c>
      <c r="V34" s="1558" t="s">
        <v>11</v>
      </c>
      <c r="W34" s="1559">
        <f t="shared" si="14"/>
        <v>100</v>
      </c>
      <c r="X34" s="1552"/>
      <c r="Y34" s="3417"/>
      <c r="Z34" s="1560" t="str">
        <f t="shared" si="15"/>
        <v>建筑结构</v>
      </c>
      <c r="AA34" s="1561">
        <f t="shared" si="3"/>
        <v>1</v>
      </c>
      <c r="AB34" s="1561">
        <f t="shared" si="4"/>
        <v>1</v>
      </c>
      <c r="AC34" s="1561">
        <f t="shared" si="5"/>
        <v>1</v>
      </c>
    </row>
    <row r="35" spans="1:29" ht="15">
      <c r="A35" s="593"/>
      <c r="B35" s="526" t="s">
        <v>728</v>
      </c>
      <c r="C35" s="598" t="s">
        <v>3143</v>
      </c>
      <c r="D35" s="539">
        <v>100</v>
      </c>
      <c r="E35" s="598" t="s">
        <v>3143</v>
      </c>
      <c r="F35" s="574">
        <f>SUMIF(107:107,E35,108:108)-SUMIF(107:107,C35,108:108)+100</f>
        <v>100</v>
      </c>
      <c r="G35" s="598" t="s">
        <v>3143</v>
      </c>
      <c r="H35" s="539">
        <f>SUMIF(107:107,G35,108:108)-SUMIF(107:107,C35,108:108)+100</f>
        <v>100</v>
      </c>
      <c r="I35" s="598" t="s">
        <v>3143</v>
      </c>
      <c r="J35" s="539">
        <f>SUMIF(107:107,I35,108:108)-SUMIF(107:107,C35,108:108)+100</f>
        <v>100</v>
      </c>
      <c r="K35" s="863">
        <v>2</v>
      </c>
      <c r="L35" s="2126"/>
      <c r="M35" s="2118"/>
      <c r="N35" s="2118"/>
      <c r="O35" s="2125"/>
      <c r="P35" s="3417"/>
      <c r="Q35" s="1557" t="str">
        <f t="shared" si="11"/>
        <v>建筑品质</v>
      </c>
      <c r="R35" s="1558" t="s">
        <v>11</v>
      </c>
      <c r="S35" s="1559">
        <f t="shared" si="12"/>
        <v>100</v>
      </c>
      <c r="T35" s="1558" t="s">
        <v>11</v>
      </c>
      <c r="U35" s="1559">
        <f t="shared" si="13"/>
        <v>100</v>
      </c>
      <c r="V35" s="1558" t="s">
        <v>11</v>
      </c>
      <c r="W35" s="1559">
        <f t="shared" si="14"/>
        <v>100</v>
      </c>
      <c r="X35" s="1552"/>
      <c r="Y35" s="3417"/>
      <c r="Z35" s="1560" t="str">
        <f t="shared" si="15"/>
        <v>建筑品质</v>
      </c>
      <c r="AA35" s="1561">
        <f t="shared" si="3"/>
        <v>1</v>
      </c>
      <c r="AB35" s="1561">
        <f t="shared" si="4"/>
        <v>1</v>
      </c>
      <c r="AC35" s="1561">
        <f t="shared" si="5"/>
        <v>1</v>
      </c>
    </row>
    <row r="36" spans="1:29" ht="15">
      <c r="A36" s="593"/>
      <c r="B36" s="526" t="s">
        <v>729</v>
      </c>
      <c r="C36" s="598" t="s">
        <v>3144</v>
      </c>
      <c r="D36" s="539">
        <v>100</v>
      </c>
      <c r="E36" s="598" t="s">
        <v>3144</v>
      </c>
      <c r="F36" s="574">
        <f>SUMIF(109:109,E36,110:110)-SUMIF(109:109,C36,110:110)+100</f>
        <v>100</v>
      </c>
      <c r="G36" s="598" t="s">
        <v>3144</v>
      </c>
      <c r="H36" s="539">
        <f>SUMIF(109:109,G36,110:110)-SUMIF(109:109,C36,110:110)+100</f>
        <v>100</v>
      </c>
      <c r="I36" s="598" t="s">
        <v>3144</v>
      </c>
      <c r="J36" s="539">
        <f>SUMIF(109:109,I36,110:110)-SUMIF(109:109,C36,110:110)+100</f>
        <v>100</v>
      </c>
      <c r="K36" s="863">
        <v>2</v>
      </c>
      <c r="L36" s="2126"/>
      <c r="M36" s="2118"/>
      <c r="N36" s="2118"/>
      <c r="O36" s="2125"/>
      <c r="P36" s="3417"/>
      <c r="Q36" s="1557" t="str">
        <f t="shared" si="11"/>
        <v>公共部分装修</v>
      </c>
      <c r="R36" s="1558" t="s">
        <v>11</v>
      </c>
      <c r="S36" s="1559">
        <f t="shared" si="12"/>
        <v>100</v>
      </c>
      <c r="T36" s="1558" t="s">
        <v>11</v>
      </c>
      <c r="U36" s="1559">
        <f t="shared" si="13"/>
        <v>100</v>
      </c>
      <c r="V36" s="1558" t="s">
        <v>11</v>
      </c>
      <c r="W36" s="1559">
        <f t="shared" si="14"/>
        <v>100</v>
      </c>
      <c r="X36" s="1552"/>
      <c r="Y36" s="3417"/>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19"/>
      <c r="M37" s="2120"/>
      <c r="N37" s="2120"/>
      <c r="O37" s="2121"/>
      <c r="P37" s="3417"/>
      <c r="Q37" s="1146" t="str">
        <f t="shared" si="11"/>
        <v>成新度</v>
      </c>
      <c r="R37" s="1553" t="s">
        <v>11</v>
      </c>
      <c r="S37" s="1554">
        <f t="shared" si="12"/>
        <v>100</v>
      </c>
      <c r="T37" s="1553" t="s">
        <v>11</v>
      </c>
      <c r="U37" s="1554">
        <f t="shared" si="13"/>
        <v>100</v>
      </c>
      <c r="V37" s="1553" t="s">
        <v>11</v>
      </c>
      <c r="W37" s="1554">
        <f t="shared" si="14"/>
        <v>100</v>
      </c>
      <c r="X37" s="1555"/>
      <c r="Y37" s="3417"/>
      <c r="Z37" s="1145" t="str">
        <f t="shared" si="15"/>
        <v>成新度</v>
      </c>
      <c r="AA37" s="1556">
        <f t="shared" si="3"/>
        <v>1</v>
      </c>
      <c r="AB37" s="1556">
        <f t="shared" si="4"/>
        <v>1</v>
      </c>
      <c r="AC37" s="1556">
        <f t="shared" si="5"/>
        <v>1</v>
      </c>
    </row>
    <row r="38" spans="1:29" ht="15">
      <c r="A38" s="593"/>
      <c r="B38" s="526" t="s">
        <v>731</v>
      </c>
      <c r="C38" s="598" t="s">
        <v>3145</v>
      </c>
      <c r="D38" s="539">
        <v>100</v>
      </c>
      <c r="E38" s="598" t="s">
        <v>3145</v>
      </c>
      <c r="F38" s="574">
        <f>SUMIF(114:114,E38,115:115)-SUMIF(114:114,C38,115:115)+100</f>
        <v>100</v>
      </c>
      <c r="G38" s="598" t="s">
        <v>3145</v>
      </c>
      <c r="H38" s="539">
        <f>SUMIF(114:114,G38,115:115)-SUMIF(114:114,C38,115:115)+100</f>
        <v>100</v>
      </c>
      <c r="I38" s="598" t="s">
        <v>3145</v>
      </c>
      <c r="J38" s="539">
        <f>SUMIF(114:114,I38,115:115)-SUMIF(114:114,C38,115:115)+100</f>
        <v>100</v>
      </c>
      <c r="K38" s="863">
        <v>2</v>
      </c>
      <c r="L38" s="2126"/>
      <c r="M38" s="2118"/>
      <c r="N38" s="2118"/>
      <c r="O38" s="2125"/>
      <c r="P38" s="3417" t="s">
        <v>550</v>
      </c>
      <c r="Q38" s="1557" t="str">
        <f t="shared" si="11"/>
        <v>物业管理</v>
      </c>
      <c r="R38" s="1558" t="s">
        <v>11</v>
      </c>
      <c r="S38" s="1559">
        <f t="shared" si="12"/>
        <v>100</v>
      </c>
      <c r="T38" s="1558" t="s">
        <v>11</v>
      </c>
      <c r="U38" s="1559">
        <f t="shared" si="13"/>
        <v>100</v>
      </c>
      <c r="V38" s="1558" t="s">
        <v>11</v>
      </c>
      <c r="W38" s="1559">
        <f t="shared" si="14"/>
        <v>100</v>
      </c>
      <c r="X38" s="1552"/>
      <c r="Y38" s="3417" t="s">
        <v>550</v>
      </c>
      <c r="Z38" s="1560" t="str">
        <f t="shared" si="15"/>
        <v>物业管理</v>
      </c>
      <c r="AA38" s="1561">
        <f t="shared" si="3"/>
        <v>1</v>
      </c>
      <c r="AB38" s="1561">
        <f t="shared" si="4"/>
        <v>1</v>
      </c>
      <c r="AC38" s="1561">
        <f t="shared" si="5"/>
        <v>1</v>
      </c>
    </row>
    <row r="39" spans="1:29" ht="15">
      <c r="A39" s="593"/>
      <c r="B39" s="1879" t="s">
        <v>2564</v>
      </c>
      <c r="C39" s="598" t="s">
        <v>3115</v>
      </c>
      <c r="D39" s="539">
        <v>100</v>
      </c>
      <c r="E39" s="598" t="s">
        <v>3115</v>
      </c>
      <c r="F39" s="574">
        <f>SUMIF(116:116,E39,117:117)-SUMIF(116:116,C39,117:117)+100</f>
        <v>100</v>
      </c>
      <c r="G39" s="598" t="s">
        <v>3115</v>
      </c>
      <c r="H39" s="539">
        <f>SUMIF(116:116,G39,117:117)-SUMIF(116:116,C39,117:117)+100</f>
        <v>100</v>
      </c>
      <c r="I39" s="598" t="s">
        <v>3115</v>
      </c>
      <c r="J39" s="539">
        <f>SUMIF(116:116,I39,117:117)-SUMIF(116:116,C39,117:117)+100</f>
        <v>100</v>
      </c>
      <c r="K39" s="863">
        <v>1</v>
      </c>
      <c r="L39" s="2126"/>
      <c r="M39" s="2118"/>
      <c r="N39" s="2118"/>
      <c r="O39" s="2125"/>
      <c r="P39" s="3417"/>
      <c r="Q39" s="1557" t="str">
        <f t="shared" si="11"/>
        <v>市政基础设施</v>
      </c>
      <c r="R39" s="1558" t="s">
        <v>11</v>
      </c>
      <c r="S39" s="1559">
        <f t="shared" si="12"/>
        <v>100</v>
      </c>
      <c r="T39" s="1558" t="s">
        <v>11</v>
      </c>
      <c r="U39" s="1559">
        <f t="shared" si="13"/>
        <v>100</v>
      </c>
      <c r="V39" s="1558" t="s">
        <v>11</v>
      </c>
      <c r="W39" s="1559">
        <f t="shared" si="14"/>
        <v>100</v>
      </c>
      <c r="X39" s="1552"/>
      <c r="Y39" s="3417"/>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17"/>
      <c r="Q40" s="1557" t="str">
        <f t="shared" si="11"/>
        <v>房型</v>
      </c>
      <c r="R40" s="1558" t="s">
        <v>11</v>
      </c>
      <c r="S40" s="1559">
        <f t="shared" si="12"/>
        <v>100</v>
      </c>
      <c r="T40" s="1558" t="s">
        <v>11</v>
      </c>
      <c r="U40" s="1559">
        <f t="shared" si="13"/>
        <v>100</v>
      </c>
      <c r="V40" s="1558" t="s">
        <v>11</v>
      </c>
      <c r="W40" s="1559">
        <f t="shared" si="14"/>
        <v>100</v>
      </c>
      <c r="X40" s="1552"/>
      <c r="Y40" s="3417"/>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17"/>
      <c r="Q41" s="1589" t="str">
        <f t="shared" si="11"/>
        <v>单套/主力户型建筑面积</v>
      </c>
      <c r="R41" s="1562" t="s">
        <v>11</v>
      </c>
      <c r="S41" s="1563">
        <f t="shared" si="12"/>
        <v>100</v>
      </c>
      <c r="T41" s="1562" t="s">
        <v>11</v>
      </c>
      <c r="U41" s="1563">
        <f t="shared" si="13"/>
        <v>100</v>
      </c>
      <c r="V41" s="1562" t="s">
        <v>11</v>
      </c>
      <c r="W41" s="1563">
        <f t="shared" si="14"/>
        <v>100</v>
      </c>
      <c r="X41" s="1564"/>
      <c r="Y41" s="3417"/>
      <c r="Z41" s="1565" t="str">
        <f t="shared" si="15"/>
        <v>单套/主力户型建筑面积</v>
      </c>
      <c r="AA41" s="1561">
        <f t="shared" si="3"/>
        <v>1</v>
      </c>
      <c r="AB41" s="1561">
        <f t="shared" si="4"/>
        <v>1</v>
      </c>
      <c r="AC41" s="1561">
        <f t="shared" si="5"/>
        <v>1</v>
      </c>
    </row>
    <row r="42" spans="1:29" ht="15">
      <c r="A42" s="593"/>
      <c r="B42" s="526" t="s">
        <v>734</v>
      </c>
      <c r="C42" s="598" t="s">
        <v>3146</v>
      </c>
      <c r="D42" s="539">
        <v>100</v>
      </c>
      <c r="E42" s="598" t="s">
        <v>3146</v>
      </c>
      <c r="F42" s="574">
        <f>SUMIF(122:122,E42,123:123)-SUMIF(122:122,C42,123:123)+100</f>
        <v>100</v>
      </c>
      <c r="G42" s="598" t="s">
        <v>3146</v>
      </c>
      <c r="H42" s="539">
        <f>SUMIF(122:122,G42,123:123)-SUMIF(122:122,C42,123:123)+100</f>
        <v>100</v>
      </c>
      <c r="I42" s="873" t="s">
        <v>3146</v>
      </c>
      <c r="J42" s="539">
        <f>SUMIF(122:122,I42,123:123)-SUMIF(122:122,C42,123:123)+100</f>
        <v>100</v>
      </c>
      <c r="K42" s="863">
        <v>2</v>
      </c>
      <c r="L42" s="2126"/>
      <c r="M42" s="2118"/>
      <c r="N42" s="2118"/>
      <c r="O42" s="2125"/>
      <c r="P42" s="3417"/>
      <c r="Q42" s="1557" t="str">
        <f t="shared" si="11"/>
        <v>内部装修</v>
      </c>
      <c r="R42" s="1558" t="s">
        <v>11</v>
      </c>
      <c r="S42" s="1559">
        <f t="shared" si="12"/>
        <v>100</v>
      </c>
      <c r="T42" s="1558" t="s">
        <v>11</v>
      </c>
      <c r="U42" s="1559">
        <f t="shared" si="13"/>
        <v>100</v>
      </c>
      <c r="V42" s="1558" t="s">
        <v>11</v>
      </c>
      <c r="W42" s="1559">
        <f t="shared" si="14"/>
        <v>100</v>
      </c>
      <c r="X42" s="1552"/>
      <c r="Y42" s="3417"/>
      <c r="Z42" s="1560" t="str">
        <f t="shared" si="15"/>
        <v>内部装修</v>
      </c>
      <c r="AA42" s="1561">
        <f t="shared" si="3"/>
        <v>1</v>
      </c>
      <c r="AB42" s="1561">
        <f t="shared" si="4"/>
        <v>1</v>
      </c>
      <c r="AC42" s="1561">
        <f t="shared" si="5"/>
        <v>1</v>
      </c>
    </row>
    <row r="43" spans="1:29" ht="27">
      <c r="A43" s="593"/>
      <c r="B43" s="526" t="s">
        <v>735</v>
      </c>
      <c r="C43" s="598" t="s">
        <v>3147</v>
      </c>
      <c r="D43" s="539">
        <v>100</v>
      </c>
      <c r="E43" s="598" t="s">
        <v>3147</v>
      </c>
      <c r="F43" s="574">
        <f>SUMIF(124:124,E43,125:125)-SUMIF(124:124,C43,125:125)+100</f>
        <v>100</v>
      </c>
      <c r="G43" s="598" t="s">
        <v>3147</v>
      </c>
      <c r="H43" s="539">
        <f>SUMIF(124:124,G43,125:125)-SUMIF(124:124,C43,125:125)+100</f>
        <v>100</v>
      </c>
      <c r="I43" s="598" t="s">
        <v>3147</v>
      </c>
      <c r="J43" s="539">
        <f>SUMIF(124:124,I43,125:125)-SUMIF(124:124,C43,125:125)+100</f>
        <v>100</v>
      </c>
      <c r="K43" s="863">
        <v>2</v>
      </c>
      <c r="L43" s="2126"/>
      <c r="M43" s="2118"/>
      <c r="N43" s="2118"/>
      <c r="O43" s="2125"/>
      <c r="P43" s="3417"/>
      <c r="Q43" s="1557" t="str">
        <f t="shared" si="11"/>
        <v>内部装修维护情况</v>
      </c>
      <c r="R43" s="1558" t="s">
        <v>11</v>
      </c>
      <c r="S43" s="1559">
        <f t="shared" si="12"/>
        <v>100</v>
      </c>
      <c r="T43" s="1558" t="s">
        <v>11</v>
      </c>
      <c r="U43" s="1559">
        <f t="shared" si="13"/>
        <v>100</v>
      </c>
      <c r="V43" s="1558" t="s">
        <v>11</v>
      </c>
      <c r="W43" s="1559">
        <f t="shared" si="14"/>
        <v>100</v>
      </c>
      <c r="X43" s="1552"/>
      <c r="Y43" s="3417"/>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17"/>
      <c r="Q44" s="1146">
        <f t="shared" si="11"/>
        <v>111</v>
      </c>
      <c r="R44" s="1553" t="s">
        <v>11</v>
      </c>
      <c r="S44" s="1554">
        <f t="shared" si="12"/>
        <v>100</v>
      </c>
      <c r="T44" s="1553" t="s">
        <v>11</v>
      </c>
      <c r="U44" s="1554">
        <f t="shared" si="13"/>
        <v>100</v>
      </c>
      <c r="V44" s="1553" t="s">
        <v>11</v>
      </c>
      <c r="W44" s="1554">
        <f t="shared" si="14"/>
        <v>100</v>
      </c>
      <c r="X44" s="1555"/>
      <c r="Y44" s="3417"/>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17"/>
      <c r="Q45" s="1557">
        <f t="shared" si="11"/>
        <v>111</v>
      </c>
      <c r="R45" s="1558" t="s">
        <v>11</v>
      </c>
      <c r="S45" s="1559">
        <f t="shared" si="12"/>
        <v>100</v>
      </c>
      <c r="T45" s="1558" t="s">
        <v>11</v>
      </c>
      <c r="U45" s="1559">
        <f t="shared" si="13"/>
        <v>100</v>
      </c>
      <c r="V45" s="1558" t="s">
        <v>11</v>
      </c>
      <c r="W45" s="1559">
        <f t="shared" si="14"/>
        <v>100</v>
      </c>
      <c r="X45" s="1552"/>
      <c r="Y45" s="3417"/>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75"/>
      <c r="Q46" s="1557">
        <f t="shared" si="11"/>
        <v>111</v>
      </c>
      <c r="R46" s="1558" t="s">
        <v>10</v>
      </c>
      <c r="S46" s="1559">
        <f t="shared" si="12"/>
        <v>100</v>
      </c>
      <c r="T46" s="1558" t="s">
        <v>10</v>
      </c>
      <c r="U46" s="1559">
        <f t="shared" si="13"/>
        <v>100</v>
      </c>
      <c r="V46" s="1558" t="s">
        <v>10</v>
      </c>
      <c r="W46" s="1559">
        <f t="shared" si="14"/>
        <v>100</v>
      </c>
      <c r="X46" s="1552"/>
      <c r="Y46" s="3475"/>
      <c r="Z46" s="1560">
        <f t="shared" si="15"/>
        <v>111</v>
      </c>
      <c r="AA46" s="1561">
        <f t="shared" si="3"/>
        <v>1</v>
      </c>
      <c r="AB46" s="1561">
        <f t="shared" si="4"/>
        <v>1</v>
      </c>
      <c r="AC46" s="1561">
        <f t="shared" si="5"/>
        <v>1</v>
      </c>
    </row>
    <row r="47" spans="1:29" ht="15">
      <c r="A47" s="606" t="s">
        <v>736</v>
      </c>
      <c r="B47" s="886"/>
      <c r="C47" s="2590" t="s">
        <v>9</v>
      </c>
      <c r="D47" s="2591"/>
      <c r="E47" s="2592">
        <v>12000</v>
      </c>
      <c r="F47" s="2593"/>
      <c r="G47" s="2592">
        <v>13000</v>
      </c>
      <c r="H47" s="2595"/>
      <c r="I47" s="2592">
        <v>12000</v>
      </c>
      <c r="J47" s="2595"/>
      <c r="K47" s="1590"/>
      <c r="L47" s="2128"/>
      <c r="M47" s="2129"/>
      <c r="N47" s="2118"/>
      <c r="O47" s="2129"/>
      <c r="P47" s="3379" t="str">
        <f>A47</f>
        <v>成交单价（元/平方米）</v>
      </c>
      <c r="Q47" s="3379"/>
      <c r="R47" s="3474">
        <f>E47</f>
        <v>12000</v>
      </c>
      <c r="S47" s="3474"/>
      <c r="T47" s="3474">
        <f>G47</f>
        <v>13000</v>
      </c>
      <c r="U47" s="3474"/>
      <c r="V47" s="3474">
        <f>I47</f>
        <v>12000</v>
      </c>
      <c r="W47" s="3474"/>
      <c r="X47" s="1544"/>
      <c r="Y47" s="1566"/>
      <c r="Z47" s="1544"/>
      <c r="AA47" s="1544"/>
      <c r="AB47" s="1544"/>
      <c r="AC47" s="1544"/>
    </row>
    <row r="48" spans="1:29" ht="15.75" thickBot="1">
      <c r="A48" s="614" t="s">
        <v>2760</v>
      </c>
      <c r="B48" s="887"/>
      <c r="C48" s="2596">
        <f>R49</f>
        <v>12545</v>
      </c>
      <c r="D48" s="2597"/>
      <c r="E48" s="2598">
        <f>R48</f>
        <v>12136</v>
      </c>
      <c r="F48" s="2598"/>
      <c r="G48" s="2596">
        <f>T48</f>
        <v>13000</v>
      </c>
      <c r="H48" s="2597"/>
      <c r="I48" s="2598">
        <f>V48</f>
        <v>12500</v>
      </c>
      <c r="J48" s="2597"/>
      <c r="K48" s="1591"/>
      <c r="L48" s="2128"/>
      <c r="M48" s="2129"/>
      <c r="N48" s="2129"/>
      <c r="O48" s="2129"/>
      <c r="P48" s="3379" t="str">
        <f>A48</f>
        <v>比较价格（元/平方米）</v>
      </c>
      <c r="Q48" s="3379"/>
      <c r="R48" s="3474">
        <f>IF(F1="售价",ROUND(PRODUCT(R47,AA7:AA46),0),ROUND(PRODUCT(R47,AA7:AA46),1))</f>
        <v>12136</v>
      </c>
      <c r="S48" s="3474"/>
      <c r="T48" s="3474">
        <f>IF(F1="售价",ROUND(PRODUCT(T47,AB7:AB46),0),ROUND(PRODUCT(T47,AB7:AB46),1))</f>
        <v>13000</v>
      </c>
      <c r="U48" s="3474"/>
      <c r="V48" s="3474">
        <f>IF(F1="售价",ROUND(PRODUCT(V47,AC7:AC46),0),ROUND(PRODUCT(V47,AC7:AC46),1))</f>
        <v>12500</v>
      </c>
      <c r="W48" s="3474"/>
      <c r="X48" s="1544"/>
      <c r="Y48" s="1544"/>
      <c r="Z48" s="1544"/>
      <c r="AA48" s="1544"/>
      <c r="AB48" s="1544"/>
      <c r="AC48" s="1544"/>
    </row>
    <row r="49" spans="1:29" ht="15.75" thickBot="1">
      <c r="A49" s="620" t="s">
        <v>2933</v>
      </c>
      <c r="B49" s="621"/>
      <c r="C49" s="2599">
        <f>R49</f>
        <v>12545</v>
      </c>
      <c r="D49" s="2599"/>
      <c r="E49" s="2599"/>
      <c r="F49" s="2599"/>
      <c r="G49" s="2599"/>
      <c r="H49" s="2599"/>
      <c r="I49" s="2599"/>
      <c r="J49" s="2599"/>
      <c r="K49" s="1592"/>
      <c r="L49" s="2128"/>
      <c r="M49" s="2129"/>
      <c r="N49" s="2129"/>
      <c r="O49" s="2129"/>
      <c r="P49" s="3376" t="str">
        <f>A49</f>
        <v>估价对象XX用房的比较价格（楼面单价，元/平方米）</v>
      </c>
      <c r="Q49" s="3377"/>
      <c r="R49" s="3473">
        <f>IF(F1="售价",ROUND(AVERAGE(R48:V48),0),ROUND(AVERAGE(R48:V48),1))</f>
        <v>12545</v>
      </c>
      <c r="S49" s="3473"/>
      <c r="T49" s="3473"/>
      <c r="U49" s="3473"/>
      <c r="V49" s="3473"/>
      <c r="W49" s="347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1.1333333333333417E-2</v>
      </c>
      <c r="F52" s="626" t="str">
        <f>IF(OR(E52&gt;=0.3,E52&lt;=-0.3),"超过30%","")</f>
        <v/>
      </c>
      <c r="G52" s="625">
        <f>IF(G47&lt;G48,G48/G47-1,G47/G48-1)</f>
        <v>0</v>
      </c>
      <c r="H52" s="626" t="str">
        <f>IF(OR(G52&gt;=0.3,G52&lt;=-0.3),"超过30%","")</f>
        <v/>
      </c>
      <c r="I52" s="625">
        <f>IF(I47&lt;I48,I48/I47-1,I47/I48-1)</f>
        <v>4.1666666666666741E-2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7.1193144363876026E-2</v>
      </c>
      <c r="F53" s="626" t="str">
        <f>IF(OR(E53&gt;=0.2,E53&lt;=-0.2),"超过20%","")</f>
        <v/>
      </c>
      <c r="G53" s="625">
        <f>IF(G48&lt;I48,I48/G48-1,G48/I48-1)</f>
        <v>4.0000000000000036E-2</v>
      </c>
      <c r="H53" s="626" t="str">
        <f>IF(OR(G53&gt;=0.2,G53&lt;=-0.2),"超过20%","")</f>
        <v/>
      </c>
      <c r="I53" s="625">
        <f>IF(I48&lt;E48,E48/I48-1,I48/E48-1)</f>
        <v>2.9993408042188641E-2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8.3333333333333259E-2</v>
      </c>
      <c r="F54" s="626" t="str">
        <f>IF(OR(E54&gt;=0.3,E54&lt;=-0.3),"超过30%","")</f>
        <v/>
      </c>
      <c r="G54" s="625">
        <f>IF(G47&lt;I47,I47/G47-1,G47/I47-1)</f>
        <v>8.3333333333333259E-2</v>
      </c>
      <c r="H54" s="626" t="str">
        <f>IF(OR(G54&gt;=0.3,G54&lt;=-0.3),"超过30%","")</f>
        <v/>
      </c>
      <c r="I54" s="625">
        <f>IF(I47&lt;E47,E47/I47-1,I47/E47-1)</f>
        <v>0</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1（含）-1.5</v>
      </c>
      <c r="D67" s="681" t="str">
        <f t="shared" ref="D67:L67" si="18">D68&amp;"（含）"&amp;"-"&amp;E68</f>
        <v>1.5（含）-2</v>
      </c>
      <c r="E67" s="681" t="str">
        <f t="shared" si="18"/>
        <v>2（含）-2.5</v>
      </c>
      <c r="F67" s="681" t="str">
        <f t="shared" si="18"/>
        <v>2.5（含）-3</v>
      </c>
      <c r="G67" s="681" t="str">
        <f t="shared" si="18"/>
        <v>3（含）-3.5</v>
      </c>
      <c r="H67" s="681" t="str">
        <f t="shared" si="18"/>
        <v>3.5（含）-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f>C68+0.5</f>
        <v>1.5</v>
      </c>
      <c r="E68" s="540">
        <f t="shared" ref="E68:H68" si="19">D68+0.5</f>
        <v>2</v>
      </c>
      <c r="F68" s="540">
        <f t="shared" si="19"/>
        <v>2.5</v>
      </c>
      <c r="G68" s="540">
        <f t="shared" si="19"/>
        <v>3</v>
      </c>
      <c r="H68" s="540">
        <f t="shared" si="19"/>
        <v>3.5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97</v>
      </c>
      <c r="E77" s="678">
        <f>D77-$K15</f>
        <v>94</v>
      </c>
      <c r="F77" s="678">
        <f>E77-$K15</f>
        <v>91</v>
      </c>
      <c r="G77" s="678">
        <f>F77-$K15</f>
        <v>88</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95" t="s">
        <v>3116</v>
      </c>
      <c r="D90" s="3195" t="s">
        <v>3117</v>
      </c>
      <c r="E90" s="3195" t="s">
        <v>3118</v>
      </c>
      <c r="F90" s="3195" t="s">
        <v>3119</v>
      </c>
      <c r="G90" s="3195" t="s">
        <v>3120</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f>C91-1</f>
        <v>99</v>
      </c>
      <c r="E91" s="691">
        <f t="shared" ref="E91:G91" si="23">D91-1</f>
        <v>98</v>
      </c>
      <c r="F91" s="691">
        <f t="shared" si="23"/>
        <v>97</v>
      </c>
      <c r="G91" s="691">
        <f t="shared" si="23"/>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90" t="s">
        <v>3142</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4">C101-$K32</f>
        <v>98</v>
      </c>
      <c r="E101" s="678">
        <f t="shared" si="24"/>
        <v>96</v>
      </c>
      <c r="F101" s="678">
        <f t="shared" si="24"/>
        <v>94</v>
      </c>
      <c r="G101" s="678">
        <f t="shared" si="24"/>
        <v>92</v>
      </c>
      <c r="H101" s="678">
        <f t="shared" si="24"/>
        <v>90</v>
      </c>
      <c r="I101" s="678">
        <f t="shared" si="24"/>
        <v>88</v>
      </c>
      <c r="J101" s="678">
        <f t="shared" si="24"/>
        <v>86</v>
      </c>
      <c r="K101" s="678">
        <f t="shared" si="24"/>
        <v>84</v>
      </c>
      <c r="L101" s="678">
        <f t="shared" si="24"/>
        <v>82</v>
      </c>
      <c r="M101" s="678">
        <f t="shared" si="24"/>
        <v>80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8"/>
      <c r="B102" s="672" t="s">
        <v>748</v>
      </c>
      <c r="C102" s="707" t="str">
        <f>C103&amp;"(含)"&amp;"-"&amp;D103</f>
        <v>0(含)-300000</v>
      </c>
      <c r="D102" s="707" t="str">
        <f t="shared" ref="D102:L102" si="25">D103&amp;"(含)"&amp;"-"&amp;E103</f>
        <v>300000(含)-600000</v>
      </c>
      <c r="E102" s="707" t="str">
        <f t="shared" si="25"/>
        <v>600000(含)-</v>
      </c>
      <c r="F102" s="707" t="str">
        <f t="shared" si="25"/>
        <v>(含)-</v>
      </c>
      <c r="G102" s="707" t="str">
        <f t="shared" si="25"/>
        <v>(含)-</v>
      </c>
      <c r="H102" s="707" t="str">
        <f t="shared" si="25"/>
        <v>(含)-</v>
      </c>
      <c r="I102" s="707" t="str">
        <f t="shared" si="25"/>
        <v>(含)-</v>
      </c>
      <c r="J102" s="707" t="str">
        <f t="shared" si="25"/>
        <v>(含)-</v>
      </c>
      <c r="K102" s="707" t="str">
        <f t="shared" si="25"/>
        <v>(含)-</v>
      </c>
      <c r="L102" s="707" t="str">
        <f t="shared" si="25"/>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0</v>
      </c>
      <c r="D103" s="729">
        <v>300000</v>
      </c>
      <c r="E103" s="729">
        <v>600000</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f>E104</f>
        <v>96</v>
      </c>
      <c r="D104" s="670">
        <v>100</v>
      </c>
      <c r="E104" s="670">
        <v>96</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92" t="s">
        <v>3121</v>
      </c>
      <c r="D105" s="3192" t="s">
        <v>3122</v>
      </c>
      <c r="E105" s="3191" t="s">
        <v>3123</v>
      </c>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6">C106-$K34</f>
        <v>98</v>
      </c>
      <c r="E106" s="678">
        <f t="shared" si="26"/>
        <v>96</v>
      </c>
      <c r="F106" s="678">
        <f t="shared" si="26"/>
        <v>94</v>
      </c>
      <c r="G106" s="678">
        <f t="shared" si="26"/>
        <v>92</v>
      </c>
      <c r="H106" s="678">
        <f t="shared" si="26"/>
        <v>90</v>
      </c>
      <c r="I106" s="678">
        <f t="shared" si="26"/>
        <v>88</v>
      </c>
      <c r="J106" s="678">
        <f t="shared" si="26"/>
        <v>86</v>
      </c>
      <c r="K106" s="678">
        <f t="shared" si="26"/>
        <v>84</v>
      </c>
      <c r="L106" s="678">
        <f t="shared" si="26"/>
        <v>82</v>
      </c>
      <c r="M106" s="678">
        <f t="shared" si="26"/>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91" t="s">
        <v>3124</v>
      </c>
      <c r="D107" s="3191" t="s">
        <v>3125</v>
      </c>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7">C108-$K35</f>
        <v>98</v>
      </c>
      <c r="E108" s="678">
        <f t="shared" si="27"/>
        <v>96</v>
      </c>
      <c r="F108" s="678">
        <f t="shared" si="27"/>
        <v>94</v>
      </c>
      <c r="G108" s="678">
        <f t="shared" si="27"/>
        <v>92</v>
      </c>
      <c r="H108" s="678">
        <f t="shared" si="27"/>
        <v>90</v>
      </c>
      <c r="I108" s="678">
        <f t="shared" si="27"/>
        <v>88</v>
      </c>
      <c r="J108" s="678">
        <f t="shared" si="27"/>
        <v>86</v>
      </c>
      <c r="K108" s="678">
        <f t="shared" si="27"/>
        <v>84</v>
      </c>
      <c r="L108" s="678">
        <f t="shared" si="27"/>
        <v>82</v>
      </c>
      <c r="M108" s="678">
        <f t="shared" si="27"/>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92" t="s">
        <v>3126</v>
      </c>
      <c r="D109" s="3192" t="s">
        <v>3127</v>
      </c>
      <c r="E109" s="3192" t="s">
        <v>3128</v>
      </c>
      <c r="F109" s="3191" t="s">
        <v>3129</v>
      </c>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8">C110-$K36</f>
        <v>98</v>
      </c>
      <c r="E110" s="678">
        <f t="shared" si="28"/>
        <v>96</v>
      </c>
      <c r="F110" s="678">
        <f t="shared" si="28"/>
        <v>94</v>
      </c>
      <c r="G110" s="678">
        <f t="shared" si="28"/>
        <v>92</v>
      </c>
      <c r="H110" s="678">
        <f t="shared" si="28"/>
        <v>90</v>
      </c>
      <c r="I110" s="678">
        <f t="shared" si="28"/>
        <v>88</v>
      </c>
      <c r="J110" s="678">
        <f t="shared" si="28"/>
        <v>86</v>
      </c>
      <c r="K110" s="678">
        <f t="shared" si="28"/>
        <v>84</v>
      </c>
      <c r="L110" s="678">
        <f t="shared" si="28"/>
        <v>82</v>
      </c>
      <c r="M110" s="678">
        <f t="shared" si="28"/>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92" t="s">
        <v>3130</v>
      </c>
      <c r="D114" s="3192" t="s">
        <v>3131</v>
      </c>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8">
        <f t="shared" si="29"/>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3192" t="s">
        <v>3132</v>
      </c>
      <c r="D116" s="3192" t="s">
        <v>3133</v>
      </c>
      <c r="E116" s="3192" t="s">
        <v>3134</v>
      </c>
      <c r="F116" s="3192" t="s">
        <v>3135</v>
      </c>
      <c r="G116" s="3192" t="s">
        <v>3136</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30">C119-$K40</f>
        <v>100</v>
      </c>
      <c r="E119" s="678">
        <f t="shared" si="30"/>
        <v>100</v>
      </c>
      <c r="F119" s="678">
        <f t="shared" si="30"/>
        <v>100</v>
      </c>
      <c r="G119" s="678">
        <f t="shared" si="30"/>
        <v>100</v>
      </c>
      <c r="H119" s="678">
        <f t="shared" si="30"/>
        <v>100</v>
      </c>
      <c r="I119" s="678">
        <f t="shared" si="30"/>
        <v>100</v>
      </c>
      <c r="J119" s="678">
        <f t="shared" si="30"/>
        <v>100</v>
      </c>
      <c r="K119" s="678">
        <f t="shared" si="30"/>
        <v>100</v>
      </c>
      <c r="L119" s="678">
        <f t="shared" si="30"/>
        <v>100</v>
      </c>
      <c r="M119" s="678">
        <f t="shared" si="30"/>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92" t="s">
        <v>3137</v>
      </c>
      <c r="D122" s="3192" t="s">
        <v>3138</v>
      </c>
      <c r="E122" s="3192" t="s">
        <v>3139</v>
      </c>
      <c r="F122" s="3191" t="s">
        <v>3140</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8">
        <f t="shared" si="31"/>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H102" sqref="H10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3001</v>
      </c>
      <c r="D1" s="3070" t="s">
        <v>3110</v>
      </c>
      <c r="E1" s="2350" t="s">
        <v>2374</v>
      </c>
      <c r="F1" s="2351">
        <f ca="1">J53</f>
        <v>37.32</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11923</v>
      </c>
      <c r="C2" s="2041"/>
      <c r="D2" s="2039"/>
      <c r="E2" s="2040"/>
      <c r="F2" s="2040"/>
      <c r="G2" s="1575"/>
      <c r="H2" s="2041"/>
      <c r="I2" s="2041"/>
      <c r="J2" s="2041"/>
      <c r="K2" s="2042"/>
      <c r="L2" s="2041"/>
      <c r="M2" s="2041"/>
    </row>
    <row r="3" spans="1:33" ht="18" customHeight="1" thickBot="1">
      <c r="A3" s="832" t="s">
        <v>1727</v>
      </c>
      <c r="B3" s="833">
        <f ca="1">IF(ISERROR(B2*10000/F43),0,ROUND(B2*10000/F43,0))</f>
        <v>13651</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718</v>
      </c>
      <c r="D5" s="2459" t="s">
        <v>2461</v>
      </c>
      <c r="E5" s="2453"/>
      <c r="F5" s="2454"/>
      <c r="G5" s="1577"/>
      <c r="H5" s="780">
        <v>1</v>
      </c>
      <c r="I5" s="781" t="s">
        <v>2458</v>
      </c>
      <c r="J5" s="55">
        <f ca="1">J6+J10+J12</f>
        <v>0</v>
      </c>
      <c r="K5" s="2459" t="s">
        <v>2461</v>
      </c>
      <c r="L5" s="2453"/>
      <c r="M5" s="2454"/>
    </row>
    <row r="6" spans="1:33" ht="18" customHeight="1">
      <c r="A6" s="1814" t="s">
        <v>1824</v>
      </c>
      <c r="B6" s="3467" t="s">
        <v>2463</v>
      </c>
      <c r="C6" s="782">
        <f ca="1">ROUND(F6*F8*F7*(1-F9)/10000,0)</f>
        <v>717</v>
      </c>
      <c r="D6" s="2460" t="s">
        <v>2462</v>
      </c>
      <c r="E6" s="783" t="s">
        <v>1738</v>
      </c>
      <c r="F6" s="784">
        <f ca="1">INDIRECT("'数据-取费表'!u"&amp;$G$1)</f>
        <v>2.5</v>
      </c>
      <c r="G6" s="1577"/>
      <c r="H6" s="2467" t="s">
        <v>2468</v>
      </c>
      <c r="I6" s="3467" t="s">
        <v>2463</v>
      </c>
      <c r="J6" s="782">
        <f ca="1">ROUND(M6*M8*M7*(1-M9)/10000,0)</f>
        <v>0</v>
      </c>
      <c r="K6" s="340" t="s">
        <v>1737</v>
      </c>
      <c r="L6" s="783" t="s">
        <v>1738</v>
      </c>
      <c r="M6" s="784">
        <f ca="1">INDIRECT("'数据-取费表'!z"&amp;$G$1)</f>
        <v>0</v>
      </c>
    </row>
    <row r="7" spans="1:33" ht="18" customHeight="1">
      <c r="A7" s="2463"/>
      <c r="B7" s="3468"/>
      <c r="C7" s="787"/>
      <c r="D7" s="788"/>
      <c r="E7" s="783" t="s">
        <v>1739</v>
      </c>
      <c r="F7" s="784">
        <f ca="1">IF(INDIRECT("'数据-取费表'!ah"&amp;$G$1)="",INDIRECT("'数据-取费表'!k"&amp;$G$1),INDIRECT("'数据-取费表'!ah"&amp;$G$1))</f>
        <v>8734</v>
      </c>
      <c r="G7" s="1577"/>
      <c r="H7" s="2452"/>
      <c r="I7" s="3468"/>
      <c r="J7" s="787"/>
      <c r="K7" s="788"/>
      <c r="L7" s="783" t="s">
        <v>1739</v>
      </c>
      <c r="M7" s="784">
        <f ca="1">F7</f>
        <v>8734</v>
      </c>
    </row>
    <row r="8" spans="1:33" ht="18" customHeight="1">
      <c r="A8" s="2456"/>
      <c r="B8" s="3469"/>
      <c r="C8" s="787"/>
      <c r="D8" s="788"/>
      <c r="E8" s="783" t="s">
        <v>1740</v>
      </c>
      <c r="F8" s="784">
        <f ca="1">INDIRECT("'数据-取费表'!ai"&amp;$G$1)</f>
        <v>365</v>
      </c>
      <c r="G8" s="1577"/>
      <c r="H8" s="2452"/>
      <c r="I8" s="3469"/>
      <c r="J8" s="787"/>
      <c r="K8" s="788"/>
      <c r="L8" s="783" t="s">
        <v>1740</v>
      </c>
      <c r="M8" s="784">
        <f ca="1">INDIRECT("'数据-取费表'!ai"&amp;$G$1)</f>
        <v>365</v>
      </c>
    </row>
    <row r="9" spans="1:33" ht="18" customHeight="1">
      <c r="A9" s="785"/>
      <c r="B9" s="3470"/>
      <c r="C9" s="787"/>
      <c r="D9" s="788"/>
      <c r="E9" s="783" t="s">
        <v>1741</v>
      </c>
      <c r="F9" s="793">
        <f ca="1">INDIRECT("'数据-取费表'!w"&amp;$G$1)</f>
        <v>0.1</v>
      </c>
      <c r="G9" s="1577"/>
      <c r="H9" s="2468"/>
      <c r="I9" s="3469"/>
      <c r="J9" s="787"/>
      <c r="K9" s="788"/>
      <c r="L9" s="794" t="s">
        <v>1741</v>
      </c>
      <c r="M9" s="795">
        <f ca="1">INDIRECT("'数据-取费表'!ab"&amp;$G$1)</f>
        <v>0</v>
      </c>
    </row>
    <row r="10" spans="1:33" ht="18" customHeight="1">
      <c r="A10" s="1814" t="s">
        <v>2466</v>
      </c>
      <c r="B10" s="2457" t="s">
        <v>2459</v>
      </c>
      <c r="C10" s="798">
        <f ca="1">ROUND(IF(F10="押一",C6/12*F11,IF(F10="押二",C6/12*2*F11,IF(F10="押三",C6/12*3*F11,C11*F11))),0)</f>
        <v>1</v>
      </c>
      <c r="D10" s="2464" t="s">
        <v>2971</v>
      </c>
      <c r="E10" s="2461" t="s">
        <v>2464</v>
      </c>
      <c r="F10" s="2584" t="s">
        <v>3111</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1943</v>
      </c>
      <c r="D14" s="1963" t="s">
        <v>1745</v>
      </c>
      <c r="E14" s="1964"/>
      <c r="F14" s="804"/>
      <c r="G14" s="1577"/>
      <c r="H14" s="1633" t="s">
        <v>1830</v>
      </c>
      <c r="I14" s="2215" t="s">
        <v>2826</v>
      </c>
      <c r="J14" s="53">
        <f ca="1">C29</f>
        <v>3086</v>
      </c>
      <c r="K14" s="26"/>
      <c r="L14" s="800"/>
      <c r="M14" s="801"/>
    </row>
    <row r="15" spans="1:33" s="2048" customFormat="1" ht="18" customHeight="1" thickBot="1">
      <c r="A15" s="1632" t="s">
        <v>1885</v>
      </c>
      <c r="B15" s="783" t="s">
        <v>647</v>
      </c>
      <c r="C15" s="53">
        <f ca="1">ROUND(C14*F15,0)</f>
        <v>58</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305</v>
      </c>
      <c r="K16" s="1805" t="s">
        <v>1750</v>
      </c>
      <c r="L16" s="2449"/>
      <c r="M16" s="2454"/>
    </row>
    <row r="17" spans="1:33" s="2048" customFormat="1" ht="18" customHeight="1">
      <c r="A17" s="1632" t="s">
        <v>1887</v>
      </c>
      <c r="B17" s="783" t="s">
        <v>653</v>
      </c>
      <c r="C17" s="53">
        <f ca="1">ROUND(F17*(F43+INDIRECT("'数据-取费表'!S"&amp;$G$1))/10000,0)</f>
        <v>133</v>
      </c>
      <c r="D17" s="783" t="s">
        <v>1751</v>
      </c>
      <c r="E17" s="783" t="s">
        <v>1752</v>
      </c>
      <c r="F17" s="56">
        <f>'数据-取费表'!B35</f>
        <v>150</v>
      </c>
      <c r="G17" s="1578"/>
      <c r="H17" s="1633" t="s">
        <v>1830</v>
      </c>
      <c r="I17" s="783" t="s">
        <v>656</v>
      </c>
      <c r="J17" s="53">
        <f ca="1">ROUND(IF(项目基本情况!B11="自然人",J6*M17/(1+'数据-取费表'!C42),J18+J19+J20),0)</f>
        <v>259</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29</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2163</v>
      </c>
      <c r="D19" s="260" t="s">
        <v>1757</v>
      </c>
      <c r="E19" s="1966"/>
      <c r="F19" s="56"/>
      <c r="G19" s="1577"/>
      <c r="H19" s="1632" t="s">
        <v>1885</v>
      </c>
      <c r="I19" s="783" t="s">
        <v>1758</v>
      </c>
      <c r="J19" s="53">
        <f ca="1">IF(K19="按租金收入计税",ROUND(J6*M19/(1+'数据-取费表'!C42),1),ROUND(C29*F33*0.7,1))</f>
        <v>259.2</v>
      </c>
      <c r="K19" s="810" t="s">
        <v>665</v>
      </c>
      <c r="L19" s="783" t="s">
        <v>1747</v>
      </c>
      <c r="M19" s="808">
        <f>IF(K19="按租金收入计税",'数据-取费表'!B51,'数据-取费表'!B50)</f>
        <v>1.2E-2</v>
      </c>
    </row>
    <row r="20" spans="1:33" s="2048" customFormat="1" ht="18" customHeight="1">
      <c r="A20" s="1633" t="s">
        <v>1889</v>
      </c>
      <c r="B20" s="783" t="s">
        <v>666</v>
      </c>
      <c r="C20" s="53">
        <f ca="1">ROUND(C19*F20,0)</f>
        <v>22</v>
      </c>
      <c r="D20" s="811" t="s">
        <v>1759</v>
      </c>
      <c r="E20" s="783" t="s">
        <v>1747</v>
      </c>
      <c r="F20" s="808">
        <f>'数据-取费表'!B37</f>
        <v>0.01</v>
      </c>
      <c r="G20" s="1578"/>
      <c r="H20" s="1635" t="s">
        <v>1880</v>
      </c>
      <c r="I20" s="340" t="s">
        <v>1760</v>
      </c>
      <c r="J20" s="54">
        <f ca="1">ROUND(M20*M21/10000,0)</f>
        <v>0</v>
      </c>
      <c r="K20" s="813" t="s">
        <v>1761</v>
      </c>
      <c r="L20" s="783" t="s">
        <v>1762</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1719.18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46</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130</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-305</v>
      </c>
      <c r="K25" s="2511" t="s">
        <v>1777</v>
      </c>
      <c r="L25" s="2512"/>
      <c r="M25" s="2513"/>
    </row>
    <row r="26" spans="1:33" ht="18" customHeight="1">
      <c r="A26" s="1632" t="s">
        <v>1831</v>
      </c>
      <c r="B26" s="783" t="s">
        <v>2438</v>
      </c>
      <c r="C26" s="53">
        <f ca="1">ROUND((C19+C20)*F26,0)</f>
        <v>546</v>
      </c>
      <c r="D26" s="811" t="s">
        <v>1778</v>
      </c>
      <c r="E26" s="794" t="s">
        <v>1779</v>
      </c>
      <c r="F26" s="793">
        <f ca="1">INDIRECT("'数据-取费表'!q"&amp;$G$1)</f>
        <v>0.25</v>
      </c>
      <c r="G26" s="1577"/>
      <c r="H26" s="2465" t="s">
        <v>1780</v>
      </c>
      <c r="I26" s="2216" t="s">
        <v>2827</v>
      </c>
      <c r="J26" s="782">
        <f ca="1">IF(J5&lt;&gt;0,ROUND(J25*(1-((1+M28)/(1+M26))^M27)/(M26-M28),0),0)</f>
        <v>0</v>
      </c>
      <c r="K26" s="813" t="s">
        <v>1781</v>
      </c>
      <c r="L26" s="783" t="s">
        <v>2419</v>
      </c>
      <c r="M26" s="793">
        <f ca="1">INDIRECT("'数据-取费表'!I"&amp;$G$1)</f>
        <v>0.06</v>
      </c>
    </row>
    <row r="27" spans="1:33" ht="18" customHeight="1">
      <c r="A27" s="1632" t="s">
        <v>1832</v>
      </c>
      <c r="B27" s="783" t="s">
        <v>686</v>
      </c>
      <c r="C27" s="53">
        <f ca="1">ROUND(F21*F26,4)</f>
        <v>3.8E-3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3086</v>
      </c>
      <c r="D29" s="2508"/>
      <c r="E29" s="2509"/>
      <c r="F29" s="2510"/>
      <c r="G29" s="1578"/>
      <c r="H29" s="822" t="s">
        <v>1787</v>
      </c>
      <c r="I29" s="823" t="s">
        <v>1788</v>
      </c>
      <c r="J29" s="824">
        <f ca="1">ROUND(J26/(1+F40)^F41,0)</f>
        <v>0</v>
      </c>
      <c r="K29" s="825" t="s">
        <v>1789</v>
      </c>
      <c r="L29" s="826"/>
      <c r="M29" s="827">
        <f ca="1">INDIRECT("'数据-取费表'!k"&amp;$G$1)</f>
        <v>8734</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174</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120.4</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38.200000000000003</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81.900000000000006</v>
      </c>
      <c r="D33" s="810" t="s">
        <v>3051</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0.3</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1719.18</v>
      </c>
      <c r="G35" s="2046"/>
      <c r="H35" s="2049"/>
      <c r="I35" s="836" t="s">
        <v>1814</v>
      </c>
      <c r="J35" s="837">
        <f ca="1">ROUND(C13*J36,0)</f>
        <v>0</v>
      </c>
      <c r="K35" s="2062"/>
      <c r="L35" s="2061"/>
      <c r="M35" s="2061"/>
    </row>
    <row r="36" spans="1:18" ht="18" customHeight="1">
      <c r="A36" s="1633" t="s">
        <v>1889</v>
      </c>
      <c r="B36" s="783" t="s">
        <v>1802</v>
      </c>
      <c r="C36" s="53">
        <f ca="1">ROUND(C29*F36,1)</f>
        <v>46.3</v>
      </c>
      <c r="D36" s="1961" t="s">
        <v>1803</v>
      </c>
      <c r="E36" s="783" t="s">
        <v>1796</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7.2</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544</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11923</v>
      </c>
      <c r="D40" s="813" t="s">
        <v>1807</v>
      </c>
      <c r="E40" s="783" t="s">
        <v>2419</v>
      </c>
      <c r="F40" s="793">
        <f ca="1">INDIRECT("'数据-取费表'!I"&amp;$G$1)</f>
        <v>0.06</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37.32</v>
      </c>
      <c r="G41" s="2046"/>
      <c r="H41" s="1972"/>
      <c r="I41" s="842" t="s">
        <v>1820</v>
      </c>
      <c r="J41" s="845"/>
      <c r="K41" s="2066"/>
      <c r="L41" s="1972"/>
      <c r="M41" s="1972"/>
    </row>
    <row r="42" spans="1:18" ht="18" customHeight="1">
      <c r="A42" s="789"/>
      <c r="B42" s="790"/>
      <c r="C42" s="791"/>
      <c r="D42" s="815"/>
      <c r="E42" s="783" t="s">
        <v>1809</v>
      </c>
      <c r="F42" s="793">
        <f ca="1">INDIRECT("'数据-取费表'!v"&amp;$G$1)</f>
        <v>0.03</v>
      </c>
      <c r="G42" s="2046"/>
      <c r="H42" s="1972"/>
      <c r="I42" s="846" t="s">
        <v>1821</v>
      </c>
      <c r="J42" s="844">
        <f ca="1">ROUND(C13/C40,3)</f>
        <v>0</v>
      </c>
      <c r="K42" s="2066"/>
      <c r="L42" s="1972"/>
      <c r="M42" s="1972"/>
    </row>
    <row r="43" spans="1:18" ht="18" customHeight="1" thickBot="1">
      <c r="A43" s="822" t="s">
        <v>1787</v>
      </c>
      <c r="B43" s="823" t="s">
        <v>1810</v>
      </c>
      <c r="C43" s="824">
        <f ca="1">ROUND(C40*10000/F43,0)</f>
        <v>13651</v>
      </c>
      <c r="D43" s="825" t="s">
        <v>1811</v>
      </c>
      <c r="E43" s="826" t="s">
        <v>1812</v>
      </c>
      <c r="F43" s="827">
        <f ca="1">INDIRECT("'数据-取费表'!k"&amp;$G$1)</f>
        <v>8734</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-12617</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3052</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39.82</v>
      </c>
      <c r="O48" s="2361" t="s">
        <v>2379</v>
      </c>
      <c r="P48" s="2362" t="s">
        <v>2405</v>
      </c>
      <c r="Q48" s="2363">
        <f ca="1">C40+J29</f>
        <v>11923</v>
      </c>
      <c r="R48" s="2362" t="s">
        <v>2380</v>
      </c>
    </row>
    <row r="49" spans="1:18" s="2043" customFormat="1" ht="18" customHeight="1" thickBot="1">
      <c r="A49" s="785"/>
      <c r="B49" s="786"/>
      <c r="C49" s="787"/>
      <c r="D49" s="788"/>
      <c r="E49" s="783" t="s">
        <v>1739</v>
      </c>
      <c r="F49" s="784">
        <f ca="1">F7</f>
        <v>8734</v>
      </c>
      <c r="G49" s="2074"/>
      <c r="H49" s="2077"/>
      <c r="I49" s="3071" t="s">
        <v>2346</v>
      </c>
      <c r="J49" s="2346">
        <v>2019</v>
      </c>
      <c r="K49" s="3100"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365</v>
      </c>
      <c r="G50" s="2079"/>
      <c r="H50" s="2077"/>
      <c r="I50" s="3071" t="s">
        <v>2347</v>
      </c>
      <c r="J50" s="3096">
        <f>SUMPRODUCT((I63:I65=J47)*(J62:L62=J48)*(J63:L65))</f>
        <v>60</v>
      </c>
      <c r="K50" s="3100" t="s">
        <v>2353</v>
      </c>
      <c r="L50" s="2347"/>
      <c r="O50" s="2364" t="s">
        <v>2383</v>
      </c>
      <c r="P50" s="2362" t="s">
        <v>2407</v>
      </c>
      <c r="Q50" s="2363">
        <f ca="1">C29</f>
        <v>3086</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8718</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37.32</v>
      </c>
      <c r="K53" s="3478" t="s">
        <v>2963</v>
      </c>
      <c r="L53" s="3479"/>
      <c r="O53" s="2364" t="s">
        <v>2388</v>
      </c>
      <c r="P53" s="2362" t="s">
        <v>2389</v>
      </c>
      <c r="Q53" s="2363">
        <f ca="1">J53</f>
        <v>37.32</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11923</v>
      </c>
      <c r="R54" s="2366" t="s">
        <v>2392</v>
      </c>
    </row>
    <row r="55" spans="1:18" s="2043" customFormat="1" ht="18" customHeight="1" thickTop="1" thickBot="1">
      <c r="A55" s="796">
        <v>2</v>
      </c>
      <c r="B55" s="797" t="s">
        <v>644</v>
      </c>
      <c r="C55" s="798">
        <f ca="1">C13</f>
        <v>0</v>
      </c>
      <c r="D55" s="794"/>
      <c r="E55" s="794"/>
      <c r="F55" s="799"/>
      <c r="I55" s="3106" t="s">
        <v>2355</v>
      </c>
      <c r="J55" s="3046" t="e">
        <f ca="1">ROUND(IF(J47="钢混",J57/J50,1-(1-2%)*(J50-J57)/J50),3)</f>
        <v>#VALUE!</v>
      </c>
      <c r="K55" s="3107" t="s">
        <v>2356</v>
      </c>
      <c r="L55" s="2349"/>
      <c r="O55" s="2367" t="s">
        <v>2411</v>
      </c>
      <c r="P55" s="1577"/>
      <c r="Q55" s="1588"/>
      <c r="R55" s="1577"/>
    </row>
    <row r="56" spans="1:18" s="2043" customFormat="1" ht="42.75" customHeight="1" thickBot="1">
      <c r="A56" s="1634"/>
      <c r="B56" s="2215" t="s">
        <v>2302</v>
      </c>
      <c r="C56" s="53">
        <f ca="1">C29</f>
        <v>3086</v>
      </c>
      <c r="D56" s="2602"/>
      <c r="E56" s="783"/>
      <c r="F56" s="808"/>
      <c r="I56" s="3108" t="s">
        <v>2357</v>
      </c>
      <c r="J56" s="3118" t="s">
        <v>1678</v>
      </c>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47</v>
      </c>
      <c r="D57" s="26" t="s">
        <v>1750</v>
      </c>
      <c r="E57" s="2603"/>
      <c r="F57" s="56"/>
      <c r="I57" s="3109" t="s">
        <v>2358</v>
      </c>
      <c r="J57" s="3110" t="str">
        <f ca="1">IF(OR(M47="住宅",J51&lt;L48,J56="是"),"——",J51-L48)</f>
        <v>——</v>
      </c>
      <c r="K57" s="3071" t="s">
        <v>2363</v>
      </c>
      <c r="L57" s="1892" t="str">
        <f ca="1">IF(L48&lt;J51,"——",IF(L55="比较法",L49,IF(L55="基准地价",L50,L51)))</f>
        <v>——</v>
      </c>
      <c r="O57" s="2361" t="s">
        <v>2379</v>
      </c>
      <c r="P57" s="2362" t="s">
        <v>2409</v>
      </c>
      <c r="Q57" s="2363">
        <f ca="1">C40+J29</f>
        <v>11923</v>
      </c>
      <c r="R57" s="2362" t="s">
        <v>2380</v>
      </c>
    </row>
    <row r="58" spans="1:18" s="2043" customFormat="1" ht="28.5" customHeight="1" thickBot="1">
      <c r="A58" s="1633" t="s">
        <v>1824</v>
      </c>
      <c r="B58" s="783" t="s">
        <v>656</v>
      </c>
      <c r="C58" s="53">
        <f ca="1">ROUND(IF(项目基本情况!B11="自然人",C47*F58,C59+C60+C61),1)</f>
        <v>0.3</v>
      </c>
      <c r="D58" s="2601" t="s">
        <v>657</v>
      </c>
      <c r="E58" s="2602" t="s">
        <v>690</v>
      </c>
      <c r="F58" s="809" t="str">
        <f ca="1">IF(项目基本情况!B11="企业","",IF(INDIRECT("'数据-取费表'!c"&amp;$G$1)="住宅",5%,IF(F48*F49*F50/12/(1+'数据-取费表'!C42)&gt;20000,12%,7%)))</f>
        <v/>
      </c>
      <c r="I58" s="3109" t="s">
        <v>2359</v>
      </c>
      <c r="J58" s="3047" t="e">
        <f ca="1">IF(J55&lt;0.4,0.4,J55)</f>
        <v>#VALUE!</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5.6000000000000001E-2</v>
      </c>
      <c r="I59" s="3109" t="s">
        <v>2360</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1" t="s">
        <v>2361</v>
      </c>
      <c r="J60" s="3112" t="str">
        <f ca="1">IF(OR(M47="住宅",J51&lt;L48,J56="是"),"0",ROUND(J59/(1+J52)^J53,0))</f>
        <v>0</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0.3</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1719.18</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46.3</v>
      </c>
      <c r="D63" s="2602" t="s">
        <v>1803</v>
      </c>
      <c r="E63" s="783" t="s">
        <v>1747</v>
      </c>
      <c r="F63" s="816">
        <f t="shared" ca="1" si="0"/>
        <v>1.4999999999999999E-2</v>
      </c>
      <c r="I63" s="3114" t="s">
        <v>2370</v>
      </c>
      <c r="J63" s="3115">
        <v>70</v>
      </c>
      <c r="K63" s="3115">
        <v>50</v>
      </c>
      <c r="L63" s="3115">
        <v>80</v>
      </c>
      <c r="M63" s="3117">
        <v>0.02</v>
      </c>
      <c r="O63" s="2361" t="s">
        <v>2391</v>
      </c>
      <c r="P63" s="2362" t="s">
        <v>2408</v>
      </c>
      <c r="Q63" s="2363">
        <f ca="1">Q57+Q58</f>
        <v>11923</v>
      </c>
      <c r="R63" s="2366" t="s">
        <v>2392</v>
      </c>
    </row>
    <row r="64" spans="1:18" s="2043" customFormat="1" ht="16.5" thickBot="1">
      <c r="A64" s="1633" t="s">
        <v>1890</v>
      </c>
      <c r="B64" s="783" t="s">
        <v>679</v>
      </c>
      <c r="C64" s="53">
        <f ca="1">ROUND(C55*F64,1)</f>
        <v>0</v>
      </c>
      <c r="D64" s="2602"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-47</v>
      </c>
      <c r="D66" s="2601" t="s">
        <v>700</v>
      </c>
      <c r="E66" s="2600"/>
      <c r="F66" s="819"/>
      <c r="K66" s="2070"/>
      <c r="O66" s="2361" t="s">
        <v>2379</v>
      </c>
      <c r="P66" s="2362" t="s">
        <v>2409</v>
      </c>
      <c r="Q66" s="2363">
        <f ca="1">C40+J29</f>
        <v>11923</v>
      </c>
      <c r="R66" s="2362" t="s">
        <v>2380</v>
      </c>
    </row>
    <row r="67" spans="1:18" s="2043" customFormat="1" ht="20.25" thickBot="1">
      <c r="A67" s="780" t="s">
        <v>1780</v>
      </c>
      <c r="B67" s="2216" t="s">
        <v>2301</v>
      </c>
      <c r="C67" s="782">
        <f ca="1">ROUND(C66*(1-((1+F69)/(1+F67))^F68)/(F67-F69),0)</f>
        <v>-694</v>
      </c>
      <c r="D67" s="813" t="s">
        <v>704</v>
      </c>
      <c r="E67" s="783" t="s">
        <v>705</v>
      </c>
      <c r="F67" s="793">
        <f ca="1">F40</f>
        <v>0.06</v>
      </c>
      <c r="K67" s="2070"/>
      <c r="O67" s="2361" t="s">
        <v>2381</v>
      </c>
      <c r="P67" s="2362" t="s">
        <v>2412</v>
      </c>
      <c r="Q67" s="2363">
        <f ca="1">L60</f>
        <v>0</v>
      </c>
      <c r="R67" s="2366" t="s">
        <v>2414</v>
      </c>
    </row>
    <row r="68" spans="1:18" ht="21.75" thickBot="1">
      <c r="A68" s="785"/>
      <c r="B68" s="786"/>
      <c r="C68" s="787"/>
      <c r="D68" s="820" t="s">
        <v>1808</v>
      </c>
      <c r="E68" s="783" t="s">
        <v>1784</v>
      </c>
      <c r="F68" s="821">
        <f ca="1">F41</f>
        <v>37.32</v>
      </c>
      <c r="O68" s="2364" t="s">
        <v>2383</v>
      </c>
      <c r="P68" s="2362" t="s">
        <v>2413</v>
      </c>
      <c r="Q68" s="2368">
        <f ca="1">L51</f>
        <v>8718</v>
      </c>
      <c r="R68" s="2369" t="s">
        <v>2416</v>
      </c>
    </row>
    <row r="69" spans="1:18" ht="20.25" thickBot="1">
      <c r="A69" s="789"/>
      <c r="B69" s="790"/>
      <c r="C69" s="791"/>
      <c r="D69" s="815"/>
      <c r="E69" s="783" t="s">
        <v>710</v>
      </c>
      <c r="F69" s="2334"/>
      <c r="O69" s="2364" t="s">
        <v>2384</v>
      </c>
      <c r="P69" s="2370" t="s">
        <v>2398</v>
      </c>
      <c r="Q69" s="2363">
        <f ca="1">ROUND(Q70-Q71*Q72,0)</f>
        <v>544</v>
      </c>
      <c r="R69" s="2366"/>
    </row>
    <row r="70" spans="1:18" ht="15.75" thickBot="1">
      <c r="A70" s="822" t="s">
        <v>1787</v>
      </c>
      <c r="B70" s="823" t="s">
        <v>1810</v>
      </c>
      <c r="C70" s="824">
        <f ca="1">ROUND(C67*10000/F70,0)</f>
        <v>-795</v>
      </c>
      <c r="D70" s="825" t="s">
        <v>1811</v>
      </c>
      <c r="E70" s="826" t="s">
        <v>1812</v>
      </c>
      <c r="F70" s="827">
        <f ca="1">F43</f>
        <v>8734</v>
      </c>
      <c r="O70" s="2364" t="s">
        <v>2399</v>
      </c>
      <c r="P70" s="2370" t="s">
        <v>2400</v>
      </c>
      <c r="Q70" s="2363">
        <f ca="1">C39</f>
        <v>544</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11923</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80" t="s">
        <v>2471</v>
      </c>
      <c r="B1" s="3481"/>
      <c r="C1" s="3482"/>
      <c r="D1" s="3483">
        <f>SUM(I10,I15,I20,I21,I23)</f>
        <v>0</v>
      </c>
      <c r="E1" s="3483"/>
      <c r="F1" s="3483"/>
      <c r="G1" s="3483"/>
      <c r="H1" s="3483"/>
      <c r="I1" s="3484"/>
    </row>
    <row r="2" spans="1:9">
      <c r="A2" s="3485" t="s">
        <v>2472</v>
      </c>
      <c r="B2" s="3486" t="s">
        <v>2473</v>
      </c>
      <c r="C2" s="3486"/>
      <c r="D2" s="2470" t="s">
        <v>2474</v>
      </c>
      <c r="E2" s="2470" t="s">
        <v>2475</v>
      </c>
      <c r="F2" s="2470" t="s">
        <v>2476</v>
      </c>
      <c r="G2" s="2470" t="s">
        <v>2477</v>
      </c>
      <c r="H2" s="2470" t="s">
        <v>2478</v>
      </c>
      <c r="I2" s="2471" t="s">
        <v>2479</v>
      </c>
    </row>
    <row r="3" spans="1:9">
      <c r="A3" s="3485"/>
      <c r="B3" s="3486" t="s">
        <v>2480</v>
      </c>
      <c r="C3" s="3486"/>
      <c r="D3" s="2472"/>
      <c r="E3" s="2470"/>
      <c r="F3" s="2473"/>
      <c r="G3" s="2473"/>
      <c r="H3" s="2474"/>
      <c r="I3" s="2475">
        <f>ROUND(D3*E3*F3*G3*H3/10000,0)</f>
        <v>0</v>
      </c>
    </row>
    <row r="4" spans="1:9">
      <c r="A4" s="3485"/>
      <c r="B4" s="3486" t="s">
        <v>2481</v>
      </c>
      <c r="C4" s="3486"/>
      <c r="D4" s="2472"/>
      <c r="E4" s="2470"/>
      <c r="F4" s="2473"/>
      <c r="G4" s="2473"/>
      <c r="H4" s="2474"/>
      <c r="I4" s="2475">
        <f t="shared" ref="I4:I9" si="0">ROUND(D4*E4*F4*G4*H4/10000,0)</f>
        <v>0</v>
      </c>
    </row>
    <row r="5" spans="1:9">
      <c r="A5" s="3485"/>
      <c r="B5" s="3486" t="s">
        <v>2482</v>
      </c>
      <c r="C5" s="3486"/>
      <c r="D5" s="2472"/>
      <c r="E5" s="2470"/>
      <c r="F5" s="2473"/>
      <c r="G5" s="2473"/>
      <c r="H5" s="2474"/>
      <c r="I5" s="2475">
        <f t="shared" si="0"/>
        <v>0</v>
      </c>
    </row>
    <row r="6" spans="1:9">
      <c r="A6" s="3485"/>
      <c r="B6" s="3486" t="s">
        <v>2483</v>
      </c>
      <c r="C6" s="3486"/>
      <c r="D6" s="2472"/>
      <c r="E6" s="2470"/>
      <c r="F6" s="2473"/>
      <c r="G6" s="2473"/>
      <c r="H6" s="2474"/>
      <c r="I6" s="2475">
        <f t="shared" si="0"/>
        <v>0</v>
      </c>
    </row>
    <row r="7" spans="1:9">
      <c r="A7" s="3485"/>
      <c r="B7" s="3486" t="s">
        <v>2484</v>
      </c>
      <c r="C7" s="3486"/>
      <c r="D7" s="2472"/>
      <c r="E7" s="2470"/>
      <c r="F7" s="2473"/>
      <c r="G7" s="2473"/>
      <c r="H7" s="2474"/>
      <c r="I7" s="2475">
        <f t="shared" si="0"/>
        <v>0</v>
      </c>
    </row>
    <row r="8" spans="1:9">
      <c r="A8" s="3485"/>
      <c r="B8" s="3486" t="s">
        <v>2485</v>
      </c>
      <c r="C8" s="3486"/>
      <c r="D8" s="2472"/>
      <c r="E8" s="2470"/>
      <c r="F8" s="2473"/>
      <c r="G8" s="2473"/>
      <c r="H8" s="2474"/>
      <c r="I8" s="2475">
        <f t="shared" si="0"/>
        <v>0</v>
      </c>
    </row>
    <row r="9" spans="1:9">
      <c r="A9" s="3485"/>
      <c r="B9" s="3486" t="s">
        <v>2486</v>
      </c>
      <c r="C9" s="3486"/>
      <c r="D9" s="2472"/>
      <c r="E9" s="2470"/>
      <c r="F9" s="2473"/>
      <c r="G9" s="2473"/>
      <c r="H9" s="2474"/>
      <c r="I9" s="2475">
        <f t="shared" si="0"/>
        <v>0</v>
      </c>
    </row>
    <row r="10" spans="1:9">
      <c r="A10" s="3485"/>
      <c r="B10" s="3487" t="s">
        <v>2487</v>
      </c>
      <c r="C10" s="3487"/>
      <c r="D10" s="2476">
        <v>527</v>
      </c>
      <c r="E10" s="2476" t="e">
        <f>ROUND(D1*10000/D10/H9,0)</f>
        <v>#DIV/0!</v>
      </c>
      <c r="F10" s="2477"/>
      <c r="G10" s="2477"/>
      <c r="H10" s="2478"/>
      <c r="I10" s="2479">
        <f>SUM(I3:I9)</f>
        <v>0</v>
      </c>
    </row>
    <row r="11" spans="1:9" ht="14.25">
      <c r="A11" s="3485" t="s">
        <v>2488</v>
      </c>
      <c r="B11" s="3486" t="s">
        <v>2489</v>
      </c>
      <c r="C11" s="3486"/>
      <c r="D11" s="2472" t="s">
        <v>2490</v>
      </c>
      <c r="E11" s="2472" t="s">
        <v>2491</v>
      </c>
      <c r="F11" s="2473" t="s">
        <v>2492</v>
      </c>
      <c r="G11" s="2473" t="s">
        <v>2493</v>
      </c>
      <c r="H11" s="2480" t="s">
        <v>2494</v>
      </c>
      <c r="I11" s="2471" t="s">
        <v>2495</v>
      </c>
    </row>
    <row r="12" spans="1:9">
      <c r="A12" s="3485"/>
      <c r="B12" s="3486" t="s">
        <v>2496</v>
      </c>
      <c r="C12" s="3486"/>
      <c r="D12" s="2472"/>
      <c r="E12" s="2472"/>
      <c r="F12" s="2473"/>
      <c r="G12" s="2474"/>
      <c r="H12" s="2481"/>
      <c r="I12" s="2471">
        <f>ROUND(D12*E12*F12*G12/10000,0)</f>
        <v>0</v>
      </c>
    </row>
    <row r="13" spans="1:9">
      <c r="A13" s="3485"/>
      <c r="B13" s="3486" t="s">
        <v>2497</v>
      </c>
      <c r="C13" s="3486"/>
      <c r="D13" s="2472"/>
      <c r="E13" s="2472"/>
      <c r="F13" s="2473"/>
      <c r="G13" s="2474"/>
      <c r="H13" s="2481"/>
      <c r="I13" s="2471">
        <f>ROUND(D13*E13*F13*G13/10000,0)</f>
        <v>0</v>
      </c>
    </row>
    <row r="14" spans="1:9">
      <c r="A14" s="3485"/>
      <c r="B14" s="3486" t="s">
        <v>2498</v>
      </c>
      <c r="C14" s="3486"/>
      <c r="D14" s="2472"/>
      <c r="E14" s="2472"/>
      <c r="F14" s="2473"/>
      <c r="G14" s="2474"/>
      <c r="H14" s="2481"/>
      <c r="I14" s="2471">
        <f>ROUND(D14*E14*F14*G14/10000,0)</f>
        <v>0</v>
      </c>
    </row>
    <row r="15" spans="1:9">
      <c r="A15" s="3485"/>
      <c r="B15" s="3487" t="s">
        <v>2487</v>
      </c>
      <c r="C15" s="3487"/>
      <c r="D15" s="2476"/>
      <c r="E15" s="2476">
        <f>SUM(E12:E14)</f>
        <v>0</v>
      </c>
      <c r="F15" s="2477"/>
      <c r="G15" s="2474"/>
      <c r="H15" s="2481"/>
      <c r="I15" s="2482">
        <f>SUM(I12:I14)</f>
        <v>0</v>
      </c>
    </row>
    <row r="16" spans="1:9" ht="24">
      <c r="A16" s="3485" t="s">
        <v>2499</v>
      </c>
      <c r="B16" s="3486" t="s">
        <v>2500</v>
      </c>
      <c r="C16" s="3486"/>
      <c r="D16" s="2472" t="s">
        <v>2501</v>
      </c>
      <c r="E16" s="2483" t="s">
        <v>2502</v>
      </c>
      <c r="F16" s="2473" t="s">
        <v>2503</v>
      </c>
      <c r="G16" s="2474" t="s">
        <v>2493</v>
      </c>
      <c r="H16" s="2480" t="s">
        <v>2494</v>
      </c>
      <c r="I16" s="2471" t="s">
        <v>2495</v>
      </c>
    </row>
    <row r="17" spans="1:9" ht="14.25">
      <c r="A17" s="3485"/>
      <c r="B17" s="3486" t="s">
        <v>2504</v>
      </c>
      <c r="C17" s="3486"/>
      <c r="D17" s="2472"/>
      <c r="E17" s="2472"/>
      <c r="F17" s="2473"/>
      <c r="G17" s="2474"/>
      <c r="H17" s="2484"/>
      <c r="I17" s="2485">
        <f>ROUND(D17*E17*F17*G17/10000,0)</f>
        <v>0</v>
      </c>
    </row>
    <row r="18" spans="1:9" ht="14.25">
      <c r="A18" s="3485"/>
      <c r="B18" s="3486" t="s">
        <v>2505</v>
      </c>
      <c r="C18" s="3486"/>
      <c r="D18" s="2472"/>
      <c r="E18" s="2472"/>
      <c r="F18" s="2473"/>
      <c r="G18" s="2474"/>
      <c r="H18" s="2484"/>
      <c r="I18" s="2485">
        <f>ROUND(D18*E18*F18*G18/10000,0)</f>
        <v>0</v>
      </c>
    </row>
    <row r="19" spans="1:9" ht="14.25">
      <c r="A19" s="3485"/>
      <c r="B19" s="3486" t="s">
        <v>2506</v>
      </c>
      <c r="C19" s="3486"/>
      <c r="D19" s="2472"/>
      <c r="E19" s="2472"/>
      <c r="F19" s="2473"/>
      <c r="G19" s="2474"/>
      <c r="H19" s="2484"/>
      <c r="I19" s="2485">
        <f>ROUND(D19*E19*F19*G19/10000,0)</f>
        <v>0</v>
      </c>
    </row>
    <row r="20" spans="1:9">
      <c r="A20" s="3485"/>
      <c r="B20" s="3487" t="s">
        <v>2487</v>
      </c>
      <c r="C20" s="3487"/>
      <c r="D20" s="2476">
        <f>SUM(D17:D19)</f>
        <v>0</v>
      </c>
      <c r="E20" s="2476"/>
      <c r="F20" s="2477"/>
      <c r="G20" s="2474"/>
      <c r="H20" s="2481"/>
      <c r="I20" s="2482">
        <f>SUM(I17:I19)</f>
        <v>0</v>
      </c>
    </row>
    <row r="21" spans="1:9">
      <c r="A21" s="3485" t="s">
        <v>2507</v>
      </c>
      <c r="B21" s="3489"/>
      <c r="C21" s="3489"/>
      <c r="D21" s="3489"/>
      <c r="E21" s="3489"/>
      <c r="F21" s="3489"/>
      <c r="G21" s="3489"/>
      <c r="H21" s="2486">
        <v>0.1</v>
      </c>
      <c r="I21" s="2479">
        <f>ROUND(I10*H21,0)</f>
        <v>0</v>
      </c>
    </row>
    <row r="22" spans="1:9" ht="14.25">
      <c r="A22" s="3490" t="s">
        <v>2508</v>
      </c>
      <c r="B22" s="3491"/>
      <c r="C22" s="3492"/>
      <c r="D22" s="2487" t="s">
        <v>2509</v>
      </c>
      <c r="E22" s="2487" t="s">
        <v>2510</v>
      </c>
      <c r="F22" s="2488" t="s">
        <v>2511</v>
      </c>
      <c r="G22" s="2488" t="s">
        <v>2512</v>
      </c>
      <c r="H22" s="2480" t="s">
        <v>2513</v>
      </c>
      <c r="I22" s="2471" t="s">
        <v>2514</v>
      </c>
    </row>
    <row r="23" spans="1:9" ht="14.25" thickBot="1">
      <c r="A23" s="3493"/>
      <c r="B23" s="3494"/>
      <c r="C23" s="3495"/>
      <c r="D23" s="2489"/>
      <c r="E23" s="2489"/>
      <c r="F23" s="2489"/>
      <c r="G23" s="2490"/>
      <c r="H23" s="2491"/>
      <c r="I23" s="2492">
        <f>ROUND(E23*D23*F23*(1-G23)/10000,0)</f>
        <v>0</v>
      </c>
    </row>
    <row r="26" spans="1:9">
      <c r="A26" s="2493" t="s">
        <v>2515</v>
      </c>
      <c r="B26" s="2493"/>
      <c r="C26" s="2493"/>
      <c r="D26" s="2493"/>
      <c r="E26" s="3496">
        <f>C27-C30-C31-C32</f>
        <v>0</v>
      </c>
      <c r="F26" s="3496"/>
      <c r="G26" s="3496"/>
      <c r="H26" s="2991" t="s">
        <v>2843</v>
      </c>
    </row>
    <row r="27" spans="1:9">
      <c r="A27" s="2494">
        <v>1</v>
      </c>
      <c r="B27" s="2495" t="s">
        <v>2516</v>
      </c>
      <c r="C27" s="2495"/>
      <c r="D27" s="2495"/>
      <c r="E27" s="3497"/>
      <c r="F27" s="3497"/>
      <c r="G27" s="3497"/>
    </row>
    <row r="28" spans="1:9">
      <c r="A28" s="2496" t="s">
        <v>2517</v>
      </c>
      <c r="B28" s="2495" t="s">
        <v>2518</v>
      </c>
      <c r="C28" s="2495"/>
      <c r="D28" s="2495"/>
      <c r="E28" s="3497"/>
      <c r="F28" s="3497"/>
      <c r="G28" s="3497"/>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88"/>
      <c r="F32" s="3488"/>
      <c r="G32" s="3488"/>
    </row>
    <row r="33" spans="1:7" hidden="1">
      <c r="A33" s="3498" t="s">
        <v>2526</v>
      </c>
      <c r="B33" s="3499"/>
      <c r="C33" s="3499"/>
      <c r="D33" s="3500"/>
      <c r="E33" s="3496"/>
      <c r="F33" s="3496"/>
      <c r="G33" s="3496"/>
    </row>
    <row r="34" spans="1:7" hidden="1">
      <c r="A34" s="2498">
        <v>1</v>
      </c>
      <c r="B34" s="2495" t="s">
        <v>2527</v>
      </c>
      <c r="C34" s="2495"/>
      <c r="D34" s="2495"/>
      <c r="E34" s="3497"/>
      <c r="F34" s="3497"/>
      <c r="G34" s="3497"/>
    </row>
    <row r="35" spans="1:7" hidden="1">
      <c r="A35" s="2498">
        <v>2</v>
      </c>
      <c r="B35" s="2495" t="s">
        <v>2528</v>
      </c>
      <c r="C35" s="2495"/>
      <c r="D35" s="2495"/>
      <c r="E35" s="3497"/>
      <c r="F35" s="3497"/>
      <c r="G35" s="3497"/>
    </row>
    <row r="36" spans="1:7" hidden="1">
      <c r="A36" s="2498">
        <v>3</v>
      </c>
      <c r="B36" s="2495" t="s">
        <v>2529</v>
      </c>
      <c r="C36" s="2495"/>
      <c r="D36" s="2495"/>
      <c r="E36" s="3497"/>
      <c r="F36" s="3497"/>
      <c r="G36" s="3497"/>
    </row>
    <row r="37" spans="1:7" hidden="1">
      <c r="A37" s="2498">
        <v>4</v>
      </c>
      <c r="B37" s="2495" t="s">
        <v>2530</v>
      </c>
      <c r="C37" s="2495"/>
      <c r="D37" s="2495"/>
      <c r="E37" s="3497"/>
      <c r="F37" s="3497"/>
      <c r="G37" s="3497"/>
    </row>
    <row r="38" spans="1:7" hidden="1">
      <c r="A38" s="3498" t="s">
        <v>2531</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304328.8</v>
      </c>
      <c r="E10" s="748">
        <f>'数据-取费表'!B31</f>
        <v>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1594</v>
      </c>
      <c r="D12" s="757">
        <f>'数据-汇总表'!E5</f>
        <v>132855.79999999999</v>
      </c>
      <c r="E12" s="756">
        <f>'数据-取费表'!B27</f>
        <v>120</v>
      </c>
      <c r="F12" s="754"/>
      <c r="G12" s="758"/>
    </row>
    <row r="13" spans="1:25" s="2167" customFormat="1" ht="13.5" customHeight="1">
      <c r="A13" s="2439" t="s">
        <v>2447</v>
      </c>
      <c r="B13" s="755" t="s">
        <v>612</v>
      </c>
      <c r="C13" s="756">
        <f>ROUND(D13*E13/10000,0)</f>
        <v>2058</v>
      </c>
      <c r="D13" s="757">
        <f>'数据-汇总表'!E6</f>
        <v>171473</v>
      </c>
      <c r="E13" s="756">
        <f>'数据-取费表'!B28</f>
        <v>120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0.16</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0.88600000000000001</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H102" sqref="H10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3007</v>
      </c>
      <c r="D1" s="3070" t="s">
        <v>3110</v>
      </c>
      <c r="E1" s="2350" t="s">
        <v>2374</v>
      </c>
      <c r="F1" s="2351" t="e">
        <f ca="1">J53</f>
        <v>#N/A</v>
      </c>
      <c r="G1" s="773"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7" t="s">
        <v>1726</v>
      </c>
      <c r="B2" s="774" t="e">
        <f ca="1">C40+J29+L46</f>
        <v>#N/A</v>
      </c>
      <c r="C2" s="2041"/>
      <c r="D2" s="2039"/>
      <c r="E2" s="2040"/>
      <c r="F2" s="2040"/>
      <c r="G2" s="1575"/>
      <c r="H2" s="2041"/>
      <c r="I2" s="2041"/>
      <c r="J2" s="2041"/>
      <c r="K2" s="2042"/>
      <c r="L2" s="2041"/>
      <c r="M2" s="2041"/>
    </row>
    <row r="3" spans="1:33" ht="18" customHeight="1" thickBot="1">
      <c r="A3" s="832" t="s">
        <v>1727</v>
      </c>
      <c r="B3" s="833">
        <f ca="1">IF(ISERROR(B2*10000/F43),0,ROUND(B2*10000/F43,0))</f>
        <v>0</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t="e">
        <f ca="1">C6+C10+C12</f>
        <v>#N/A</v>
      </c>
      <c r="D5" s="2459" t="s">
        <v>2461</v>
      </c>
      <c r="E5" s="2453"/>
      <c r="F5" s="2454"/>
      <c r="G5" s="1577"/>
      <c r="H5" s="780">
        <v>1</v>
      </c>
      <c r="I5" s="781" t="s">
        <v>2458</v>
      </c>
      <c r="J5" s="55" t="e">
        <f ca="1">J6+J10+J12</f>
        <v>#N/A</v>
      </c>
      <c r="K5" s="2459" t="s">
        <v>2461</v>
      </c>
      <c r="L5" s="2453"/>
      <c r="M5" s="2454"/>
    </row>
    <row r="6" spans="1:33" ht="18" customHeight="1">
      <c r="A6" s="1814" t="s">
        <v>1824</v>
      </c>
      <c r="B6" s="3467" t="s">
        <v>2463</v>
      </c>
      <c r="C6" s="782" t="e">
        <f ca="1">ROUND(F6*F8*F7*(1-F9)/10000,0)</f>
        <v>#N/A</v>
      </c>
      <c r="D6" s="2460" t="s">
        <v>2462</v>
      </c>
      <c r="E6" s="783" t="s">
        <v>1738</v>
      </c>
      <c r="F6" s="784" t="e">
        <f ca="1">INDIRECT("'数据-取费表'!u"&amp;$G$1)</f>
        <v>#N/A</v>
      </c>
      <c r="G6" s="1577"/>
      <c r="H6" s="2467" t="s">
        <v>2468</v>
      </c>
      <c r="I6" s="3467" t="s">
        <v>2463</v>
      </c>
      <c r="J6" s="782" t="e">
        <f ca="1">ROUND(M6*M8*M7*(1-M9)/10000,0)</f>
        <v>#N/A</v>
      </c>
      <c r="K6" s="340" t="s">
        <v>1737</v>
      </c>
      <c r="L6" s="783" t="s">
        <v>1738</v>
      </c>
      <c r="M6" s="784" t="e">
        <f ca="1">INDIRECT("'数据-取费表'!z"&amp;$G$1)</f>
        <v>#N/A</v>
      </c>
    </row>
    <row r="7" spans="1:33" ht="18" customHeight="1">
      <c r="A7" s="2463"/>
      <c r="B7" s="3468"/>
      <c r="C7" s="787"/>
      <c r="D7" s="788"/>
      <c r="E7" s="783" t="s">
        <v>1739</v>
      </c>
      <c r="F7" s="784" t="e">
        <f ca="1">IF(INDIRECT("'数据-取费表'!ah"&amp;$G$1)="",INDIRECT("'数据-取费表'!k"&amp;$G$1),INDIRECT("'数据-取费表'!ah"&amp;$G$1))</f>
        <v>#N/A</v>
      </c>
      <c r="G7" s="1577"/>
      <c r="H7" s="2452"/>
      <c r="I7" s="3468"/>
      <c r="J7" s="787"/>
      <c r="K7" s="788"/>
      <c r="L7" s="783" t="s">
        <v>1739</v>
      </c>
      <c r="M7" s="784" t="e">
        <f ca="1">F7</f>
        <v>#N/A</v>
      </c>
    </row>
    <row r="8" spans="1:33" ht="18" customHeight="1">
      <c r="A8" s="2456"/>
      <c r="B8" s="3469"/>
      <c r="C8" s="787"/>
      <c r="D8" s="788"/>
      <c r="E8" s="783" t="s">
        <v>1740</v>
      </c>
      <c r="F8" s="784" t="e">
        <f ca="1">INDIRECT("'数据-取费表'!ai"&amp;$G$1)</f>
        <v>#N/A</v>
      </c>
      <c r="G8" s="1577"/>
      <c r="H8" s="2452"/>
      <c r="I8" s="3469"/>
      <c r="J8" s="787"/>
      <c r="K8" s="788"/>
      <c r="L8" s="783" t="s">
        <v>1740</v>
      </c>
      <c r="M8" s="784" t="e">
        <f ca="1">INDIRECT("'数据-取费表'!ai"&amp;$G$1)</f>
        <v>#N/A</v>
      </c>
    </row>
    <row r="9" spans="1:33" ht="18" customHeight="1">
      <c r="A9" s="785"/>
      <c r="B9" s="3470"/>
      <c r="C9" s="787"/>
      <c r="D9" s="788"/>
      <c r="E9" s="783" t="s">
        <v>640</v>
      </c>
      <c r="F9" s="793" t="e">
        <f ca="1">INDIRECT("'数据-取费表'!w"&amp;$G$1)</f>
        <v>#N/A</v>
      </c>
      <c r="G9" s="1577"/>
      <c r="H9" s="2468"/>
      <c r="I9" s="3469"/>
      <c r="J9" s="787"/>
      <c r="K9" s="788"/>
      <c r="L9" s="794" t="s">
        <v>640</v>
      </c>
      <c r="M9" s="795" t="e">
        <f ca="1">INDIRECT("'数据-取费表'!ab"&amp;$G$1)</f>
        <v>#N/A</v>
      </c>
    </row>
    <row r="10" spans="1:33" ht="18" customHeight="1">
      <c r="A10" s="1814" t="s">
        <v>2466</v>
      </c>
      <c r="B10" s="2457" t="s">
        <v>2459</v>
      </c>
      <c r="C10" s="798" t="e">
        <f ca="1">ROUND(IF(F10="押一",C6/12*F11,IF(F10="押二",C6/12*2*F11,IF(F10="押三",C6/12*3*F11,C11*F11))),0)</f>
        <v>#N/A</v>
      </c>
      <c r="D10" s="2464" t="s">
        <v>2971</v>
      </c>
      <c r="E10" s="2461" t="s">
        <v>2464</v>
      </c>
      <c r="F10" s="2584" t="s">
        <v>3111</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t="e">
        <f ca="1">ROUND(C29*F13,0)</f>
        <v>#N/A</v>
      </c>
      <c r="D13" s="1818" t="s">
        <v>2297</v>
      </c>
      <c r="E13" s="1818" t="s">
        <v>1744</v>
      </c>
      <c r="F13" s="2499" t="e">
        <f ca="1">INDIRECT("'数据-取费表'!y"&amp;$G$1)</f>
        <v>#N/A</v>
      </c>
      <c r="G13" s="1577"/>
      <c r="H13" s="1813">
        <v>2</v>
      </c>
      <c r="I13" s="1811" t="s">
        <v>644</v>
      </c>
      <c r="J13" s="1803" t="e">
        <f ca="1">ROUND(J14*J15,0)</f>
        <v>#N/A</v>
      </c>
      <c r="K13" s="1805" t="s">
        <v>1743</v>
      </c>
      <c r="L13" s="2515"/>
      <c r="M13" s="2516"/>
    </row>
    <row r="14" spans="1:33" ht="18" customHeight="1">
      <c r="A14" s="1632" t="s">
        <v>1884</v>
      </c>
      <c r="B14" s="783" t="s">
        <v>645</v>
      </c>
      <c r="C14" s="803" t="e">
        <f ca="1">INDIRECT("'数据-取费表'!m"&amp;$G$1)+INDIRECT("'数据-取费表'!t"&amp;$G$1)</f>
        <v>#N/A</v>
      </c>
      <c r="D14" s="3185" t="s">
        <v>1745</v>
      </c>
      <c r="E14" s="3184"/>
      <c r="F14" s="804"/>
      <c r="G14" s="1577"/>
      <c r="H14" s="1633" t="s">
        <v>1830</v>
      </c>
      <c r="I14" s="2215" t="s">
        <v>2826</v>
      </c>
      <c r="J14" s="53" t="e">
        <f ca="1">C29</f>
        <v>#N/A</v>
      </c>
      <c r="K14" s="26"/>
      <c r="L14" s="800"/>
      <c r="M14" s="801"/>
    </row>
    <row r="15" spans="1:33" s="2048" customFormat="1" ht="18" customHeight="1" thickBot="1">
      <c r="A15" s="1632" t="s">
        <v>1885</v>
      </c>
      <c r="B15" s="783" t="s">
        <v>647</v>
      </c>
      <c r="C15" s="53" t="e">
        <f ca="1">ROUND(C14*F15,0)</f>
        <v>#N/A</v>
      </c>
      <c r="D15" s="805" t="s">
        <v>1746</v>
      </c>
      <c r="E15" s="805" t="s">
        <v>1747</v>
      </c>
      <c r="F15" s="806">
        <f>'数据-取费表'!B33</f>
        <v>0.03</v>
      </c>
      <c r="G15" s="1578"/>
      <c r="H15" s="2514" t="s">
        <v>1889</v>
      </c>
      <c r="I15" s="2509" t="s">
        <v>1744</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t="e">
        <f ca="1">ROUND(INDIRECT("'数据-取费表'!m"&amp;$G$1)*F16,0)</f>
        <v>#N/A</v>
      </c>
      <c r="D16" s="783" t="s">
        <v>1746</v>
      </c>
      <c r="E16" s="783" t="s">
        <v>1747</v>
      </c>
      <c r="F16" s="808" t="e">
        <f ca="1">IF(INDIRECT("'数据-取费表'!c"&amp;$G$1)="住宅",'数据-取费表'!B34,0)</f>
        <v>#N/A</v>
      </c>
      <c r="G16" s="1577"/>
      <c r="H16" s="1813" t="s">
        <v>1748</v>
      </c>
      <c r="I16" s="1811" t="s">
        <v>651</v>
      </c>
      <c r="J16" s="791" t="e">
        <f ca="1">ROUND(J17+J22+J23+J24,0)</f>
        <v>#N/A</v>
      </c>
      <c r="K16" s="1805" t="s">
        <v>1750</v>
      </c>
      <c r="L16" s="3187"/>
      <c r="M16" s="2454"/>
    </row>
    <row r="17" spans="1:33" s="2048" customFormat="1" ht="18" customHeight="1">
      <c r="A17" s="1632" t="s">
        <v>1887</v>
      </c>
      <c r="B17" s="783" t="s">
        <v>653</v>
      </c>
      <c r="C17" s="53" t="e">
        <f ca="1">ROUND(F17*(F43+INDIRECT("'数据-取费表'!S"&amp;$G$1))/10000,0)</f>
        <v>#N/A</v>
      </c>
      <c r="D17" s="783" t="s">
        <v>1751</v>
      </c>
      <c r="E17" s="783" t="s">
        <v>1752</v>
      </c>
      <c r="F17" s="56">
        <f>'数据-取费表'!B35</f>
        <v>150</v>
      </c>
      <c r="G17" s="1578"/>
      <c r="H17" s="1633" t="s">
        <v>1830</v>
      </c>
      <c r="I17" s="783" t="s">
        <v>656</v>
      </c>
      <c r="J17" s="53" t="e">
        <f ca="1">ROUND(IF(项目基本情况!B11="自然人",J6*M17/(1+'数据-取费表'!C42),J18+J19+J20),0)</f>
        <v>#N/A</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t="e">
        <f ca="1">ROUND(C14*F18,0)</f>
        <v>#N/A</v>
      </c>
      <c r="D18" s="783" t="s">
        <v>1746</v>
      </c>
      <c r="E18" s="783" t="s">
        <v>1747</v>
      </c>
      <c r="F18" s="808">
        <f>'数据-取费表'!B36</f>
        <v>1.4999999999999999E-2</v>
      </c>
      <c r="G18" s="1578"/>
      <c r="H18" s="1632" t="s">
        <v>1884</v>
      </c>
      <c r="I18" s="783" t="s">
        <v>1755</v>
      </c>
      <c r="J18" s="53" t="e">
        <f ca="1">ROUND(J6*M18/(1+'数据-取费表'!C42),1)</f>
        <v>#N/A</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t="e">
        <f ca="1">SUM(C14:C18)</f>
        <v>#N/A</v>
      </c>
      <c r="D19" s="260" t="s">
        <v>1757</v>
      </c>
      <c r="E19" s="3188"/>
      <c r="F19" s="56"/>
      <c r="G19" s="1577"/>
      <c r="H19" s="1632" t="s">
        <v>1885</v>
      </c>
      <c r="I19" s="783" t="s">
        <v>664</v>
      </c>
      <c r="J19" s="53" t="e">
        <f ca="1">IF(K19="按租金收入计税",ROUND(J6*M19/(1+'数据-取费表'!C42),1),ROUND(C29*F33*0.7,1))</f>
        <v>#N/A</v>
      </c>
      <c r="K19" s="810" t="s">
        <v>665</v>
      </c>
      <c r="L19" s="783" t="s">
        <v>1747</v>
      </c>
      <c r="M19" s="808">
        <f>IF(K19="按租金收入计税",'数据-取费表'!B51,'数据-取费表'!B50)</f>
        <v>1.2E-2</v>
      </c>
    </row>
    <row r="20" spans="1:33" s="2048" customFormat="1" ht="18" customHeight="1">
      <c r="A20" s="1633" t="s">
        <v>1889</v>
      </c>
      <c r="B20" s="783" t="s">
        <v>666</v>
      </c>
      <c r="C20" s="53" t="e">
        <f ca="1">ROUND(C19*F20,0)</f>
        <v>#N/A</v>
      </c>
      <c r="D20" s="811" t="s">
        <v>1759</v>
      </c>
      <c r="E20" s="783" t="s">
        <v>1747</v>
      </c>
      <c r="F20" s="808">
        <f>'数据-取费表'!B37</f>
        <v>0.01</v>
      </c>
      <c r="G20" s="1578"/>
      <c r="H20" s="1635" t="s">
        <v>1880</v>
      </c>
      <c r="I20" s="340" t="s">
        <v>668</v>
      </c>
      <c r="J20" s="54" t="e">
        <f ca="1">ROUND(M20*M21/10000,0)</f>
        <v>#N/A</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t="e">
        <f ca="1">ROUND(J14*M22,0)</f>
        <v>#N/A</v>
      </c>
      <c r="K22" s="3186" t="s">
        <v>677</v>
      </c>
      <c r="L22" s="783" t="s">
        <v>1747</v>
      </c>
      <c r="M22" s="816" t="e">
        <f ca="1">INDIRECT("'数据-取费表'!Ak"&amp;$G$1)</f>
        <v>#N/A</v>
      </c>
    </row>
    <row r="23" spans="1:33" s="2048" customFormat="1" ht="18" customHeight="1">
      <c r="A23" s="1632" t="s">
        <v>1831</v>
      </c>
      <c r="B23" s="783" t="s">
        <v>2535</v>
      </c>
      <c r="C23" s="53" t="e">
        <f ca="1">ROUND(IF('数据-取费表'!B22&lt;=1,(C19+C20)*F24*F23/2,(C19+C20)*(POWER((1+F24),F23/2)-1)),0)</f>
        <v>#N/A</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t="e">
        <f ca="1">ROUND(J13*M23,0)</f>
        <v>#N/A</v>
      </c>
      <c r="K23" s="3186" t="s">
        <v>1771</v>
      </c>
      <c r="L23" s="783" t="s">
        <v>1747</v>
      </c>
      <c r="M23" s="817"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t="e">
        <f ca="1">ROUND(J5*M24,0)</f>
        <v>#N/A</v>
      </c>
      <c r="K24" s="2508" t="s">
        <v>1774</v>
      </c>
      <c r="L24" s="2509" t="s">
        <v>1747</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t="e">
        <f ca="1">J5-J16</f>
        <v>#N/A</v>
      </c>
      <c r="K25" s="2511" t="s">
        <v>1777</v>
      </c>
      <c r="L25" s="2512"/>
      <c r="M25" s="2513"/>
    </row>
    <row r="26" spans="1:33" ht="18" customHeight="1">
      <c r="A26" s="1632" t="s">
        <v>1831</v>
      </c>
      <c r="B26" s="783" t="s">
        <v>2438</v>
      </c>
      <c r="C26" s="53" t="e">
        <f ca="1">ROUND((C19+C20)*F26,0)</f>
        <v>#N/A</v>
      </c>
      <c r="D26" s="811" t="s">
        <v>1778</v>
      </c>
      <c r="E26" s="794" t="s">
        <v>1779</v>
      </c>
      <c r="F26" s="793" t="e">
        <f ca="1">INDIRECT("'数据-取费表'!q"&amp;$G$1)</f>
        <v>#N/A</v>
      </c>
      <c r="G26" s="1577"/>
      <c r="H26" s="2465" t="s">
        <v>1780</v>
      </c>
      <c r="I26" s="2216" t="s">
        <v>2827</v>
      </c>
      <c r="J26" s="782" t="e">
        <f ca="1">IF(J5&lt;&gt;0,ROUND(J25*(1-((1+M28)/(1+M26))^M27)/(M26-M28),0),0)</f>
        <v>#N/A</v>
      </c>
      <c r="K26" s="813" t="s">
        <v>1781</v>
      </c>
      <c r="L26" s="783" t="s">
        <v>2419</v>
      </c>
      <c r="M26" s="793" t="e">
        <f ca="1">INDIRECT("'数据-取费表'!I"&amp;$G$1)</f>
        <v>#N/A</v>
      </c>
    </row>
    <row r="27" spans="1:33" ht="18" customHeight="1">
      <c r="A27" s="1632" t="s">
        <v>1832</v>
      </c>
      <c r="B27" s="783" t="s">
        <v>686</v>
      </c>
      <c r="C27" s="53" t="e">
        <f ca="1">ROUND(F21*F26,4)</f>
        <v>#N/A</v>
      </c>
      <c r="D27" s="811" t="s">
        <v>1782</v>
      </c>
      <c r="E27" s="805"/>
      <c r="F27" s="806"/>
      <c r="G27" s="1577"/>
      <c r="H27" s="2466"/>
      <c r="I27" s="786"/>
      <c r="J27" s="787"/>
      <c r="K27" s="820" t="s">
        <v>1783</v>
      </c>
      <c r="L27" s="783" t="s">
        <v>1784</v>
      </c>
      <c r="M27" s="821" t="e">
        <f ca="1">INDIRECT("'数据-取费表'!ag"&amp;$G$1)</f>
        <v>#N/A</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t="e">
        <f ca="1">ROUND((C19+C20+C23+C26)/(1-F21-C24-C27-C28),0)</f>
        <v>#N/A</v>
      </c>
      <c r="D29" s="2508"/>
      <c r="E29" s="2509"/>
      <c r="F29" s="2510"/>
      <c r="G29" s="1578"/>
      <c r="H29" s="822" t="s">
        <v>1787</v>
      </c>
      <c r="I29" s="823" t="s">
        <v>1788</v>
      </c>
      <c r="J29" s="824" t="e">
        <f ca="1">ROUND(J26/(1+F40)^F41,0)</f>
        <v>#N/A</v>
      </c>
      <c r="K29" s="825" t="s">
        <v>1789</v>
      </c>
      <c r="L29" s="826"/>
      <c r="M29" s="827"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t="e">
        <f ca="1">ROUND(C31+C36+C37+C38,0)</f>
        <v>#N/A</v>
      </c>
      <c r="D30" s="1805" t="s">
        <v>1791</v>
      </c>
      <c r="E30" s="3187"/>
      <c r="F30" s="2454"/>
      <c r="G30" s="2046"/>
      <c r="H30" s="2049"/>
      <c r="I30" s="2050"/>
      <c r="J30" s="2051"/>
      <c r="K30" s="2052"/>
      <c r="L30" s="2053"/>
      <c r="M30" s="2054"/>
    </row>
    <row r="31" spans="1:33" ht="18" customHeight="1">
      <c r="A31" s="1633" t="s">
        <v>1830</v>
      </c>
      <c r="B31" s="783" t="s">
        <v>656</v>
      </c>
      <c r="C31" s="53" t="e">
        <f ca="1">ROUND(IF(项目基本情况!B11="自然人",C6*F31/(1+'数据-取费表'!C42),C32+C33+C34),1)</f>
        <v>#N/A</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t="e">
        <f ca="1">ROUND(C6*F32/(1+'数据-取费表'!C42),1)</f>
        <v>#N/A</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t="e">
        <f ca="1">IF(D33="按租金收入计税",ROUND(C6*F33/(1+'数据-取费表'!C42),1),IF(D33="按房产原值计税",ROUND(C29*F33*0.7,1),INDIRECT("'数据-取费表'!Aj"&amp;$G$1)))</f>
        <v>#N/A</v>
      </c>
      <c r="D33" s="810" t="s">
        <v>3051</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t="e">
        <f ca="1">ROUND(F34*F35/10000,1)</f>
        <v>#N/A</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t="e">
        <f ca="1">INDIRECT("'数据-取费表'!r"&amp;$G$1)</f>
        <v>#N/A</v>
      </c>
      <c r="G35" s="2046"/>
      <c r="H35" s="2049"/>
      <c r="I35" s="836" t="s">
        <v>1814</v>
      </c>
      <c r="J35" s="837" t="e">
        <f ca="1">ROUND(C13*J36,0)</f>
        <v>#N/A</v>
      </c>
      <c r="K35" s="2062"/>
      <c r="L35" s="2061"/>
      <c r="M35" s="2061"/>
    </row>
    <row r="36" spans="1:18" ht="18" customHeight="1">
      <c r="A36" s="1633" t="s">
        <v>1889</v>
      </c>
      <c r="B36" s="783" t="s">
        <v>1802</v>
      </c>
      <c r="C36" s="53" t="e">
        <f ca="1">ROUND(C29*F36,1)</f>
        <v>#N/A</v>
      </c>
      <c r="D36" s="3186" t="s">
        <v>1803</v>
      </c>
      <c r="E36" s="783" t="s">
        <v>649</v>
      </c>
      <c r="F36" s="816" t="e">
        <f ca="1">INDIRECT("'数据-取费表'!Ak"&amp;$G$1)</f>
        <v>#N/A</v>
      </c>
      <c r="G36" s="2046"/>
      <c r="H36" s="2061"/>
      <c r="I36" s="838" t="s">
        <v>1815</v>
      </c>
      <c r="J36" s="839" t="e">
        <f ca="1">INDIRECT("'数据-取费表'!j"&amp;$G$1)</f>
        <v>#N/A</v>
      </c>
      <c r="K36" s="2066"/>
      <c r="L36" s="2061"/>
      <c r="M36" s="2061"/>
    </row>
    <row r="37" spans="1:18" ht="18" customHeight="1">
      <c r="A37" s="1633" t="s">
        <v>1890</v>
      </c>
      <c r="B37" s="783" t="s">
        <v>679</v>
      </c>
      <c r="C37" s="53" t="e">
        <f ca="1">ROUND(C13*F37,1)</f>
        <v>#N/A</v>
      </c>
      <c r="D37" s="3186" t="s">
        <v>1771</v>
      </c>
      <c r="E37" s="783" t="s">
        <v>649</v>
      </c>
      <c r="F37" s="817" t="e">
        <f ca="1">INDIRECT("'数据-取费表'!Al"&amp;$G$1)</f>
        <v>#N/A</v>
      </c>
      <c r="G37" s="2046"/>
      <c r="H37" s="2061"/>
      <c r="I37" s="840" t="s">
        <v>1816</v>
      </c>
      <c r="J37" s="841"/>
      <c r="K37" s="2066"/>
      <c r="L37" s="2061"/>
      <c r="M37" s="2061"/>
    </row>
    <row r="38" spans="1:18" ht="18" customHeight="1" thickBot="1">
      <c r="A38" s="2514" t="s">
        <v>1891</v>
      </c>
      <c r="B38" s="2509" t="s">
        <v>666</v>
      </c>
      <c r="C38" s="2507" t="e">
        <f ca="1">ROUND(C5*F38,1)</f>
        <v>#N/A</v>
      </c>
      <c r="D38" s="2508" t="s">
        <v>1805</v>
      </c>
      <c r="E38" s="2509" t="s">
        <v>649</v>
      </c>
      <c r="F38" s="2505" t="e">
        <f ca="1">INDIRECT("'数据-取费表'!Am"&amp;$G$1)</f>
        <v>#N/A</v>
      </c>
      <c r="G38" s="2046"/>
      <c r="H38" s="2061"/>
      <c r="I38" s="842" t="s">
        <v>1817</v>
      </c>
      <c r="J38" s="843"/>
      <c r="K38" s="2067"/>
      <c r="L38" s="2061"/>
      <c r="M38" s="2061"/>
    </row>
    <row r="39" spans="1:18" ht="24.6" customHeight="1" thickTop="1">
      <c r="A39" s="1813" t="s">
        <v>1894</v>
      </c>
      <c r="B39" s="2961" t="s">
        <v>2822</v>
      </c>
      <c r="C39" s="791" t="e">
        <f ca="1">C5-C30</f>
        <v>#N/A</v>
      </c>
      <c r="D39" s="2511" t="s">
        <v>1806</v>
      </c>
      <c r="E39" s="2512"/>
      <c r="F39" s="2513"/>
      <c r="G39" s="2046"/>
      <c r="H39" s="2061"/>
      <c r="I39" s="836" t="s">
        <v>1818</v>
      </c>
      <c r="J39" s="844" t="e">
        <f ca="1">ROUND(J35/C39,3)</f>
        <v>#N/A</v>
      </c>
      <c r="K39" s="2067"/>
      <c r="L39" s="2061"/>
      <c r="M39" s="2061"/>
    </row>
    <row r="40" spans="1:18" ht="18" customHeight="1">
      <c r="A40" s="780" t="s">
        <v>1895</v>
      </c>
      <c r="B40" s="2216" t="s">
        <v>2301</v>
      </c>
      <c r="C40" s="782" t="e">
        <f ca="1">ROUND(C39*(1-((1+F42)/(1+F40))^F41)/(F40-F42),0)</f>
        <v>#N/A</v>
      </c>
      <c r="D40" s="813" t="s">
        <v>1807</v>
      </c>
      <c r="E40" s="783" t="s">
        <v>2419</v>
      </c>
      <c r="F40" s="793" t="e">
        <f ca="1">INDIRECT("'数据-取费表'!I"&amp;$G$1)</f>
        <v>#N/A</v>
      </c>
      <c r="G40" s="2046"/>
      <c r="H40" s="2046"/>
      <c r="I40" s="836" t="s">
        <v>1819</v>
      </c>
      <c r="J40" s="844" t="e">
        <f ca="1">1-J39</f>
        <v>#N/A</v>
      </c>
      <c r="K40" s="2067"/>
      <c r="L40" s="2046"/>
      <c r="M40" s="2046"/>
    </row>
    <row r="41" spans="1:18" ht="18" customHeight="1">
      <c r="A41" s="785"/>
      <c r="B41" s="786"/>
      <c r="C41" s="787"/>
      <c r="D41" s="820" t="s">
        <v>1808</v>
      </c>
      <c r="E41" s="783" t="s">
        <v>2961</v>
      </c>
      <c r="F41" s="821" t="e">
        <f ca="1">IF(INDIRECT("'数据-取费表'!af"&amp;$G$1)=0,INDIRECT("'数据-取费表'!ae"&amp;$G$1),INDIRECT("'数据-取费表'!af"&amp;$G$1))</f>
        <v>#N/A</v>
      </c>
      <c r="G41" s="2046"/>
      <c r="H41" s="1972"/>
      <c r="I41" s="842" t="s">
        <v>1820</v>
      </c>
      <c r="J41" s="845"/>
      <c r="K41" s="2066"/>
      <c r="L41" s="1972"/>
      <c r="M41" s="1972"/>
    </row>
    <row r="42" spans="1:18" ht="18" customHeight="1">
      <c r="A42" s="789"/>
      <c r="B42" s="790"/>
      <c r="C42" s="791"/>
      <c r="D42" s="815"/>
      <c r="E42" s="783" t="s">
        <v>710</v>
      </c>
      <c r="F42" s="793" t="e">
        <f ca="1">INDIRECT("'数据-取费表'!v"&amp;$G$1)</f>
        <v>#N/A</v>
      </c>
      <c r="G42" s="2046"/>
      <c r="H42" s="1972"/>
      <c r="I42" s="846" t="s">
        <v>1821</v>
      </c>
      <c r="J42" s="844" t="e">
        <f ca="1">ROUND(C13/C40,3)</f>
        <v>#N/A</v>
      </c>
      <c r="K42" s="2066"/>
      <c r="L42" s="1972"/>
      <c r="M42" s="1972"/>
    </row>
    <row r="43" spans="1:18" ht="18" customHeight="1" thickBot="1">
      <c r="A43" s="822" t="s">
        <v>1787</v>
      </c>
      <c r="B43" s="823" t="s">
        <v>1810</v>
      </c>
      <c r="C43" s="824" t="e">
        <f ca="1">ROUND(C40*10000/F43,0)</f>
        <v>#N/A</v>
      </c>
      <c r="D43" s="825" t="s">
        <v>1811</v>
      </c>
      <c r="E43" s="826" t="s">
        <v>1812</v>
      </c>
      <c r="F43" s="827" t="e">
        <f ca="1">INDIRECT("'数据-取费表'!k"&amp;$G$1)</f>
        <v>#N/A</v>
      </c>
      <c r="G43" s="2046"/>
      <c r="H43" s="1972"/>
      <c r="I43" s="846" t="s">
        <v>1822</v>
      </c>
      <c r="J43" s="847"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t="e">
        <f ca="1">C67-C40</f>
        <v>#N/A</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t="e">
        <f ca="1">C48+C52+C54</f>
        <v>#N/A</v>
      </c>
      <c r="D47" s="2069"/>
      <c r="E47" s="2069"/>
      <c r="F47" s="2069"/>
      <c r="I47" s="3092" t="s">
        <v>2344</v>
      </c>
      <c r="J47" s="2344" t="s">
        <v>3052</v>
      </c>
      <c r="K47" s="3098" t="s">
        <v>2349</v>
      </c>
      <c r="L47" s="3102" t="e">
        <f ca="1">INDIRECT("'数据-取费表'!d"&amp;$G$1)</f>
        <v>#N/A</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t="e">
        <f ca="1">ROUND(F48*F50*F49*(1-F51)/10000,0)</f>
        <v>#N/A</v>
      </c>
      <c r="D48" s="2338" t="s">
        <v>636</v>
      </c>
      <c r="E48" s="2339" t="s">
        <v>2296</v>
      </c>
      <c r="F48" s="2340"/>
      <c r="G48" s="2074"/>
      <c r="I48" s="3071" t="s">
        <v>2345</v>
      </c>
      <c r="J48" s="2345" t="s">
        <v>2350</v>
      </c>
      <c r="K48" s="3099" t="s">
        <v>2351</v>
      </c>
      <c r="L48" s="1892" t="e">
        <f ca="1">INDIRECT("'数据-取费表'!f"&amp;$G$1)</f>
        <v>#N/A</v>
      </c>
      <c r="O48" s="2361" t="s">
        <v>2379</v>
      </c>
      <c r="P48" s="2362" t="s">
        <v>2405</v>
      </c>
      <c r="Q48" s="2363" t="e">
        <f ca="1">C40+J29</f>
        <v>#N/A</v>
      </c>
      <c r="R48" s="2362" t="s">
        <v>2380</v>
      </c>
    </row>
    <row r="49" spans="1:18" s="2043" customFormat="1" ht="18" customHeight="1" thickBot="1">
      <c r="A49" s="785"/>
      <c r="B49" s="786"/>
      <c r="C49" s="787"/>
      <c r="D49" s="788"/>
      <c r="E49" s="783" t="s">
        <v>1739</v>
      </c>
      <c r="F49" s="784" t="e">
        <f ca="1">F7</f>
        <v>#N/A</v>
      </c>
      <c r="G49" s="2074"/>
      <c r="H49" s="2077"/>
      <c r="I49" s="3071" t="s">
        <v>2346</v>
      </c>
      <c r="J49" s="2346">
        <v>2019</v>
      </c>
      <c r="K49" s="3100" t="s">
        <v>2352</v>
      </c>
      <c r="L49" s="2347"/>
      <c r="O49" s="2361" t="s">
        <v>2381</v>
      </c>
      <c r="P49" s="2362" t="s">
        <v>2406</v>
      </c>
      <c r="Q49" s="2363" t="e">
        <f ca="1">J60</f>
        <v>#N/A</v>
      </c>
      <c r="R49" s="2362" t="s">
        <v>2382</v>
      </c>
    </row>
    <row r="50" spans="1:18" s="2043" customFormat="1" ht="18" customHeight="1" thickBot="1">
      <c r="A50" s="785"/>
      <c r="B50" s="786"/>
      <c r="C50" s="787"/>
      <c r="D50" s="788"/>
      <c r="E50" s="783" t="s">
        <v>1740</v>
      </c>
      <c r="F50" s="784" t="e">
        <f ca="1">F8</f>
        <v>#N/A</v>
      </c>
      <c r="G50" s="2079"/>
      <c r="H50" s="2077"/>
      <c r="I50" s="3071" t="s">
        <v>2347</v>
      </c>
      <c r="J50" s="3096">
        <f>SUMPRODUCT((I63:I65=J47)*(J62:L62=J48)*(J63:L65))</f>
        <v>60</v>
      </c>
      <c r="K50" s="3100" t="s">
        <v>2353</v>
      </c>
      <c r="L50" s="2347"/>
      <c r="O50" s="2364" t="s">
        <v>2383</v>
      </c>
      <c r="P50" s="2362" t="s">
        <v>2407</v>
      </c>
      <c r="Q50" s="2363" t="e">
        <f ca="1">C29</f>
        <v>#N/A</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t="e">
        <f ca="1">ROUND(-PV(INDIRECT("'数据-取费表'!h"&amp;$G$1),L48,(C39-C13*J36),0),0)</f>
        <v>#N/A</v>
      </c>
      <c r="O51" s="2364" t="s">
        <v>2384</v>
      </c>
      <c r="P51" s="2362" t="s">
        <v>2385</v>
      </c>
      <c r="Q51" s="2365" t="e">
        <f ca="1">J58</f>
        <v>#N/A</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t="e">
        <f ca="1">IF(M47="住宅",IF(D1="——",MAX(J51,L48),MAX(J51,L48-'数据-取费表'!B20)),IF(D1="——",MIN(J51,L48),MIN(J51,L48-'数据-取费表'!B20)))</f>
        <v>#N/A</v>
      </c>
      <c r="K53" s="3478" t="s">
        <v>2963</v>
      </c>
      <c r="L53" s="3479"/>
      <c r="O53" s="2364" t="s">
        <v>2388</v>
      </c>
      <c r="P53" s="2362" t="s">
        <v>2389</v>
      </c>
      <c r="Q53" s="2363" t="e">
        <f ca="1">J53</f>
        <v>#N/A</v>
      </c>
      <c r="R53" s="2362" t="s">
        <v>2390</v>
      </c>
    </row>
    <row r="54" spans="1:18" s="2043" customFormat="1" ht="18" customHeight="1" thickBot="1">
      <c r="A54" s="2500" t="s">
        <v>2467</v>
      </c>
      <c r="B54" s="2501" t="s">
        <v>2460</v>
      </c>
      <c r="C54" s="2502"/>
      <c r="D54" s="2464"/>
      <c r="E54" s="2461"/>
      <c r="F54" s="799"/>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2391</v>
      </c>
      <c r="P54" s="2362" t="s">
        <v>2408</v>
      </c>
      <c r="Q54" s="2363" t="e">
        <f ca="1">Q48+Q49</f>
        <v>#N/A</v>
      </c>
      <c r="R54" s="2366" t="s">
        <v>2392</v>
      </c>
    </row>
    <row r="55" spans="1:18" s="2043" customFormat="1" ht="18" customHeight="1" thickTop="1" thickBot="1">
      <c r="A55" s="796">
        <v>2</v>
      </c>
      <c r="B55" s="797" t="s">
        <v>644</v>
      </c>
      <c r="C55" s="798" t="e">
        <f ca="1">C13</f>
        <v>#N/A</v>
      </c>
      <c r="D55" s="794"/>
      <c r="E55" s="794"/>
      <c r="F55" s="799"/>
      <c r="I55" s="3106" t="s">
        <v>2355</v>
      </c>
      <c r="J55" s="3046" t="e">
        <f ca="1">ROUND(IF(J47="钢混",J57/J50,1-(1-2%)*(J50-J57)/J50),3)</f>
        <v>#N/A</v>
      </c>
      <c r="K55" s="3107" t="s">
        <v>2356</v>
      </c>
      <c r="L55" s="2349"/>
      <c r="O55" s="2367" t="s">
        <v>2411</v>
      </c>
      <c r="P55" s="1577"/>
      <c r="Q55" s="1588"/>
      <c r="R55" s="1577"/>
    </row>
    <row r="56" spans="1:18" s="2043" customFormat="1" ht="42.75" customHeight="1" thickBot="1">
      <c r="A56" s="1634"/>
      <c r="B56" s="2215" t="s">
        <v>2302</v>
      </c>
      <c r="C56" s="53" t="e">
        <f ca="1">C29</f>
        <v>#N/A</v>
      </c>
      <c r="D56" s="3186"/>
      <c r="E56" s="783"/>
      <c r="F56" s="808"/>
      <c r="I56" s="3108" t="s">
        <v>2357</v>
      </c>
      <c r="J56" s="3118" t="s">
        <v>1678</v>
      </c>
      <c r="K56" s="3071" t="s">
        <v>2362</v>
      </c>
      <c r="L56" s="1892" t="e">
        <f ca="1">IF(L48&lt;J51,"——",L48-J51)</f>
        <v>#N/A</v>
      </c>
      <c r="O56" s="2358" t="s">
        <v>2375</v>
      </c>
      <c r="P56" s="2359" t="s">
        <v>2376</v>
      </c>
      <c r="Q56" s="2360" t="s">
        <v>2377</v>
      </c>
      <c r="R56" s="2359" t="s">
        <v>2378</v>
      </c>
    </row>
    <row r="57" spans="1:18" s="2043" customFormat="1" ht="28.5" customHeight="1" thickBot="1">
      <c r="A57" s="796" t="s">
        <v>1748</v>
      </c>
      <c r="B57" s="797" t="s">
        <v>651</v>
      </c>
      <c r="C57" s="798" t="e">
        <f ca="1">ROUND(C58+C63+C64+C65,0)</f>
        <v>#N/A</v>
      </c>
      <c r="D57" s="26" t="s">
        <v>1750</v>
      </c>
      <c r="E57" s="3188"/>
      <c r="F57" s="56"/>
      <c r="I57" s="3109" t="s">
        <v>2358</v>
      </c>
      <c r="J57" s="3110" t="e">
        <f ca="1">IF(OR(M47="住宅",J51&lt;L48,J56="是"),"——",J51-L48)</f>
        <v>#N/A</v>
      </c>
      <c r="K57" s="3071" t="s">
        <v>2363</v>
      </c>
      <c r="L57" s="1892" t="e">
        <f ca="1">IF(L48&lt;J51,"——",IF(L55="比较法",L49,IF(L55="基准地价",L50,L51)))</f>
        <v>#N/A</v>
      </c>
      <c r="O57" s="2361" t="s">
        <v>2379</v>
      </c>
      <c r="P57" s="2362" t="s">
        <v>2409</v>
      </c>
      <c r="Q57" s="2363" t="e">
        <f ca="1">C40+J29</f>
        <v>#N/A</v>
      </c>
      <c r="R57" s="2362" t="s">
        <v>2380</v>
      </c>
    </row>
    <row r="58" spans="1:18" s="2043" customFormat="1" ht="28.5" customHeight="1" thickBot="1">
      <c r="A58" s="1633" t="s">
        <v>1824</v>
      </c>
      <c r="B58" s="783" t="s">
        <v>656</v>
      </c>
      <c r="C58" s="53" t="e">
        <f ca="1">ROUND(IF(项目基本情况!B11="自然人",C47*F58,C59+C60+C61),1)</f>
        <v>#N/A</v>
      </c>
      <c r="D58" s="3185" t="s">
        <v>657</v>
      </c>
      <c r="E58" s="3186" t="s">
        <v>690</v>
      </c>
      <c r="F58" s="809" t="str">
        <f ca="1">IF(项目基本情况!B11="企业","",IF(INDIRECT("'数据-取费表'!c"&amp;$G$1)="住宅",5%,IF(F48*F49*F50/12/(1+'数据-取费表'!C42)&gt;20000,12%,7%)))</f>
        <v/>
      </c>
      <c r="I58" s="3109" t="s">
        <v>2359</v>
      </c>
      <c r="J58" s="3047" t="e">
        <f ca="1">IF(J55&lt;0.4,0.4,J55)</f>
        <v>#N/A</v>
      </c>
      <c r="K58" s="3071" t="s">
        <v>2364</v>
      </c>
      <c r="L58" s="1892" t="e">
        <f ca="1">ROUND(POWER(1+L52,L47-L48)*(POWER(1+L52,L48)-1)/(POWER(1+L52,L47)-1),4)</f>
        <v>#N/A</v>
      </c>
      <c r="O58" s="2361" t="s">
        <v>2381</v>
      </c>
      <c r="P58" s="2362" t="s">
        <v>2412</v>
      </c>
      <c r="Q58" s="2363" t="e">
        <f ca="1">L60</f>
        <v>#N/A</v>
      </c>
      <c r="R58" s="2366" t="s">
        <v>2414</v>
      </c>
    </row>
    <row r="59" spans="1:18" s="2043" customFormat="1" ht="28.5" customHeight="1" thickBot="1">
      <c r="A59" s="1632" t="s">
        <v>1831</v>
      </c>
      <c r="B59" s="783" t="s">
        <v>660</v>
      </c>
      <c r="C59" s="53" t="e">
        <f ca="1">ROUND(C47*F59/1.05,1)</f>
        <v>#N/A</v>
      </c>
      <c r="D59" s="3186" t="s">
        <v>1756</v>
      </c>
      <c r="E59" s="783" t="s">
        <v>1747</v>
      </c>
      <c r="F59" s="808">
        <f t="shared" ref="F59:F65" si="0">F32</f>
        <v>5.6000000000000001E-2</v>
      </c>
      <c r="I59" s="3109" t="s">
        <v>2360</v>
      </c>
      <c r="J59" s="3110" t="e">
        <f ca="1">IF(OR(M47="住宅",J51&lt;L48,J56="是"),"——",ROUND(C29*J58,0))</f>
        <v>#N/A</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#N/A</v>
      </c>
      <c r="O59" s="2364" t="s">
        <v>2383</v>
      </c>
      <c r="P59" s="2362" t="s">
        <v>2413</v>
      </c>
      <c r="Q59" s="2363">
        <f>IF(L55="比较法",L49,IF(L55="基准地价",L50,0))</f>
        <v>0</v>
      </c>
      <c r="R59" s="2362" t="s">
        <v>2380</v>
      </c>
    </row>
    <row r="60" spans="1:18" s="2043" customFormat="1" ht="18" customHeight="1" thickBot="1">
      <c r="A60" s="1632" t="s">
        <v>1832</v>
      </c>
      <c r="B60" s="783" t="s">
        <v>664</v>
      </c>
      <c r="C60" s="53" t="e">
        <f ca="1">IF(D60="按租金收入计税",ROUND(C47*F60,1),IF(D60="按房产原值计税",ROUND(C56*F60*0.7,1),INDIRECT("'数据-取费表'!Aj"&amp;$G$1)))</f>
        <v>#N/A</v>
      </c>
      <c r="D60" s="3186" t="str">
        <f>D33</f>
        <v>按租金收入计税</v>
      </c>
      <c r="E60" s="783" t="s">
        <v>1747</v>
      </c>
      <c r="F60" s="808">
        <f t="shared" si="0"/>
        <v>0.12</v>
      </c>
      <c r="I60" s="3111" t="s">
        <v>2361</v>
      </c>
      <c r="J60" s="3112" t="e">
        <f ca="1">IF(OR(M47="住宅",J51&lt;L48,J56="是"),"0",ROUND(J59/(1+J52)^J53,0))</f>
        <v>#N/A</v>
      </c>
      <c r="K60" s="3113" t="s">
        <v>2366</v>
      </c>
      <c r="L60" s="3112" t="e">
        <f ca="1">IF(OR(M47="住宅",L48&lt;J51),0,ROUND(L57*(L58/L59-1),0))</f>
        <v>#N/A</v>
      </c>
      <c r="O60" s="2364" t="s">
        <v>2384</v>
      </c>
      <c r="P60" s="2362" t="s">
        <v>2393</v>
      </c>
      <c r="Q60" s="2365">
        <f>L52</f>
        <v>0</v>
      </c>
      <c r="R60" s="2366"/>
    </row>
    <row r="61" spans="1:18" s="2043" customFormat="1" ht="18" customHeight="1" thickBot="1">
      <c r="A61" s="1635" t="s">
        <v>1833</v>
      </c>
      <c r="B61" s="340" t="s">
        <v>668</v>
      </c>
      <c r="C61" s="54" t="e">
        <f ca="1">ROUND(F61*F62/10000,1)</f>
        <v>#N/A</v>
      </c>
      <c r="D61" s="813" t="s">
        <v>669</v>
      </c>
      <c r="E61" s="783" t="s">
        <v>670</v>
      </c>
      <c r="F61" s="639">
        <f t="shared" si="0"/>
        <v>1.5</v>
      </c>
      <c r="K61" s="2070"/>
      <c r="O61" s="2364" t="s">
        <v>2386</v>
      </c>
      <c r="P61" s="2362" t="s">
        <v>2394</v>
      </c>
      <c r="Q61" s="2363" t="e">
        <f ca="1">L58</f>
        <v>#N/A</v>
      </c>
      <c r="R61" s="2366" t="s">
        <v>2395</v>
      </c>
    </row>
    <row r="62" spans="1:18" s="2043" customFormat="1" ht="15.75" thickBot="1">
      <c r="A62" s="814"/>
      <c r="B62" s="792"/>
      <c r="C62" s="69"/>
      <c r="D62" s="815"/>
      <c r="E62" s="783" t="s">
        <v>674</v>
      </c>
      <c r="F62" s="784" t="e">
        <f t="shared" ca="1" si="0"/>
        <v>#N/A</v>
      </c>
      <c r="I62" s="3114" t="s">
        <v>2367</v>
      </c>
      <c r="J62" s="3115" t="s">
        <v>2368</v>
      </c>
      <c r="K62" s="3115" t="s">
        <v>2369</v>
      </c>
      <c r="L62" s="3115" t="s">
        <v>2350</v>
      </c>
      <c r="M62" s="3116" t="s">
        <v>2940</v>
      </c>
      <c r="O62" s="2364" t="s">
        <v>2388</v>
      </c>
      <c r="P62" s="2362" t="str">
        <f>K59</f>
        <v>建设期及建筑物耐用年限下的土地年期修正系数Kn</v>
      </c>
      <c r="Q62" s="2363" t="e">
        <f ca="1">L59</f>
        <v>#N/A</v>
      </c>
      <c r="R62" s="2366" t="s">
        <v>2397</v>
      </c>
    </row>
    <row r="63" spans="1:18" s="2043" customFormat="1" ht="15.75" thickBot="1">
      <c r="A63" s="1633" t="s">
        <v>1889</v>
      </c>
      <c r="B63" s="783" t="s">
        <v>676</v>
      </c>
      <c r="C63" s="53" t="e">
        <f ca="1">ROUND(C56*F63,1)</f>
        <v>#N/A</v>
      </c>
      <c r="D63" s="3186" t="s">
        <v>1803</v>
      </c>
      <c r="E63" s="783" t="s">
        <v>1747</v>
      </c>
      <c r="F63" s="816" t="e">
        <f t="shared" ca="1" si="0"/>
        <v>#N/A</v>
      </c>
      <c r="I63" s="3114" t="s">
        <v>2370</v>
      </c>
      <c r="J63" s="3115">
        <v>70</v>
      </c>
      <c r="K63" s="3115">
        <v>50</v>
      </c>
      <c r="L63" s="3115">
        <v>80</v>
      </c>
      <c r="M63" s="3117">
        <v>0.02</v>
      </c>
      <c r="O63" s="2361" t="s">
        <v>2391</v>
      </c>
      <c r="P63" s="2362" t="s">
        <v>2408</v>
      </c>
      <c r="Q63" s="2363" t="e">
        <f ca="1">Q57+Q58</f>
        <v>#N/A</v>
      </c>
      <c r="R63" s="2366" t="s">
        <v>2392</v>
      </c>
    </row>
    <row r="64" spans="1:18" s="2043" customFormat="1" ht="16.5" thickBot="1">
      <c r="A64" s="1633" t="s">
        <v>1890</v>
      </c>
      <c r="B64" s="783" t="s">
        <v>679</v>
      </c>
      <c r="C64" s="53" t="e">
        <f ca="1">ROUND(C55*F64,1)</f>
        <v>#N/A</v>
      </c>
      <c r="D64" s="3186" t="s">
        <v>680</v>
      </c>
      <c r="E64" s="783" t="s">
        <v>1747</v>
      </c>
      <c r="F64" s="817" t="e">
        <f t="shared" ca="1" si="0"/>
        <v>#N/A</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t="e">
        <f ca="1">ROUND(C47*F65,1)</f>
        <v>#N/A</v>
      </c>
      <c r="D65" s="3186" t="s">
        <v>683</v>
      </c>
      <c r="E65" s="783" t="s">
        <v>1747</v>
      </c>
      <c r="F65" s="793" t="e">
        <f t="shared" ca="1" si="0"/>
        <v>#N/A</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t="e">
        <f ca="1">C47-C57</f>
        <v>#N/A</v>
      </c>
      <c r="D66" s="3185" t="s">
        <v>700</v>
      </c>
      <c r="E66" s="3183"/>
      <c r="F66" s="819"/>
      <c r="K66" s="2070"/>
      <c r="O66" s="2361" t="s">
        <v>2379</v>
      </c>
      <c r="P66" s="2362" t="s">
        <v>2409</v>
      </c>
      <c r="Q66" s="2363" t="e">
        <f ca="1">C40+J29</f>
        <v>#N/A</v>
      </c>
      <c r="R66" s="2362" t="s">
        <v>2380</v>
      </c>
    </row>
    <row r="67" spans="1:18" s="2043" customFormat="1" ht="20.25" thickBot="1">
      <c r="A67" s="780" t="s">
        <v>1780</v>
      </c>
      <c r="B67" s="2216" t="s">
        <v>2301</v>
      </c>
      <c r="C67" s="782" t="e">
        <f ca="1">ROUND(C66*(1-((1+F69)/(1+F67))^F68)/(F67-F69),0)</f>
        <v>#N/A</v>
      </c>
      <c r="D67" s="813" t="s">
        <v>704</v>
      </c>
      <c r="E67" s="783" t="s">
        <v>705</v>
      </c>
      <c r="F67" s="793" t="e">
        <f ca="1">F40</f>
        <v>#N/A</v>
      </c>
      <c r="K67" s="2070"/>
      <c r="O67" s="2361" t="s">
        <v>2381</v>
      </c>
      <c r="P67" s="2362" t="s">
        <v>2412</v>
      </c>
      <c r="Q67" s="2363" t="e">
        <f ca="1">L60</f>
        <v>#N/A</v>
      </c>
      <c r="R67" s="2366" t="s">
        <v>2414</v>
      </c>
    </row>
    <row r="68" spans="1:18" ht="21.75" thickBot="1">
      <c r="A68" s="785"/>
      <c r="B68" s="786"/>
      <c r="C68" s="787"/>
      <c r="D68" s="820" t="s">
        <v>1808</v>
      </c>
      <c r="E68" s="783" t="s">
        <v>1784</v>
      </c>
      <c r="F68" s="821" t="e">
        <f ca="1">F41</f>
        <v>#N/A</v>
      </c>
      <c r="O68" s="2364" t="s">
        <v>2383</v>
      </c>
      <c r="P68" s="2362" t="s">
        <v>2413</v>
      </c>
      <c r="Q68" s="2368" t="e">
        <f ca="1">L51</f>
        <v>#N/A</v>
      </c>
      <c r="R68" s="2369" t="s">
        <v>2416</v>
      </c>
    </row>
    <row r="69" spans="1:18" ht="20.25" thickBot="1">
      <c r="A69" s="789"/>
      <c r="B69" s="790"/>
      <c r="C69" s="791"/>
      <c r="D69" s="815"/>
      <c r="E69" s="783" t="s">
        <v>710</v>
      </c>
      <c r="F69" s="2334"/>
      <c r="O69" s="2364" t="s">
        <v>2384</v>
      </c>
      <c r="P69" s="2370" t="s">
        <v>2398</v>
      </c>
      <c r="Q69" s="2363" t="e">
        <f ca="1">ROUND(Q70-Q71*Q72,0)</f>
        <v>#N/A</v>
      </c>
      <c r="R69" s="2366"/>
    </row>
    <row r="70" spans="1:18" ht="15.75" thickBot="1">
      <c r="A70" s="822" t="s">
        <v>1787</v>
      </c>
      <c r="B70" s="823" t="s">
        <v>1810</v>
      </c>
      <c r="C70" s="824" t="e">
        <f ca="1">ROUND(C67*10000/F70,0)</f>
        <v>#N/A</v>
      </c>
      <c r="D70" s="825" t="s">
        <v>1811</v>
      </c>
      <c r="E70" s="826" t="s">
        <v>1812</v>
      </c>
      <c r="F70" s="827" t="e">
        <f ca="1">F43</f>
        <v>#N/A</v>
      </c>
      <c r="O70" s="2364" t="s">
        <v>2399</v>
      </c>
      <c r="P70" s="2370" t="s">
        <v>2400</v>
      </c>
      <c r="Q70" s="2363" t="e">
        <f ca="1">C39</f>
        <v>#N/A</v>
      </c>
      <c r="R70" s="2362" t="s">
        <v>2380</v>
      </c>
    </row>
    <row r="71" spans="1:18" ht="15.75" thickBot="1">
      <c r="O71" s="2364" t="s">
        <v>2401</v>
      </c>
      <c r="P71" s="2370" t="s">
        <v>2402</v>
      </c>
      <c r="Q71" s="2363" t="e">
        <f ca="1">C13</f>
        <v>#N/A</v>
      </c>
      <c r="R71" s="2362" t="s">
        <v>2380</v>
      </c>
    </row>
    <row r="72" spans="1:18" ht="15.75" thickBot="1">
      <c r="O72" s="2364" t="s">
        <v>2403</v>
      </c>
      <c r="P72" s="2370" t="s">
        <v>2404</v>
      </c>
      <c r="Q72" s="2365" t="e">
        <f ca="1">J36</f>
        <v>#N/A</v>
      </c>
      <c r="R72" s="2366"/>
    </row>
    <row r="73" spans="1:18" ht="15.75" thickBot="1">
      <c r="O73" s="2364" t="s">
        <v>2386</v>
      </c>
      <c r="P73" s="2362" t="s">
        <v>2393</v>
      </c>
      <c r="Q73" s="2365">
        <f>L52</f>
        <v>0</v>
      </c>
      <c r="R73" s="2366"/>
    </row>
    <row r="74" spans="1:18" ht="20.25" thickBot="1">
      <c r="O74" s="2364" t="s">
        <v>2388</v>
      </c>
      <c r="P74" s="2362" t="s">
        <v>2394</v>
      </c>
      <c r="Q74" s="2363" t="e">
        <f ca="1">L58</f>
        <v>#N/A</v>
      </c>
      <c r="R74" s="2366" t="s">
        <v>2395</v>
      </c>
    </row>
    <row r="75" spans="1:18" ht="15.75" thickBot="1">
      <c r="O75" s="2364" t="s">
        <v>2417</v>
      </c>
      <c r="P75" s="2362" t="str">
        <f>K59</f>
        <v>建设期及建筑物耐用年限下的土地年期修正系数Kn</v>
      </c>
      <c r="Q75" s="2363" t="e">
        <f ca="1">L59</f>
        <v>#N/A</v>
      </c>
      <c r="R75" s="2366" t="s">
        <v>2397</v>
      </c>
    </row>
    <row r="76" spans="1:18" ht="15.75" thickBot="1">
      <c r="O76" s="2361" t="s">
        <v>2391</v>
      </c>
      <c r="P76" s="2362" t="s">
        <v>2408</v>
      </c>
      <c r="Q76" s="2363" t="e">
        <f ca="1">Q66+Q67</f>
        <v>#N/A</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H102" sqref="H10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35</v>
      </c>
      <c r="D1" s="3070" t="s">
        <v>3110</v>
      </c>
      <c r="E1" s="2350" t="s">
        <v>2374</v>
      </c>
      <c r="F1" s="2351">
        <f ca="1">J53</f>
        <v>37.32</v>
      </c>
      <c r="G1" s="773">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7" t="s">
        <v>1726</v>
      </c>
      <c r="B2" s="774">
        <f ca="1">C40+J29+L46</f>
        <v>16944</v>
      </c>
      <c r="C2" s="2041"/>
      <c r="D2" s="2039"/>
      <c r="E2" s="2040"/>
      <c r="F2" s="2040"/>
      <c r="G2" s="1575"/>
      <c r="H2" s="2041"/>
      <c r="I2" s="2041"/>
      <c r="J2" s="2041"/>
      <c r="K2" s="2042"/>
      <c r="L2" s="2041"/>
      <c r="M2" s="2041"/>
    </row>
    <row r="3" spans="1:33" ht="18" customHeight="1" thickBot="1">
      <c r="A3" s="832" t="s">
        <v>1727</v>
      </c>
      <c r="B3" s="833">
        <f ca="1">IF(ISERROR(B2*10000/F43),0,ROUND(B2*10000/F43,0))</f>
        <v>2231</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1073</v>
      </c>
      <c r="D5" s="2459" t="s">
        <v>2461</v>
      </c>
      <c r="E5" s="2453"/>
      <c r="F5" s="2454"/>
      <c r="G5" s="1577"/>
      <c r="H5" s="780">
        <v>1</v>
      </c>
      <c r="I5" s="781" t="s">
        <v>2458</v>
      </c>
      <c r="J5" s="55">
        <f ca="1">J6+J10+J12</f>
        <v>0</v>
      </c>
      <c r="K5" s="2459" t="s">
        <v>2461</v>
      </c>
      <c r="L5" s="2453"/>
      <c r="M5" s="2454"/>
    </row>
    <row r="6" spans="1:33" ht="18" customHeight="1">
      <c r="A6" s="1814" t="s">
        <v>1824</v>
      </c>
      <c r="B6" s="3467" t="s">
        <v>2463</v>
      </c>
      <c r="C6" s="782">
        <f ca="1">ROUND(F6*F8*F7*(1-F9)/10000,0)</f>
        <v>1073</v>
      </c>
      <c r="D6" s="2460" t="s">
        <v>2462</v>
      </c>
      <c r="E6" s="783" t="s">
        <v>1738</v>
      </c>
      <c r="F6" s="784">
        <f ca="1">INDIRECT("'数据-取费表'!u"&amp;$G$1)</f>
        <v>600</v>
      </c>
      <c r="G6" s="1577"/>
      <c r="H6" s="2467" t="s">
        <v>2468</v>
      </c>
      <c r="I6" s="3467" t="s">
        <v>2463</v>
      </c>
      <c r="J6" s="782">
        <f ca="1">ROUND(M6*M8*M7*(1-M9)/10000,0)</f>
        <v>0</v>
      </c>
      <c r="K6" s="340" t="s">
        <v>1737</v>
      </c>
      <c r="L6" s="783" t="s">
        <v>1738</v>
      </c>
      <c r="M6" s="784">
        <f ca="1">INDIRECT("'数据-取费表'!z"&amp;$G$1)</f>
        <v>0</v>
      </c>
    </row>
    <row r="7" spans="1:33" ht="18" customHeight="1">
      <c r="A7" s="2463"/>
      <c r="B7" s="3468"/>
      <c r="C7" s="787"/>
      <c r="D7" s="788"/>
      <c r="E7" s="783" t="s">
        <v>1739</v>
      </c>
      <c r="F7" s="784">
        <f ca="1">IF(INDIRECT("'数据-取费表'!ah"&amp;$G$1)="",INDIRECT("'数据-取费表'!k"&amp;$G$1),INDIRECT("'数据-取费表'!ah"&amp;$G$1))</f>
        <v>1753</v>
      </c>
      <c r="G7" s="1577"/>
      <c r="H7" s="2452"/>
      <c r="I7" s="3468"/>
      <c r="J7" s="787"/>
      <c r="K7" s="788"/>
      <c r="L7" s="783" t="s">
        <v>1739</v>
      </c>
      <c r="M7" s="784">
        <f ca="1">F7</f>
        <v>1753</v>
      </c>
    </row>
    <row r="8" spans="1:33" ht="18" customHeight="1">
      <c r="A8" s="2456"/>
      <c r="B8" s="3469"/>
      <c r="C8" s="787"/>
      <c r="D8" s="788"/>
      <c r="E8" s="783" t="s">
        <v>1740</v>
      </c>
      <c r="F8" s="784">
        <f ca="1">INDIRECT("'数据-取费表'!ai"&amp;$G$1)</f>
        <v>12</v>
      </c>
      <c r="G8" s="1577"/>
      <c r="H8" s="2452"/>
      <c r="I8" s="3469"/>
      <c r="J8" s="787"/>
      <c r="K8" s="788"/>
      <c r="L8" s="783" t="s">
        <v>1740</v>
      </c>
      <c r="M8" s="784">
        <f ca="1">INDIRECT("'数据-取费表'!ai"&amp;$G$1)</f>
        <v>12</v>
      </c>
    </row>
    <row r="9" spans="1:33" ht="18" customHeight="1">
      <c r="A9" s="785"/>
      <c r="B9" s="3470"/>
      <c r="C9" s="787"/>
      <c r="D9" s="788"/>
      <c r="E9" s="783" t="s">
        <v>640</v>
      </c>
      <c r="F9" s="793">
        <f ca="1">INDIRECT("'数据-取费表'!w"&amp;$G$1)</f>
        <v>0.15</v>
      </c>
      <c r="G9" s="1577"/>
      <c r="H9" s="2468"/>
      <c r="I9" s="3469"/>
      <c r="J9" s="787"/>
      <c r="K9" s="788"/>
      <c r="L9" s="794" t="s">
        <v>640</v>
      </c>
      <c r="M9" s="795">
        <f ca="1">INDIRECT("'数据-取费表'!ab"&amp;$G$1)</f>
        <v>0</v>
      </c>
    </row>
    <row r="10" spans="1:33" ht="18" customHeight="1">
      <c r="A10" s="1814" t="s">
        <v>2466</v>
      </c>
      <c r="B10" s="2457" t="s">
        <v>2459</v>
      </c>
      <c r="C10" s="798">
        <f ca="1">ROUND(IF(F10="押一",C6/12*F11,IF(F10="押二",C6/12*2*F11,IF(F10="押三",C6/12*3*F11,C11*F11))),0)</f>
        <v>0</v>
      </c>
      <c r="D10" s="2464" t="s">
        <v>2971</v>
      </c>
      <c r="E10" s="2461" t="s">
        <v>2464</v>
      </c>
      <c r="F10" s="2584"/>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f ca="1">ROUND(C29*F13,0)</f>
        <v>0</v>
      </c>
      <c r="D13" s="1818" t="s">
        <v>2297</v>
      </c>
      <c r="E13" s="1818" t="s">
        <v>1744</v>
      </c>
      <c r="F13" s="2499">
        <f ca="1">INDIRECT("'数据-取费表'!y"&amp;$G$1)</f>
        <v>0</v>
      </c>
      <c r="G13" s="1577"/>
      <c r="H13" s="1813">
        <v>2</v>
      </c>
      <c r="I13" s="1811" t="s">
        <v>644</v>
      </c>
      <c r="J13" s="1803">
        <f ca="1">ROUND(J14*J15,0)</f>
        <v>0</v>
      </c>
      <c r="K13" s="1805" t="s">
        <v>1743</v>
      </c>
      <c r="L13" s="2515"/>
      <c r="M13" s="2516"/>
    </row>
    <row r="14" spans="1:33" ht="18" customHeight="1">
      <c r="A14" s="1632" t="s">
        <v>1884</v>
      </c>
      <c r="B14" s="783" t="s">
        <v>645</v>
      </c>
      <c r="C14" s="803">
        <f ca="1">INDIRECT("'数据-取费表'!m"&amp;$G$1)+INDIRECT("'数据-取费表'!t"&amp;$G$1)</f>
        <v>16902</v>
      </c>
      <c r="D14" s="3185" t="s">
        <v>1745</v>
      </c>
      <c r="E14" s="3184"/>
      <c r="F14" s="804"/>
      <c r="G14" s="1577"/>
      <c r="H14" s="1633" t="s">
        <v>1830</v>
      </c>
      <c r="I14" s="2215" t="s">
        <v>2826</v>
      </c>
      <c r="J14" s="53">
        <f ca="1">C29</f>
        <v>22259</v>
      </c>
      <c r="K14" s="26"/>
      <c r="L14" s="800"/>
      <c r="M14" s="801"/>
    </row>
    <row r="15" spans="1:33" s="2048" customFormat="1" ht="18" customHeight="1" thickBot="1">
      <c r="A15" s="1632" t="s">
        <v>1885</v>
      </c>
      <c r="B15" s="783" t="s">
        <v>647</v>
      </c>
      <c r="C15" s="53">
        <f ca="1">ROUND(C14*F15,0)</f>
        <v>507</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1746</v>
      </c>
      <c r="E16" s="783" t="s">
        <v>1747</v>
      </c>
      <c r="F16" s="808">
        <f ca="1">IF(INDIRECT("'数据-取费表'!c"&amp;$G$1)="住宅",'数据-取费表'!B34,0)</f>
        <v>0</v>
      </c>
      <c r="G16" s="1577"/>
      <c r="H16" s="1813" t="s">
        <v>1748</v>
      </c>
      <c r="I16" s="1811" t="s">
        <v>651</v>
      </c>
      <c r="J16" s="791">
        <f ca="1">ROUND(J17+J22+J23+J24,0)</f>
        <v>1983</v>
      </c>
      <c r="K16" s="1805" t="s">
        <v>1750</v>
      </c>
      <c r="L16" s="3187"/>
      <c r="M16" s="2454"/>
    </row>
    <row r="17" spans="1:33" s="2048" customFormat="1" ht="18" customHeight="1">
      <c r="A17" s="1632" t="s">
        <v>1887</v>
      </c>
      <c r="B17" s="783" t="s">
        <v>653</v>
      </c>
      <c r="C17" s="53">
        <f ca="1">ROUND(F17*(F43+INDIRECT("'数据-取费表'!S"&amp;$G$1))/10000,0)</f>
        <v>1152</v>
      </c>
      <c r="D17" s="783" t="s">
        <v>1751</v>
      </c>
      <c r="E17" s="783" t="s">
        <v>1752</v>
      </c>
      <c r="F17" s="56">
        <f>'数据-取费表'!B35</f>
        <v>150</v>
      </c>
      <c r="G17" s="1578"/>
      <c r="H17" s="1633" t="s">
        <v>1830</v>
      </c>
      <c r="I17" s="783" t="s">
        <v>656</v>
      </c>
      <c r="J17" s="53">
        <f ca="1">ROUND(IF(项目基本情况!B11="自然人",J6*M17/(1+'数据-取费表'!C42),J18+J19+J20),0)</f>
        <v>1872</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254</v>
      </c>
      <c r="D18" s="783" t="s">
        <v>1746</v>
      </c>
      <c r="E18" s="783" t="s">
        <v>1747</v>
      </c>
      <c r="F18" s="808">
        <f>'数据-取费表'!B36</f>
        <v>1.4999999999999999E-2</v>
      </c>
      <c r="G18" s="1578"/>
      <c r="H18" s="1632" t="s">
        <v>1884</v>
      </c>
      <c r="I18" s="783" t="s">
        <v>1755</v>
      </c>
      <c r="J18" s="53">
        <f ca="1">ROUND(J6*M18/(1+'数据-取费表'!C42),1)</f>
        <v>0</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18815</v>
      </c>
      <c r="D19" s="260" t="s">
        <v>1757</v>
      </c>
      <c r="E19" s="3188"/>
      <c r="F19" s="56"/>
      <c r="G19" s="1577"/>
      <c r="H19" s="1632" t="s">
        <v>1885</v>
      </c>
      <c r="I19" s="783" t="s">
        <v>664</v>
      </c>
      <c r="J19" s="53">
        <f ca="1">IF(K19="按租金收入计税",ROUND(J6*M19/(1+'数据-取费表'!C42),1),ROUND(C29*F33*0.7,1))</f>
        <v>1869.8</v>
      </c>
      <c r="K19" s="810" t="s">
        <v>665</v>
      </c>
      <c r="L19" s="783" t="s">
        <v>1747</v>
      </c>
      <c r="M19" s="808">
        <f>IF(K19="按租金收入计税",'数据-取费表'!B51,'数据-取费表'!B50)</f>
        <v>1.2E-2</v>
      </c>
    </row>
    <row r="20" spans="1:33" s="2048" customFormat="1" ht="18" customHeight="1">
      <c r="A20" s="1633" t="s">
        <v>1889</v>
      </c>
      <c r="B20" s="783" t="s">
        <v>666</v>
      </c>
      <c r="C20" s="53">
        <f ca="1">ROUND(C19*F20,0)</f>
        <v>188</v>
      </c>
      <c r="D20" s="811" t="s">
        <v>1759</v>
      </c>
      <c r="E20" s="783" t="s">
        <v>1747</v>
      </c>
      <c r="F20" s="808">
        <f>'数据-取费表'!B37</f>
        <v>0.01</v>
      </c>
      <c r="G20" s="1578"/>
      <c r="H20" s="1635" t="s">
        <v>1880</v>
      </c>
      <c r="I20" s="340" t="s">
        <v>668</v>
      </c>
      <c r="J20" s="54">
        <f ca="1">ROUND(M20*M21/10000,0)</f>
        <v>2</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14952.19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f ca="1">ROUND(J14*M22,0)</f>
        <v>111</v>
      </c>
      <c r="K22" s="3186" t="s">
        <v>677</v>
      </c>
      <c r="L22" s="783" t="s">
        <v>1747</v>
      </c>
      <c r="M22" s="816">
        <f ca="1">INDIRECT("'数据-取费表'!Ak"&amp;$G$1)</f>
        <v>5.0000000000000001E-3</v>
      </c>
    </row>
    <row r="23" spans="1:33" s="2048" customFormat="1" ht="18" customHeight="1">
      <c r="A23" s="1632" t="s">
        <v>1831</v>
      </c>
      <c r="B23" s="783" t="s">
        <v>2535</v>
      </c>
      <c r="C23" s="53">
        <f ca="1">ROUND(IF('数据-取费表'!B22&lt;=1,(C19+C20)*F24*F23/2,(C19+C20)*(POWER((1+F24),F23/2)-1)),0)</f>
        <v>1135</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3186"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f ca="1">J5-J16</f>
        <v>-1983</v>
      </c>
      <c r="K25" s="2511" t="s">
        <v>1777</v>
      </c>
      <c r="L25" s="2512"/>
      <c r="M25" s="2513"/>
    </row>
    <row r="26" spans="1:33" ht="18" customHeight="1">
      <c r="A26" s="1632" t="s">
        <v>1831</v>
      </c>
      <c r="B26" s="783" t="s">
        <v>2438</v>
      </c>
      <c r="C26" s="53">
        <f ca="1">ROUND((C19+C20)*F26,0)</f>
        <v>570</v>
      </c>
      <c r="D26" s="811" t="s">
        <v>1778</v>
      </c>
      <c r="E26" s="794" t="s">
        <v>1779</v>
      </c>
      <c r="F26" s="793">
        <f ca="1">INDIRECT("'数据-取费表'!q"&amp;$G$1)</f>
        <v>0.03</v>
      </c>
      <c r="G26" s="1577"/>
      <c r="H26" s="2465" t="s">
        <v>1780</v>
      </c>
      <c r="I26" s="2216" t="s">
        <v>2827</v>
      </c>
      <c r="J26" s="782">
        <f ca="1">IF(J5&lt;&gt;0,ROUND(J25*(1-((1+M28)/(1+M26))^M27)/(M26-M28),0),0)</f>
        <v>0</v>
      </c>
      <c r="K26" s="813" t="s">
        <v>1781</v>
      </c>
      <c r="L26" s="783" t="s">
        <v>2419</v>
      </c>
      <c r="M26" s="793">
        <f ca="1">INDIRECT("'数据-取费表'!I"&amp;$G$1)</f>
        <v>0.05</v>
      </c>
    </row>
    <row r="27" spans="1:33" ht="18" customHeight="1">
      <c r="A27" s="1632" t="s">
        <v>1832</v>
      </c>
      <c r="B27" s="783" t="s">
        <v>686</v>
      </c>
      <c r="C27" s="53">
        <f ca="1">ROUND(F21*F26,4)</f>
        <v>5.0000000000000001E-4</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22259</v>
      </c>
      <c r="D29" s="2508"/>
      <c r="E29" s="2509"/>
      <c r="F29" s="2510"/>
      <c r="G29" s="1578"/>
      <c r="H29" s="822" t="s">
        <v>1787</v>
      </c>
      <c r="I29" s="823" t="s">
        <v>1788</v>
      </c>
      <c r="J29" s="824">
        <f ca="1">ROUND(J26/(1+F40)^F41,0)</f>
        <v>0</v>
      </c>
      <c r="K29" s="825" t="s">
        <v>1789</v>
      </c>
      <c r="L29" s="826"/>
      <c r="M29" s="827">
        <f ca="1">INDIRECT("'数据-取费表'!k"&amp;$G$1)</f>
        <v>75962.399999999994</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304</v>
      </c>
      <c r="D30" s="1805" t="s">
        <v>1791</v>
      </c>
      <c r="E30" s="3187"/>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182</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f ca="1">ROUND(C6*F32/(1+'数据-取费表'!C42),1)</f>
        <v>57.2</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122.6</v>
      </c>
      <c r="D33" s="810" t="s">
        <v>3051</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2.2000000000000002</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14952.19</v>
      </c>
      <c r="G35" s="2046"/>
      <c r="H35" s="2049"/>
      <c r="I35" s="836" t="s">
        <v>1814</v>
      </c>
      <c r="J35" s="837">
        <f ca="1">ROUND(C13*J36,0)</f>
        <v>0</v>
      </c>
      <c r="K35" s="2062"/>
      <c r="L35" s="2061"/>
      <c r="M35" s="2061"/>
    </row>
    <row r="36" spans="1:18" ht="18" customHeight="1">
      <c r="A36" s="1633" t="s">
        <v>1889</v>
      </c>
      <c r="B36" s="783" t="s">
        <v>1802</v>
      </c>
      <c r="C36" s="53">
        <f ca="1">ROUND(C29*F36,1)</f>
        <v>111.3</v>
      </c>
      <c r="D36" s="3186" t="s">
        <v>1803</v>
      </c>
      <c r="E36" s="783" t="s">
        <v>649</v>
      </c>
      <c r="F36" s="816">
        <f ca="1">INDIRECT("'数据-取费表'!Ak"&amp;$G$1)</f>
        <v>5.0000000000000001E-3</v>
      </c>
      <c r="G36" s="2046"/>
      <c r="H36" s="2061"/>
      <c r="I36" s="838" t="s">
        <v>1815</v>
      </c>
      <c r="J36" s="839">
        <f ca="1">INDIRECT("'数据-取费表'!j"&amp;$G$1)</f>
        <v>0</v>
      </c>
      <c r="K36" s="2066"/>
      <c r="L36" s="2061"/>
      <c r="M36" s="2061"/>
    </row>
    <row r="37" spans="1:18" ht="18" customHeight="1">
      <c r="A37" s="1633" t="s">
        <v>1890</v>
      </c>
      <c r="B37" s="783" t="s">
        <v>679</v>
      </c>
      <c r="C37" s="53">
        <f ca="1">ROUND(C13*F37,1)</f>
        <v>0</v>
      </c>
      <c r="D37" s="3186" t="s">
        <v>1771</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10.7</v>
      </c>
      <c r="D38" s="2508" t="s">
        <v>1805</v>
      </c>
      <c r="E38" s="2509" t="s">
        <v>649</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769</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16944</v>
      </c>
      <c r="D40" s="813" t="s">
        <v>1807</v>
      </c>
      <c r="E40" s="783" t="s">
        <v>2419</v>
      </c>
      <c r="F40" s="793">
        <f ca="1">INDIRECT("'数据-取费表'!I"&amp;$G$1)</f>
        <v>0.05</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37.32</v>
      </c>
      <c r="G41" s="2046"/>
      <c r="H41" s="1972"/>
      <c r="I41" s="842" t="s">
        <v>1820</v>
      </c>
      <c r="J41" s="845"/>
      <c r="K41" s="2066"/>
      <c r="L41" s="1972"/>
      <c r="M41" s="1972"/>
    </row>
    <row r="42" spans="1:18" ht="18" customHeight="1">
      <c r="A42" s="789"/>
      <c r="B42" s="790"/>
      <c r="C42" s="791"/>
      <c r="D42" s="815"/>
      <c r="E42" s="783" t="s">
        <v>710</v>
      </c>
      <c r="F42" s="793">
        <f ca="1">INDIRECT("'数据-取费表'!v"&amp;$G$1)</f>
        <v>0.02</v>
      </c>
      <c r="G42" s="2046"/>
      <c r="H42" s="1972"/>
      <c r="I42" s="846" t="s">
        <v>1821</v>
      </c>
      <c r="J42" s="844">
        <f ca="1">ROUND(C13/C40,3)</f>
        <v>0</v>
      </c>
      <c r="K42" s="2066"/>
      <c r="L42" s="1972"/>
      <c r="M42" s="1972"/>
    </row>
    <row r="43" spans="1:18" ht="18" customHeight="1" thickBot="1">
      <c r="A43" s="822" t="s">
        <v>1787</v>
      </c>
      <c r="B43" s="823" t="s">
        <v>1810</v>
      </c>
      <c r="C43" s="824">
        <f ca="1">ROUND(C40*10000/F43,0)</f>
        <v>2231</v>
      </c>
      <c r="D43" s="825" t="s">
        <v>1811</v>
      </c>
      <c r="E43" s="826" t="s">
        <v>1812</v>
      </c>
      <c r="F43" s="827">
        <f ca="1">INDIRECT("'数据-取费表'!k"&amp;$G$1)</f>
        <v>75962.399999999994</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-18855</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3052</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39.82</v>
      </c>
      <c r="O48" s="2361" t="s">
        <v>2379</v>
      </c>
      <c r="P48" s="2362" t="s">
        <v>2405</v>
      </c>
      <c r="Q48" s="2363">
        <f ca="1">C40+J29</f>
        <v>16944</v>
      </c>
      <c r="R48" s="2362" t="s">
        <v>2380</v>
      </c>
    </row>
    <row r="49" spans="1:18" s="2043" customFormat="1" ht="18" customHeight="1" thickBot="1">
      <c r="A49" s="785"/>
      <c r="B49" s="786"/>
      <c r="C49" s="787"/>
      <c r="D49" s="788"/>
      <c r="E49" s="783" t="s">
        <v>1739</v>
      </c>
      <c r="F49" s="784">
        <f ca="1">F7</f>
        <v>1753</v>
      </c>
      <c r="G49" s="2074"/>
      <c r="H49" s="2077"/>
      <c r="I49" s="3071" t="s">
        <v>2346</v>
      </c>
      <c r="J49" s="2346">
        <v>2019</v>
      </c>
      <c r="K49" s="3100"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12</v>
      </c>
      <c r="G50" s="2079"/>
      <c r="H50" s="2077"/>
      <c r="I50" s="3071" t="s">
        <v>2347</v>
      </c>
      <c r="J50" s="3096">
        <f>SUMPRODUCT((I63:I65=J47)*(J62:L62=J48)*(J63:L65))</f>
        <v>60</v>
      </c>
      <c r="K50" s="3100" t="s">
        <v>2353</v>
      </c>
      <c r="L50" s="2347"/>
      <c r="O50" s="2364" t="s">
        <v>2383</v>
      </c>
      <c r="P50" s="2362" t="s">
        <v>2407</v>
      </c>
      <c r="Q50" s="2363">
        <f ca="1">C29</f>
        <v>22259</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14127</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37.32</v>
      </c>
      <c r="K53" s="3478" t="s">
        <v>2963</v>
      </c>
      <c r="L53" s="3479"/>
      <c r="O53" s="2364" t="s">
        <v>2388</v>
      </c>
      <c r="P53" s="2362" t="s">
        <v>2389</v>
      </c>
      <c r="Q53" s="2363">
        <f ca="1">J53</f>
        <v>37.32</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16944</v>
      </c>
      <c r="R54" s="2366" t="s">
        <v>2392</v>
      </c>
    </row>
    <row r="55" spans="1:18" s="2043" customFormat="1" ht="18" customHeight="1" thickTop="1" thickBot="1">
      <c r="A55" s="796">
        <v>2</v>
      </c>
      <c r="B55" s="797" t="s">
        <v>644</v>
      </c>
      <c r="C55" s="798">
        <f ca="1">C13</f>
        <v>0</v>
      </c>
      <c r="D55" s="794"/>
      <c r="E55" s="794"/>
      <c r="F55" s="799"/>
      <c r="I55" s="3106" t="s">
        <v>2355</v>
      </c>
      <c r="J55" s="3046" t="e">
        <f ca="1">ROUND(IF(J47="钢混",J57/J50,1-(1-2%)*(J50-J57)/J50),3)</f>
        <v>#VALUE!</v>
      </c>
      <c r="K55" s="3107" t="s">
        <v>2356</v>
      </c>
      <c r="L55" s="2349"/>
      <c r="O55" s="2367" t="s">
        <v>2411</v>
      </c>
      <c r="P55" s="1577"/>
      <c r="Q55" s="1588"/>
      <c r="R55" s="1577"/>
    </row>
    <row r="56" spans="1:18" s="2043" customFormat="1" ht="42.75" customHeight="1" thickBot="1">
      <c r="A56" s="1634"/>
      <c r="B56" s="2215" t="s">
        <v>2302</v>
      </c>
      <c r="C56" s="53">
        <f ca="1">C29</f>
        <v>22259</v>
      </c>
      <c r="D56" s="3186"/>
      <c r="E56" s="783"/>
      <c r="F56" s="808"/>
      <c r="I56" s="3108" t="s">
        <v>2357</v>
      </c>
      <c r="J56" s="3118" t="s">
        <v>1678</v>
      </c>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114</v>
      </c>
      <c r="D57" s="26" t="s">
        <v>1750</v>
      </c>
      <c r="E57" s="3188"/>
      <c r="F57" s="56"/>
      <c r="I57" s="3109" t="s">
        <v>2358</v>
      </c>
      <c r="J57" s="3110" t="str">
        <f ca="1">IF(OR(M47="住宅",J51&lt;L48,J56="是"),"——",J51-L48)</f>
        <v>——</v>
      </c>
      <c r="K57" s="3071" t="s">
        <v>2363</v>
      </c>
      <c r="L57" s="1892" t="str">
        <f ca="1">IF(L48&lt;J51,"——",IF(L55="比较法",L49,IF(L55="基准地价",L50,L51)))</f>
        <v>——</v>
      </c>
      <c r="O57" s="2361" t="s">
        <v>2379</v>
      </c>
      <c r="P57" s="2362" t="s">
        <v>2409</v>
      </c>
      <c r="Q57" s="2363">
        <f ca="1">C40+J29</f>
        <v>16944</v>
      </c>
      <c r="R57" s="2362" t="s">
        <v>2380</v>
      </c>
    </row>
    <row r="58" spans="1:18" s="2043" customFormat="1" ht="28.5" customHeight="1" thickBot="1">
      <c r="A58" s="1633" t="s">
        <v>1824</v>
      </c>
      <c r="B58" s="783" t="s">
        <v>656</v>
      </c>
      <c r="C58" s="53">
        <f ca="1">ROUND(IF(项目基本情况!B11="自然人",C47*F58,C59+C60+C61),1)</f>
        <v>2.2000000000000002</v>
      </c>
      <c r="D58" s="3185" t="s">
        <v>657</v>
      </c>
      <c r="E58" s="3186" t="s">
        <v>690</v>
      </c>
      <c r="F58" s="809" t="str">
        <f ca="1">IF(项目基本情况!B11="企业","",IF(INDIRECT("'数据-取费表'!c"&amp;$G$1)="住宅",5%,IF(F48*F49*F50/12/(1+'数据-取费表'!C42)&gt;20000,12%,7%)))</f>
        <v/>
      </c>
      <c r="I58" s="3109" t="s">
        <v>2359</v>
      </c>
      <c r="J58" s="3047" t="e">
        <f ca="1">IF(J55&lt;0.4,0.4,J55)</f>
        <v>#VALUE!</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86" t="s">
        <v>1756</v>
      </c>
      <c r="E59" s="783" t="s">
        <v>1747</v>
      </c>
      <c r="F59" s="808">
        <f t="shared" ref="F59:F65" si="0">F32</f>
        <v>5.6000000000000001E-2</v>
      </c>
      <c r="I59" s="3109" t="s">
        <v>2360</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86" t="str">
        <f>D33</f>
        <v>按租金收入计税</v>
      </c>
      <c r="E60" s="783" t="s">
        <v>1747</v>
      </c>
      <c r="F60" s="808">
        <f t="shared" si="0"/>
        <v>0.12</v>
      </c>
      <c r="I60" s="3111" t="s">
        <v>2361</v>
      </c>
      <c r="J60" s="3112" t="str">
        <f ca="1">IF(OR(M47="住宅",J51&lt;L48,J56="是"),"0",ROUND(J59/(1+J52)^J53,0))</f>
        <v>0</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2.2000000000000002</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14952.19</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111.3</v>
      </c>
      <c r="D63" s="3186" t="s">
        <v>1803</v>
      </c>
      <c r="E63" s="783" t="s">
        <v>1747</v>
      </c>
      <c r="F63" s="816">
        <f t="shared" ca="1" si="0"/>
        <v>5.0000000000000001E-3</v>
      </c>
      <c r="I63" s="3114" t="s">
        <v>2370</v>
      </c>
      <c r="J63" s="3115">
        <v>70</v>
      </c>
      <c r="K63" s="3115">
        <v>50</v>
      </c>
      <c r="L63" s="3115">
        <v>80</v>
      </c>
      <c r="M63" s="3117">
        <v>0.02</v>
      </c>
      <c r="O63" s="2361" t="s">
        <v>2391</v>
      </c>
      <c r="P63" s="2362" t="s">
        <v>2408</v>
      </c>
      <c r="Q63" s="2363">
        <f ca="1">Q57+Q58</f>
        <v>16944</v>
      </c>
      <c r="R63" s="2366" t="s">
        <v>2392</v>
      </c>
    </row>
    <row r="64" spans="1:18" s="2043" customFormat="1" ht="16.5" thickBot="1">
      <c r="A64" s="1633" t="s">
        <v>1890</v>
      </c>
      <c r="B64" s="783" t="s">
        <v>679</v>
      </c>
      <c r="C64" s="53">
        <f ca="1">ROUND(C55*F64,1)</f>
        <v>0</v>
      </c>
      <c r="D64" s="3186"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3186"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-114</v>
      </c>
      <c r="D66" s="3185" t="s">
        <v>700</v>
      </c>
      <c r="E66" s="3183"/>
      <c r="F66" s="819"/>
      <c r="K66" s="2070"/>
      <c r="O66" s="2361" t="s">
        <v>2379</v>
      </c>
      <c r="P66" s="2362" t="s">
        <v>2409</v>
      </c>
      <c r="Q66" s="2363">
        <f ca="1">C40+J29</f>
        <v>16944</v>
      </c>
      <c r="R66" s="2362" t="s">
        <v>2380</v>
      </c>
    </row>
    <row r="67" spans="1:18" s="2043" customFormat="1" ht="20.25" thickBot="1">
      <c r="A67" s="780" t="s">
        <v>1780</v>
      </c>
      <c r="B67" s="2216" t="s">
        <v>2301</v>
      </c>
      <c r="C67" s="782">
        <f ca="1">ROUND(C66*(1-((1+F69)/(1+F67))^F68)/(F67-F69),0)</f>
        <v>-1911</v>
      </c>
      <c r="D67" s="813" t="s">
        <v>704</v>
      </c>
      <c r="E67" s="783" t="s">
        <v>705</v>
      </c>
      <c r="F67" s="793">
        <f ca="1">F40</f>
        <v>0.05</v>
      </c>
      <c r="K67" s="2070"/>
      <c r="O67" s="2361" t="s">
        <v>2381</v>
      </c>
      <c r="P67" s="2362" t="s">
        <v>2412</v>
      </c>
      <c r="Q67" s="2363">
        <f ca="1">L60</f>
        <v>0</v>
      </c>
      <c r="R67" s="2366" t="s">
        <v>2414</v>
      </c>
    </row>
    <row r="68" spans="1:18" ht="21.75" thickBot="1">
      <c r="A68" s="785"/>
      <c r="B68" s="786"/>
      <c r="C68" s="787"/>
      <c r="D68" s="820" t="s">
        <v>1808</v>
      </c>
      <c r="E68" s="783" t="s">
        <v>1784</v>
      </c>
      <c r="F68" s="821">
        <f ca="1">F41</f>
        <v>37.32</v>
      </c>
      <c r="O68" s="2364" t="s">
        <v>2383</v>
      </c>
      <c r="P68" s="2362" t="s">
        <v>2413</v>
      </c>
      <c r="Q68" s="2368">
        <f ca="1">L51</f>
        <v>14127</v>
      </c>
      <c r="R68" s="2369" t="s">
        <v>2416</v>
      </c>
    </row>
    <row r="69" spans="1:18" ht="20.25" thickBot="1">
      <c r="A69" s="789"/>
      <c r="B69" s="790"/>
      <c r="C69" s="791"/>
      <c r="D69" s="815"/>
      <c r="E69" s="783" t="s">
        <v>710</v>
      </c>
      <c r="F69" s="2334"/>
      <c r="O69" s="2364" t="s">
        <v>2384</v>
      </c>
      <c r="P69" s="2370" t="s">
        <v>2398</v>
      </c>
      <c r="Q69" s="2363">
        <f ca="1">ROUND(Q70-Q71*Q72,0)</f>
        <v>769</v>
      </c>
      <c r="R69" s="2366"/>
    </row>
    <row r="70" spans="1:18" ht="15.75" thickBot="1">
      <c r="A70" s="822" t="s">
        <v>1787</v>
      </c>
      <c r="B70" s="823" t="s">
        <v>1810</v>
      </c>
      <c r="C70" s="824">
        <f ca="1">ROUND(C67*10000/F70,0)</f>
        <v>-252</v>
      </c>
      <c r="D70" s="825" t="s">
        <v>1811</v>
      </c>
      <c r="E70" s="826" t="s">
        <v>1812</v>
      </c>
      <c r="F70" s="827">
        <f ca="1">F43</f>
        <v>75962.399999999994</v>
      </c>
      <c r="O70" s="2364" t="s">
        <v>2399</v>
      </c>
      <c r="P70" s="2370" t="s">
        <v>2400</v>
      </c>
      <c r="Q70" s="2363">
        <f ca="1">C39</f>
        <v>769</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16944</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385" t="s">
        <v>522</v>
      </c>
      <c r="D4" s="3386"/>
      <c r="E4" s="3420" t="s">
        <v>523</v>
      </c>
      <c r="F4" s="3421"/>
      <c r="G4" s="3385" t="s">
        <v>524</v>
      </c>
      <c r="H4" s="3386"/>
      <c r="I4" s="3385" t="s">
        <v>525</v>
      </c>
      <c r="J4" s="3386"/>
      <c r="K4" s="513" t="s">
        <v>526</v>
      </c>
      <c r="L4" s="2117"/>
      <c r="M4" s="2118"/>
      <c r="N4" s="2118"/>
      <c r="O4" s="2118"/>
      <c r="P4" s="3387" t="s">
        <v>527</v>
      </c>
      <c r="Q4" s="3388"/>
      <c r="R4" s="3393" t="s">
        <v>523</v>
      </c>
      <c r="S4" s="3394"/>
      <c r="T4" s="3393" t="s">
        <v>524</v>
      </c>
      <c r="U4" s="3394"/>
      <c r="V4" s="3380" t="s">
        <v>525</v>
      </c>
      <c r="W4" s="3380"/>
      <c r="X4" s="1552"/>
      <c r="Y4" s="3393" t="s">
        <v>527</v>
      </c>
      <c r="Z4" s="3394"/>
      <c r="AA4" s="3382" t="s">
        <v>523</v>
      </c>
      <c r="AB4" s="3380" t="s">
        <v>524</v>
      </c>
      <c r="AC4" s="3382" t="s">
        <v>525</v>
      </c>
    </row>
    <row r="5" spans="1:29" ht="15">
      <c r="A5" s="514"/>
      <c r="B5" s="515"/>
      <c r="C5" s="3401" t="s">
        <v>2927</v>
      </c>
      <c r="D5" s="3402"/>
      <c r="E5" s="3422" t="s">
        <v>2928</v>
      </c>
      <c r="F5" s="3423"/>
      <c r="G5" s="3401" t="s">
        <v>2929</v>
      </c>
      <c r="H5" s="3402"/>
      <c r="I5" s="3401" t="s">
        <v>2930</v>
      </c>
      <c r="J5" s="3402"/>
      <c r="K5" s="513"/>
      <c r="L5" s="2117"/>
      <c r="M5" s="2118"/>
      <c r="N5" s="2118"/>
      <c r="O5" s="2118"/>
      <c r="P5" s="3389"/>
      <c r="Q5" s="3390"/>
      <c r="R5" s="3395"/>
      <c r="S5" s="3396"/>
      <c r="T5" s="3395"/>
      <c r="U5" s="3396"/>
      <c r="V5" s="3380"/>
      <c r="W5" s="3380"/>
      <c r="X5" s="1552"/>
      <c r="Y5" s="3395"/>
      <c r="Z5" s="3396"/>
      <c r="AA5" s="3383"/>
      <c r="AB5" s="3380"/>
      <c r="AC5" s="3383"/>
    </row>
    <row r="6" spans="1:29" ht="15.75" thickBot="1">
      <c r="A6" s="516"/>
      <c r="B6" s="517"/>
      <c r="C6" s="3399" t="s">
        <v>2931</v>
      </c>
      <c r="D6" s="3400"/>
      <c r="E6" s="3418" t="s">
        <v>2931</v>
      </c>
      <c r="F6" s="3419"/>
      <c r="G6" s="3399" t="s">
        <v>2931</v>
      </c>
      <c r="H6" s="3400"/>
      <c r="I6" s="3399" t="s">
        <v>2931</v>
      </c>
      <c r="J6" s="3400"/>
      <c r="K6" s="513" t="s">
        <v>528</v>
      </c>
      <c r="L6" s="2117"/>
      <c r="M6" s="2118"/>
      <c r="N6" s="2118"/>
      <c r="O6" s="2118"/>
      <c r="P6" s="3391"/>
      <c r="Q6" s="3392"/>
      <c r="R6" s="3395"/>
      <c r="S6" s="3396"/>
      <c r="T6" s="3397"/>
      <c r="U6" s="3398"/>
      <c r="V6" s="3380"/>
      <c r="W6" s="3380"/>
      <c r="X6" s="1552"/>
      <c r="Y6" s="3397"/>
      <c r="Z6" s="3398"/>
      <c r="AA6" s="3384"/>
      <c r="AB6" s="3380"/>
      <c r="AC6" s="3384"/>
    </row>
    <row r="7" spans="1:29" s="1215" customFormat="1" ht="15.75" thickBot="1">
      <c r="A7" s="2866"/>
      <c r="B7" s="2873" t="s">
        <v>529</v>
      </c>
      <c r="C7" s="518">
        <f>'数据-取费表'!B2</f>
        <v>43782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11" t="s">
        <v>530</v>
      </c>
      <c r="Q7" s="3413"/>
      <c r="R7" s="1553" t="s">
        <v>8</v>
      </c>
      <c r="S7" s="1554">
        <f t="shared" ref="S7:S15" si="0">F7</f>
        <v>0</v>
      </c>
      <c r="T7" s="1553" t="s">
        <v>8</v>
      </c>
      <c r="U7" s="1554">
        <f t="shared" ref="U7:U15" si="1">H7</f>
        <v>0</v>
      </c>
      <c r="V7" s="1553" t="s">
        <v>8</v>
      </c>
      <c r="W7" s="1554">
        <f t="shared" ref="W7:W15" si="2">J7</f>
        <v>0</v>
      </c>
      <c r="X7" s="1555"/>
      <c r="Y7" s="3411" t="s">
        <v>530</v>
      </c>
      <c r="Z7" s="3412"/>
      <c r="AA7" s="1556" t="e">
        <f>D7/F7</f>
        <v>#DIV/0!</v>
      </c>
      <c r="AB7" s="1556" t="e">
        <f>D7/H7</f>
        <v>#DIV/0!</v>
      </c>
      <c r="AC7" s="1556"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11" t="s">
        <v>533</v>
      </c>
      <c r="Q8" s="3412"/>
      <c r="R8" s="1553" t="s">
        <v>8</v>
      </c>
      <c r="S8" s="1554">
        <f t="shared" si="0"/>
        <v>0</v>
      </c>
      <c r="T8" s="1553" t="s">
        <v>8</v>
      </c>
      <c r="U8" s="1554">
        <f t="shared" si="1"/>
        <v>0</v>
      </c>
      <c r="V8" s="1553" t="s">
        <v>8</v>
      </c>
      <c r="W8" s="1554">
        <f t="shared" si="2"/>
        <v>0</v>
      </c>
      <c r="X8" s="1555"/>
      <c r="Y8" s="3411" t="s">
        <v>533</v>
      </c>
      <c r="Z8" s="3412"/>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79" t="s">
        <v>535</v>
      </c>
      <c r="Q9" s="1146" t="str">
        <f t="shared" ref="Q9:Q15" si="6">B9</f>
        <v>用途</v>
      </c>
      <c r="R9" s="1553" t="s">
        <v>8</v>
      </c>
      <c r="S9" s="1554">
        <f t="shared" si="0"/>
        <v>100</v>
      </c>
      <c r="T9" s="1553" t="s">
        <v>8</v>
      </c>
      <c r="U9" s="1554">
        <f t="shared" si="1"/>
        <v>100</v>
      </c>
      <c r="V9" s="1553" t="s">
        <v>8</v>
      </c>
      <c r="W9" s="1554">
        <f t="shared" si="2"/>
        <v>100</v>
      </c>
      <c r="X9" s="1555"/>
      <c r="Y9" s="332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79"/>
      <c r="Q11" s="1146" t="str">
        <f t="shared" si="6"/>
        <v>容积率</v>
      </c>
      <c r="R11" s="1553" t="s">
        <v>8</v>
      </c>
      <c r="S11" s="1554" t="e">
        <f t="shared" si="0"/>
        <v>#N/A</v>
      </c>
      <c r="T11" s="1553" t="s">
        <v>8</v>
      </c>
      <c r="U11" s="1554" t="e">
        <f t="shared" si="1"/>
        <v>#N/A</v>
      </c>
      <c r="V11" s="1553" t="s">
        <v>8</v>
      </c>
      <c r="W11" s="1554" t="e">
        <f t="shared" si="2"/>
        <v>#N/A</v>
      </c>
      <c r="X11" s="1555"/>
      <c r="Y11" s="332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79"/>
      <c r="Q12" s="1146">
        <f t="shared" si="6"/>
        <v>111</v>
      </c>
      <c r="R12" s="1553" t="s">
        <v>8</v>
      </c>
      <c r="S12" s="1554">
        <f t="shared" si="0"/>
        <v>100</v>
      </c>
      <c r="T12" s="1553" t="s">
        <v>8</v>
      </c>
      <c r="U12" s="1554">
        <f t="shared" si="1"/>
        <v>100</v>
      </c>
      <c r="V12" s="1553" t="s">
        <v>8</v>
      </c>
      <c r="W12" s="1554">
        <f t="shared" si="2"/>
        <v>100</v>
      </c>
      <c r="X12" s="1555"/>
      <c r="Y12" s="3325"/>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79"/>
      <c r="Q13" s="1146">
        <f t="shared" si="6"/>
        <v>111</v>
      </c>
      <c r="R13" s="1553" t="s">
        <v>8</v>
      </c>
      <c r="S13" s="1554">
        <f t="shared" si="0"/>
        <v>100</v>
      </c>
      <c r="T13" s="1553" t="s">
        <v>8</v>
      </c>
      <c r="U13" s="1554">
        <f t="shared" si="1"/>
        <v>100</v>
      </c>
      <c r="V13" s="1553" t="s">
        <v>8</v>
      </c>
      <c r="W13" s="1554">
        <f t="shared" si="2"/>
        <v>100</v>
      </c>
      <c r="X13" s="1555"/>
      <c r="Y13" s="3325"/>
      <c r="Z13" s="1145">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79"/>
      <c r="Q14" s="1146">
        <f t="shared" si="6"/>
        <v>111</v>
      </c>
      <c r="R14" s="1553" t="s">
        <v>8</v>
      </c>
      <c r="S14" s="1554">
        <f t="shared" si="0"/>
        <v>100</v>
      </c>
      <c r="T14" s="1553" t="s">
        <v>8</v>
      </c>
      <c r="U14" s="1554">
        <f t="shared" si="1"/>
        <v>100</v>
      </c>
      <c r="V14" s="1553" t="s">
        <v>8</v>
      </c>
      <c r="W14" s="1554">
        <f t="shared" si="2"/>
        <v>100</v>
      </c>
      <c r="X14" s="1555"/>
      <c r="Y14" s="3325"/>
      <c r="Z14" s="1145">
        <f t="shared" si="7"/>
        <v>111</v>
      </c>
      <c r="AA14" s="1556">
        <f t="shared" si="3"/>
        <v>1</v>
      </c>
      <c r="AB14" s="1556">
        <f t="shared" si="4"/>
        <v>1</v>
      </c>
      <c r="AC14" s="1556">
        <f t="shared" si="5"/>
        <v>1</v>
      </c>
    </row>
    <row r="15" spans="1:29" ht="85.5">
      <c r="A15" s="2864" t="s">
        <v>2754</v>
      </c>
      <c r="B15" s="166" t="s">
        <v>541</v>
      </c>
      <c r="C15" s="866" t="str">
        <f>估价对象房地状况!C4</f>
        <v>估价对象位于长堎工业区附近，周边商业氛围较差，人流量一般，商业繁华度较差</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14" t="s">
        <v>540</v>
      </c>
      <c r="Q15" s="1557" t="str">
        <f t="shared" si="6"/>
        <v>商业繁华度</v>
      </c>
      <c r="R15" s="1558" t="s">
        <v>8</v>
      </c>
      <c r="S15" s="1559">
        <f t="shared" si="0"/>
        <v>100</v>
      </c>
      <c r="T15" s="1558" t="s">
        <v>8</v>
      </c>
      <c r="U15" s="1559">
        <f t="shared" si="1"/>
        <v>100</v>
      </c>
      <c r="V15" s="1558" t="s">
        <v>8</v>
      </c>
      <c r="W15" s="1559">
        <f t="shared" si="2"/>
        <v>100</v>
      </c>
      <c r="X15" s="1552"/>
      <c r="Y15" s="3414"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15"/>
      <c r="Q16" s="1557"/>
      <c r="R16" s="1558"/>
      <c r="S16" s="1559"/>
      <c r="T16" s="1558"/>
      <c r="U16" s="1559"/>
      <c r="V16" s="1558"/>
      <c r="W16" s="1559"/>
      <c r="X16" s="1552"/>
      <c r="Y16" s="3415"/>
      <c r="Z16" s="1560"/>
      <c r="AA16" s="1561">
        <v>1</v>
      </c>
      <c r="AB16" s="1561">
        <v>1</v>
      </c>
      <c r="AC16" s="1561">
        <v>1</v>
      </c>
    </row>
    <row r="17" spans="1:29" ht="128.2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15"/>
      <c r="Q17" s="1557" t="str">
        <f>B17</f>
        <v>交通便捷度</v>
      </c>
      <c r="R17" s="1558" t="s">
        <v>8</v>
      </c>
      <c r="S17" s="1559">
        <f>F17</f>
        <v>100</v>
      </c>
      <c r="T17" s="1558" t="s">
        <v>8</v>
      </c>
      <c r="U17" s="1559">
        <f>H17</f>
        <v>100</v>
      </c>
      <c r="V17" s="1558" t="s">
        <v>8</v>
      </c>
      <c r="W17" s="1559">
        <f>J17</f>
        <v>100</v>
      </c>
      <c r="X17" s="1552"/>
      <c r="Y17" s="3415"/>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15"/>
      <c r="Q18" s="1557"/>
      <c r="R18" s="1558"/>
      <c r="S18" s="1559"/>
      <c r="T18" s="1558"/>
      <c r="U18" s="1559"/>
      <c r="V18" s="1558"/>
      <c r="W18" s="1559"/>
      <c r="X18" s="1552"/>
      <c r="Y18" s="3415"/>
      <c r="Z18" s="1560"/>
      <c r="AA18" s="1561">
        <v>1</v>
      </c>
      <c r="AB18" s="1561">
        <v>1</v>
      </c>
      <c r="AC18" s="1561">
        <v>1</v>
      </c>
    </row>
    <row r="19" spans="1:29" ht="42.7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15"/>
      <c r="Q19" s="1557" t="str">
        <f>B19</f>
        <v>公共配套设施</v>
      </c>
      <c r="R19" s="1558" t="s">
        <v>8</v>
      </c>
      <c r="S19" s="1559">
        <f>F19</f>
        <v>100</v>
      </c>
      <c r="T19" s="1558" t="s">
        <v>8</v>
      </c>
      <c r="U19" s="1559">
        <f>H19</f>
        <v>100</v>
      </c>
      <c r="V19" s="1558" t="s">
        <v>8</v>
      </c>
      <c r="W19" s="1559">
        <f>J19</f>
        <v>100</v>
      </c>
      <c r="X19" s="1552"/>
      <c r="Y19" s="3415"/>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415"/>
      <c r="Q20" s="1557"/>
      <c r="R20" s="1558"/>
      <c r="S20" s="1559"/>
      <c r="T20" s="1558"/>
      <c r="U20" s="1559"/>
      <c r="V20" s="1558"/>
      <c r="W20" s="1559"/>
      <c r="X20" s="1552"/>
      <c r="Y20" s="3415"/>
      <c r="Z20" s="1560"/>
      <c r="AA20" s="1561">
        <v>1</v>
      </c>
      <c r="AB20" s="1561">
        <v>1</v>
      </c>
      <c r="AC20" s="1561">
        <v>1</v>
      </c>
    </row>
    <row r="21" spans="1:29" ht="42.7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15"/>
      <c r="Q21" s="2542" t="str">
        <f>B21</f>
        <v>基础设施水平</v>
      </c>
      <c r="R21" s="1558" t="s">
        <v>8</v>
      </c>
      <c r="S21" s="1559">
        <f>F21</f>
        <v>100</v>
      </c>
      <c r="T21" s="1558" t="s">
        <v>8</v>
      </c>
      <c r="U21" s="1559">
        <f>H21</f>
        <v>100</v>
      </c>
      <c r="V21" s="1558" t="s">
        <v>8</v>
      </c>
      <c r="W21" s="1559">
        <f>J21</f>
        <v>100</v>
      </c>
      <c r="X21" s="2544"/>
      <c r="Y21" s="3415"/>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415"/>
      <c r="Q22" s="2542"/>
      <c r="R22" s="1558"/>
      <c r="S22" s="1559"/>
      <c r="T22" s="1558"/>
      <c r="U22" s="1559"/>
      <c r="V22" s="1558"/>
      <c r="W22" s="1559"/>
      <c r="X22" s="2544"/>
      <c r="Y22" s="3415"/>
      <c r="Z22" s="2543"/>
      <c r="AA22" s="1561">
        <v>1</v>
      </c>
      <c r="AB22" s="1561">
        <v>1</v>
      </c>
      <c r="AC22" s="1561">
        <v>1</v>
      </c>
    </row>
    <row r="23" spans="1:29" ht="71.25">
      <c r="A23" s="531"/>
      <c r="B23" s="870" t="s">
        <v>297</v>
      </c>
      <c r="C23" s="899"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15"/>
      <c r="Q23" s="1557" t="str">
        <f>B23</f>
        <v>自然及人文环境</v>
      </c>
      <c r="R23" s="1558" t="s">
        <v>8</v>
      </c>
      <c r="S23" s="1559">
        <f>F23</f>
        <v>100</v>
      </c>
      <c r="T23" s="1558" t="s">
        <v>8</v>
      </c>
      <c r="U23" s="1559">
        <f>H23</f>
        <v>100</v>
      </c>
      <c r="V23" s="1558" t="s">
        <v>8</v>
      </c>
      <c r="W23" s="1559">
        <f>J23</f>
        <v>100</v>
      </c>
      <c r="X23" s="1552"/>
      <c r="Y23" s="3415"/>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415"/>
      <c r="Q24" s="1557"/>
      <c r="R24" s="1558"/>
      <c r="S24" s="1559"/>
      <c r="T24" s="1558"/>
      <c r="U24" s="1559"/>
      <c r="V24" s="1558"/>
      <c r="W24" s="1559"/>
      <c r="X24" s="1552"/>
      <c r="Y24" s="3415"/>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15"/>
      <c r="Q25" s="1557" t="str">
        <f t="shared" ref="Q25:Q46" si="11">B25</f>
        <v>临街状况</v>
      </c>
      <c r="R25" s="1558" t="s">
        <v>8</v>
      </c>
      <c r="S25" s="1559">
        <f>F25</f>
        <v>100</v>
      </c>
      <c r="T25" s="1558" t="s">
        <v>8</v>
      </c>
      <c r="U25" s="1559">
        <f>H25</f>
        <v>100</v>
      </c>
      <c r="V25" s="1558" t="s">
        <v>8</v>
      </c>
      <c r="W25" s="1559">
        <f>J25</f>
        <v>100</v>
      </c>
      <c r="X25" s="1552"/>
      <c r="Y25" s="3415"/>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15"/>
      <c r="Q26" s="1557" t="str">
        <f t="shared" si="11"/>
        <v>平面位置/可视性</v>
      </c>
      <c r="R26" s="1558" t="s">
        <v>8</v>
      </c>
      <c r="S26" s="1559">
        <f>F26</f>
        <v>100</v>
      </c>
      <c r="T26" s="1558" t="s">
        <v>8</v>
      </c>
      <c r="U26" s="1559">
        <f>H26</f>
        <v>100</v>
      </c>
      <c r="V26" s="1558" t="s">
        <v>8</v>
      </c>
      <c r="W26" s="1559">
        <f>J26</f>
        <v>100</v>
      </c>
      <c r="X26" s="1552"/>
      <c r="Y26" s="3415"/>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15"/>
      <c r="Q27" s="1146" t="str">
        <f t="shared" si="11"/>
        <v>人流量</v>
      </c>
      <c r="R27" s="1553" t="s">
        <v>8</v>
      </c>
      <c r="S27" s="1554">
        <f>F27</f>
        <v>100</v>
      </c>
      <c r="T27" s="1553" t="s">
        <v>8</v>
      </c>
      <c r="U27" s="1554">
        <f>H27</f>
        <v>100</v>
      </c>
      <c r="V27" s="1553" t="s">
        <v>8</v>
      </c>
      <c r="W27" s="1554">
        <f>J27</f>
        <v>100</v>
      </c>
      <c r="X27" s="1555"/>
      <c r="Y27" s="3415"/>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1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5"/>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15"/>
      <c r="Q29" s="1557">
        <f t="shared" si="11"/>
        <v>111</v>
      </c>
      <c r="R29" s="1558" t="s">
        <v>8</v>
      </c>
      <c r="S29" s="1559">
        <f t="shared" si="12"/>
        <v>100</v>
      </c>
      <c r="T29" s="1558" t="s">
        <v>8</v>
      </c>
      <c r="U29" s="1559">
        <f t="shared" si="13"/>
        <v>100</v>
      </c>
      <c r="V29" s="1558" t="s">
        <v>8</v>
      </c>
      <c r="W29" s="1559">
        <f t="shared" si="14"/>
        <v>100</v>
      </c>
      <c r="X29" s="1552"/>
      <c r="Y29" s="3415"/>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15"/>
      <c r="Q30" s="1557">
        <f t="shared" si="11"/>
        <v>111</v>
      </c>
      <c r="R30" s="1558" t="s">
        <v>8</v>
      </c>
      <c r="S30" s="1559">
        <f t="shared" si="12"/>
        <v>100</v>
      </c>
      <c r="T30" s="1558" t="s">
        <v>8</v>
      </c>
      <c r="U30" s="1559">
        <f t="shared" si="13"/>
        <v>100</v>
      </c>
      <c r="V30" s="1558" t="s">
        <v>8</v>
      </c>
      <c r="W30" s="1559">
        <f t="shared" si="14"/>
        <v>100</v>
      </c>
      <c r="X30" s="1552"/>
      <c r="Y30" s="3415"/>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15"/>
      <c r="Q31" s="1557">
        <f t="shared" si="11"/>
        <v>111</v>
      </c>
      <c r="R31" s="1558" t="s">
        <v>8</v>
      </c>
      <c r="S31" s="1559">
        <f t="shared" si="12"/>
        <v>100</v>
      </c>
      <c r="T31" s="1558" t="s">
        <v>8</v>
      </c>
      <c r="U31" s="1559">
        <f t="shared" si="13"/>
        <v>100</v>
      </c>
      <c r="V31" s="1558" t="s">
        <v>8</v>
      </c>
      <c r="W31" s="1559">
        <f t="shared" si="14"/>
        <v>100</v>
      </c>
      <c r="X31" s="1552"/>
      <c r="Y31" s="3415"/>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16" t="s">
        <v>550</v>
      </c>
      <c r="Q32" s="1557" t="str">
        <f t="shared" si="11"/>
        <v>商业类型</v>
      </c>
      <c r="R32" s="1558" t="s">
        <v>8</v>
      </c>
      <c r="S32" s="1559">
        <f t="shared" si="12"/>
        <v>100</v>
      </c>
      <c r="T32" s="1558" t="s">
        <v>8</v>
      </c>
      <c r="U32" s="1559">
        <f t="shared" si="13"/>
        <v>100</v>
      </c>
      <c r="V32" s="1558" t="s">
        <v>8</v>
      </c>
      <c r="W32" s="1559">
        <f t="shared" si="14"/>
        <v>100</v>
      </c>
      <c r="X32" s="1552"/>
      <c r="Y32" s="3417"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17"/>
      <c r="Q33" s="1589" t="str">
        <f t="shared" si="11"/>
        <v>项目建筑规模</v>
      </c>
      <c r="R33" s="1562" t="s">
        <v>8</v>
      </c>
      <c r="S33" s="1563" t="e">
        <f t="shared" si="12"/>
        <v>#N/A</v>
      </c>
      <c r="T33" s="1562" t="s">
        <v>8</v>
      </c>
      <c r="U33" s="1563" t="e">
        <f t="shared" si="13"/>
        <v>#N/A</v>
      </c>
      <c r="V33" s="1562" t="s">
        <v>8</v>
      </c>
      <c r="W33" s="1563" t="e">
        <f t="shared" si="14"/>
        <v>#N/A</v>
      </c>
      <c r="X33" s="1564"/>
      <c r="Y33" s="3417"/>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17"/>
      <c r="Q34" s="1557" t="str">
        <f t="shared" si="11"/>
        <v>建筑结构</v>
      </c>
      <c r="R34" s="1558" t="s">
        <v>8</v>
      </c>
      <c r="S34" s="1559">
        <f t="shared" si="12"/>
        <v>100</v>
      </c>
      <c r="T34" s="1558" t="s">
        <v>8</v>
      </c>
      <c r="U34" s="1559">
        <f t="shared" si="13"/>
        <v>100</v>
      </c>
      <c r="V34" s="1558" t="s">
        <v>8</v>
      </c>
      <c r="W34" s="1559">
        <f t="shared" si="14"/>
        <v>100</v>
      </c>
      <c r="X34" s="1552"/>
      <c r="Y34" s="3417"/>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17"/>
      <c r="Q35" s="1557" t="str">
        <f t="shared" si="11"/>
        <v>公共部分装修</v>
      </c>
      <c r="R35" s="1558" t="s">
        <v>8</v>
      </c>
      <c r="S35" s="1559">
        <f t="shared" si="12"/>
        <v>100</v>
      </c>
      <c r="T35" s="1558" t="s">
        <v>8</v>
      </c>
      <c r="U35" s="1559">
        <f t="shared" si="13"/>
        <v>100</v>
      </c>
      <c r="V35" s="1558" t="s">
        <v>8</v>
      </c>
      <c r="W35" s="1559">
        <f t="shared" si="14"/>
        <v>100</v>
      </c>
      <c r="X35" s="1552"/>
      <c r="Y35" s="3417"/>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17"/>
      <c r="Q36" s="1557" t="str">
        <f t="shared" si="11"/>
        <v>成新度</v>
      </c>
      <c r="R36" s="1558" t="s">
        <v>8</v>
      </c>
      <c r="S36" s="1559" t="e">
        <f t="shared" si="12"/>
        <v>#N/A</v>
      </c>
      <c r="T36" s="1558" t="s">
        <v>8</v>
      </c>
      <c r="U36" s="1559" t="e">
        <f t="shared" si="13"/>
        <v>#N/A</v>
      </c>
      <c r="V36" s="1558" t="s">
        <v>8</v>
      </c>
      <c r="W36" s="1559" t="e">
        <f t="shared" si="14"/>
        <v>#N/A</v>
      </c>
      <c r="X36" s="1552"/>
      <c r="Y36" s="3417"/>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17"/>
      <c r="Q37" s="1146" t="str">
        <f t="shared" si="11"/>
        <v>市政基础设施</v>
      </c>
      <c r="R37" s="1553" t="s">
        <v>8</v>
      </c>
      <c r="S37" s="1554">
        <f t="shared" si="12"/>
        <v>100</v>
      </c>
      <c r="T37" s="1553" t="s">
        <v>8</v>
      </c>
      <c r="U37" s="1554">
        <f t="shared" si="13"/>
        <v>100</v>
      </c>
      <c r="V37" s="1553" t="s">
        <v>8</v>
      </c>
      <c r="W37" s="1554">
        <f t="shared" si="14"/>
        <v>100</v>
      </c>
      <c r="X37" s="1555"/>
      <c r="Y37" s="3417"/>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17" t="s">
        <v>766</v>
      </c>
      <c r="Q38" s="1557" t="str">
        <f t="shared" si="11"/>
        <v>业态</v>
      </c>
      <c r="R38" s="1558" t="s">
        <v>8</v>
      </c>
      <c r="S38" s="1559">
        <f t="shared" si="12"/>
        <v>100</v>
      </c>
      <c r="T38" s="1558" t="s">
        <v>8</v>
      </c>
      <c r="U38" s="1559">
        <f t="shared" si="13"/>
        <v>100</v>
      </c>
      <c r="V38" s="1558" t="s">
        <v>8</v>
      </c>
      <c r="W38" s="1559">
        <f t="shared" si="14"/>
        <v>100</v>
      </c>
      <c r="X38" s="1552"/>
      <c r="Y38" s="3417"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7"/>
      <c r="Q39" s="1557" t="str">
        <f t="shared" si="11"/>
        <v>层高</v>
      </c>
      <c r="R39" s="1558" t="s">
        <v>8</v>
      </c>
      <c r="S39" s="1559">
        <f t="shared" si="12"/>
        <v>100</v>
      </c>
      <c r="T39" s="1558" t="s">
        <v>8</v>
      </c>
      <c r="U39" s="1559">
        <f t="shared" si="13"/>
        <v>100</v>
      </c>
      <c r="V39" s="1558" t="s">
        <v>8</v>
      </c>
      <c r="W39" s="1559">
        <f t="shared" si="14"/>
        <v>100</v>
      </c>
      <c r="X39" s="1552"/>
      <c r="Y39" s="3417"/>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17"/>
      <c r="Q40" s="1557" t="str">
        <f t="shared" si="11"/>
        <v>单套建筑面积</v>
      </c>
      <c r="R40" s="1558" t="s">
        <v>8</v>
      </c>
      <c r="S40" s="1559">
        <f t="shared" si="12"/>
        <v>100</v>
      </c>
      <c r="T40" s="1558" t="s">
        <v>8</v>
      </c>
      <c r="U40" s="1559">
        <f t="shared" si="13"/>
        <v>100</v>
      </c>
      <c r="V40" s="1558" t="s">
        <v>8</v>
      </c>
      <c r="W40" s="1559">
        <f t="shared" si="14"/>
        <v>100</v>
      </c>
      <c r="X40" s="1552"/>
      <c r="Y40" s="3417"/>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17"/>
      <c r="Q41" s="1589" t="str">
        <f t="shared" si="11"/>
        <v>进深比</v>
      </c>
      <c r="R41" s="1562" t="s">
        <v>8</v>
      </c>
      <c r="S41" s="1563">
        <f t="shared" si="12"/>
        <v>100</v>
      </c>
      <c r="T41" s="1562" t="s">
        <v>8</v>
      </c>
      <c r="U41" s="1563">
        <f t="shared" si="13"/>
        <v>100</v>
      </c>
      <c r="V41" s="1562" t="s">
        <v>8</v>
      </c>
      <c r="W41" s="1563">
        <f t="shared" si="14"/>
        <v>100</v>
      </c>
      <c r="X41" s="1564"/>
      <c r="Y41" s="3417"/>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17"/>
      <c r="Q42" s="1557" t="str">
        <f t="shared" si="11"/>
        <v>内部装修</v>
      </c>
      <c r="R42" s="1558" t="s">
        <v>8</v>
      </c>
      <c r="S42" s="1559">
        <f t="shared" si="12"/>
        <v>100</v>
      </c>
      <c r="T42" s="1558" t="s">
        <v>8</v>
      </c>
      <c r="U42" s="1559">
        <f t="shared" si="13"/>
        <v>100</v>
      </c>
      <c r="V42" s="1558" t="s">
        <v>8</v>
      </c>
      <c r="W42" s="1559">
        <f t="shared" si="14"/>
        <v>100</v>
      </c>
      <c r="X42" s="1552"/>
      <c r="Y42" s="3417"/>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17"/>
      <c r="Q43" s="1557" t="str">
        <f t="shared" si="11"/>
        <v>内部装修维护情况</v>
      </c>
      <c r="R43" s="1558" t="s">
        <v>8</v>
      </c>
      <c r="S43" s="1559">
        <f t="shared" si="12"/>
        <v>100</v>
      </c>
      <c r="T43" s="1558" t="s">
        <v>8</v>
      </c>
      <c r="U43" s="1559">
        <f t="shared" si="13"/>
        <v>100</v>
      </c>
      <c r="V43" s="1558" t="s">
        <v>8</v>
      </c>
      <c r="W43" s="1559">
        <f t="shared" si="14"/>
        <v>100</v>
      </c>
      <c r="X43" s="1552"/>
      <c r="Y43" s="3417"/>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17"/>
      <c r="Q44" s="1146">
        <f t="shared" si="11"/>
        <v>111</v>
      </c>
      <c r="R44" s="1553" t="s">
        <v>8</v>
      </c>
      <c r="S44" s="1554">
        <f t="shared" si="12"/>
        <v>100</v>
      </c>
      <c r="T44" s="1553" t="s">
        <v>8</v>
      </c>
      <c r="U44" s="1554">
        <f t="shared" si="13"/>
        <v>100</v>
      </c>
      <c r="V44" s="1553" t="s">
        <v>8</v>
      </c>
      <c r="W44" s="1554">
        <f t="shared" si="14"/>
        <v>100</v>
      </c>
      <c r="X44" s="1555"/>
      <c r="Y44" s="3417"/>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17"/>
      <c r="Q45" s="1557">
        <f t="shared" si="11"/>
        <v>111</v>
      </c>
      <c r="R45" s="1558" t="s">
        <v>8</v>
      </c>
      <c r="S45" s="1559">
        <f t="shared" si="12"/>
        <v>100</v>
      </c>
      <c r="T45" s="1558" t="s">
        <v>8</v>
      </c>
      <c r="U45" s="1559">
        <f t="shared" si="13"/>
        <v>100</v>
      </c>
      <c r="V45" s="1558" t="s">
        <v>8</v>
      </c>
      <c r="W45" s="1559">
        <f t="shared" si="14"/>
        <v>100</v>
      </c>
      <c r="X45" s="1552"/>
      <c r="Y45" s="3417"/>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75"/>
      <c r="Q46" s="1557">
        <f t="shared" si="11"/>
        <v>111</v>
      </c>
      <c r="R46" s="1558" t="s">
        <v>8</v>
      </c>
      <c r="S46" s="1559">
        <f t="shared" si="12"/>
        <v>100</v>
      </c>
      <c r="T46" s="1558" t="s">
        <v>8</v>
      </c>
      <c r="U46" s="1559">
        <f t="shared" si="13"/>
        <v>100</v>
      </c>
      <c r="V46" s="1558" t="s">
        <v>8</v>
      </c>
      <c r="W46" s="1559">
        <f t="shared" si="14"/>
        <v>100</v>
      </c>
      <c r="X46" s="1552"/>
      <c r="Y46" s="3475"/>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379" t="str">
        <f>A47</f>
        <v>成交单价（元/平方米）</v>
      </c>
      <c r="Q47" s="3379"/>
      <c r="R47" s="3474">
        <f>E47</f>
        <v>0</v>
      </c>
      <c r="S47" s="3474"/>
      <c r="T47" s="3474">
        <f>G47</f>
        <v>0</v>
      </c>
      <c r="U47" s="3474"/>
      <c r="V47" s="3474">
        <f>I47</f>
        <v>0</v>
      </c>
      <c r="W47" s="3474"/>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379" t="str">
        <f>A48</f>
        <v>比较价格（元/平方米）</v>
      </c>
      <c r="Q48" s="3379"/>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44"/>
      <c r="Y48" s="1544"/>
      <c r="Z48" s="1544"/>
      <c r="AA48" s="1544"/>
      <c r="AB48" s="1544"/>
      <c r="AC48" s="1544"/>
    </row>
    <row r="49" spans="1:29" ht="15.75" thickBot="1">
      <c r="A49" s="620" t="s">
        <v>2933</v>
      </c>
      <c r="B49" s="621"/>
      <c r="C49" s="2599" t="e">
        <f>R49</f>
        <v>#DIV/0!</v>
      </c>
      <c r="D49" s="2599"/>
      <c r="E49" s="2599"/>
      <c r="F49" s="2599"/>
      <c r="G49" s="2599"/>
      <c r="H49" s="2599"/>
      <c r="I49" s="2599"/>
      <c r="J49" s="2599"/>
      <c r="K49" s="1597"/>
      <c r="L49" s="2128"/>
      <c r="M49" s="2129"/>
      <c r="N49" s="2118"/>
      <c r="O49" s="2129"/>
      <c r="P49" s="3376" t="str">
        <f>A49</f>
        <v>估价对象XX用房的比较价格（楼面单价，元/平方米）</v>
      </c>
      <c r="Q49" s="3377"/>
      <c r="R49" s="3473" t="e">
        <f>IF(F1="售价",ROUND(AVERAGE(R48:V48),0),ROUND(AVERAGE(R48:V48),1))</f>
        <v>#DIV/0!</v>
      </c>
      <c r="S49" s="3473"/>
      <c r="T49" s="3473"/>
      <c r="U49" s="3473"/>
      <c r="V49" s="3473"/>
      <c r="W49" s="347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385" t="s">
        <v>522</v>
      </c>
      <c r="D4" s="3386"/>
      <c r="E4" s="3420" t="s">
        <v>523</v>
      </c>
      <c r="F4" s="3421"/>
      <c r="G4" s="3385" t="s">
        <v>524</v>
      </c>
      <c r="H4" s="3386"/>
      <c r="I4" s="3385" t="s">
        <v>525</v>
      </c>
      <c r="J4" s="3386"/>
      <c r="K4" s="513" t="s">
        <v>526</v>
      </c>
      <c r="L4" s="2117"/>
      <c r="M4" s="2118"/>
      <c r="N4" s="2118"/>
      <c r="O4" s="2118"/>
      <c r="P4" s="3502" t="s">
        <v>527</v>
      </c>
      <c r="Q4" s="3388"/>
      <c r="R4" s="3393" t="s">
        <v>523</v>
      </c>
      <c r="S4" s="3394"/>
      <c r="T4" s="3393" t="s">
        <v>524</v>
      </c>
      <c r="U4" s="3394"/>
      <c r="V4" s="3380" t="s">
        <v>525</v>
      </c>
      <c r="W4" s="3380"/>
      <c r="X4" s="1552"/>
      <c r="Y4" s="3393" t="s">
        <v>527</v>
      </c>
      <c r="Z4" s="3394"/>
      <c r="AA4" s="3382" t="s">
        <v>523</v>
      </c>
      <c r="AB4" s="3382" t="s">
        <v>524</v>
      </c>
      <c r="AC4" s="3382" t="s">
        <v>525</v>
      </c>
    </row>
    <row r="5" spans="1:29" ht="15">
      <c r="A5" s="514"/>
      <c r="B5" s="515"/>
      <c r="C5" s="3401" t="s">
        <v>2927</v>
      </c>
      <c r="D5" s="3402"/>
      <c r="E5" s="3422" t="s">
        <v>2928</v>
      </c>
      <c r="F5" s="3423"/>
      <c r="G5" s="3401" t="s">
        <v>2929</v>
      </c>
      <c r="H5" s="3402"/>
      <c r="I5" s="3401" t="s">
        <v>2930</v>
      </c>
      <c r="J5" s="3402"/>
      <c r="K5" s="513"/>
      <c r="L5" s="2117"/>
      <c r="M5" s="2118"/>
      <c r="N5" s="2118"/>
      <c r="O5" s="2118"/>
      <c r="P5" s="3503"/>
      <c r="Q5" s="3390"/>
      <c r="R5" s="3395"/>
      <c r="S5" s="3396"/>
      <c r="T5" s="3395"/>
      <c r="U5" s="3396"/>
      <c r="V5" s="3380"/>
      <c r="W5" s="3380"/>
      <c r="X5" s="1552"/>
      <c r="Y5" s="3395"/>
      <c r="Z5" s="3396"/>
      <c r="AA5" s="3383"/>
      <c r="AB5" s="3383"/>
      <c r="AC5" s="3383"/>
    </row>
    <row r="6" spans="1:29" ht="15.75" thickBot="1">
      <c r="A6" s="516"/>
      <c r="B6" s="517"/>
      <c r="C6" s="3399" t="s">
        <v>2931</v>
      </c>
      <c r="D6" s="3400"/>
      <c r="E6" s="3418" t="s">
        <v>2931</v>
      </c>
      <c r="F6" s="3419"/>
      <c r="G6" s="3399" t="s">
        <v>2931</v>
      </c>
      <c r="H6" s="3400"/>
      <c r="I6" s="3399" t="s">
        <v>2931</v>
      </c>
      <c r="J6" s="3400"/>
      <c r="K6" s="513" t="s">
        <v>528</v>
      </c>
      <c r="L6" s="2117"/>
      <c r="M6" s="2118"/>
      <c r="N6" s="2118"/>
      <c r="O6" s="2118"/>
      <c r="P6" s="3504"/>
      <c r="Q6" s="3392"/>
      <c r="R6" s="3395"/>
      <c r="S6" s="3396"/>
      <c r="T6" s="3397"/>
      <c r="U6" s="3398"/>
      <c r="V6" s="3380"/>
      <c r="W6" s="3380"/>
      <c r="X6" s="1552"/>
      <c r="Y6" s="3397"/>
      <c r="Z6" s="3398"/>
      <c r="AA6" s="3384"/>
      <c r="AB6" s="3384"/>
      <c r="AC6" s="3384"/>
    </row>
    <row r="7" spans="1:29" s="1215" customFormat="1" ht="15.75" thickBot="1">
      <c r="A7" s="2866"/>
      <c r="B7" s="2873" t="s">
        <v>529</v>
      </c>
      <c r="C7" s="518">
        <f>'数据-取费表'!B2</f>
        <v>43782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13" t="s">
        <v>530</v>
      </c>
      <c r="Q7" s="3413"/>
      <c r="R7" s="1553" t="s">
        <v>8</v>
      </c>
      <c r="S7" s="1554">
        <f t="shared" ref="S7:S15" si="0">F7</f>
        <v>0</v>
      </c>
      <c r="T7" s="1553" t="s">
        <v>8</v>
      </c>
      <c r="U7" s="1554">
        <f t="shared" ref="U7:U15" si="1">H7</f>
        <v>0</v>
      </c>
      <c r="V7" s="1553" t="s">
        <v>8</v>
      </c>
      <c r="W7" s="1554">
        <f t="shared" ref="W7:W15" si="2">J7</f>
        <v>0</v>
      </c>
      <c r="X7" s="1555"/>
      <c r="Y7" s="3411" t="s">
        <v>530</v>
      </c>
      <c r="Z7" s="3412"/>
      <c r="AA7" s="1556" t="e">
        <f>D7/F7</f>
        <v>#DIV/0!</v>
      </c>
      <c r="AB7" s="1556" t="e">
        <f>D7/H7</f>
        <v>#DIV/0!</v>
      </c>
      <c r="AC7" s="1556"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13" t="s">
        <v>533</v>
      </c>
      <c r="Q8" s="3412"/>
      <c r="R8" s="1553" t="s">
        <v>8</v>
      </c>
      <c r="S8" s="1554">
        <f t="shared" si="0"/>
        <v>0</v>
      </c>
      <c r="T8" s="1553" t="s">
        <v>8</v>
      </c>
      <c r="U8" s="1554">
        <f t="shared" si="1"/>
        <v>0</v>
      </c>
      <c r="V8" s="1553" t="s">
        <v>8</v>
      </c>
      <c r="W8" s="1554">
        <f t="shared" si="2"/>
        <v>0</v>
      </c>
      <c r="X8" s="1555"/>
      <c r="Y8" s="3411" t="s">
        <v>533</v>
      </c>
      <c r="Z8" s="3412"/>
      <c r="AA8" s="1556" t="e">
        <f t="shared" ref="AA8:AA47" si="3">D8/F8</f>
        <v>#DIV/0!</v>
      </c>
      <c r="AB8" s="1556" t="e">
        <f t="shared" ref="AB8:AB47" si="4">D8/H8</f>
        <v>#DIV/0!</v>
      </c>
      <c r="AC8" s="1556" t="e">
        <f t="shared" ref="AC8:AC47" si="5">D8/J8</f>
        <v>#DIV/0!</v>
      </c>
    </row>
    <row r="9" spans="1:29" s="1215" customFormat="1" ht="15">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79" t="s">
        <v>535</v>
      </c>
      <c r="Q9" s="1146" t="str">
        <f t="shared" ref="Q9:Q15" si="6">B9</f>
        <v>用途</v>
      </c>
      <c r="R9" s="1553" t="s">
        <v>8</v>
      </c>
      <c r="S9" s="1554">
        <f t="shared" si="0"/>
        <v>100</v>
      </c>
      <c r="T9" s="1553" t="s">
        <v>8</v>
      </c>
      <c r="U9" s="1554">
        <f t="shared" si="1"/>
        <v>100</v>
      </c>
      <c r="V9" s="1553" t="s">
        <v>8</v>
      </c>
      <c r="W9" s="1554">
        <f t="shared" si="2"/>
        <v>100</v>
      </c>
      <c r="X9" s="1555"/>
      <c r="Y9" s="332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79"/>
      <c r="Q11" s="1146" t="str">
        <f t="shared" si="6"/>
        <v>容积率</v>
      </c>
      <c r="R11" s="1553" t="s">
        <v>8</v>
      </c>
      <c r="S11" s="1554" t="e">
        <f t="shared" si="0"/>
        <v>#N/A</v>
      </c>
      <c r="T11" s="1553" t="s">
        <v>8</v>
      </c>
      <c r="U11" s="1554" t="e">
        <f t="shared" si="1"/>
        <v>#N/A</v>
      </c>
      <c r="V11" s="1553" t="s">
        <v>8</v>
      </c>
      <c r="W11" s="1554" t="e">
        <f t="shared" si="2"/>
        <v>#N/A</v>
      </c>
      <c r="X11" s="1555"/>
      <c r="Y11" s="332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79"/>
      <c r="Q12" s="1146">
        <f t="shared" si="6"/>
        <v>111</v>
      </c>
      <c r="R12" s="1553" t="s">
        <v>8</v>
      </c>
      <c r="S12" s="1554">
        <f t="shared" si="0"/>
        <v>100</v>
      </c>
      <c r="T12" s="1553" t="s">
        <v>8</v>
      </c>
      <c r="U12" s="1554">
        <f t="shared" si="1"/>
        <v>100</v>
      </c>
      <c r="V12" s="1553" t="s">
        <v>8</v>
      </c>
      <c r="W12" s="1554">
        <f t="shared" si="2"/>
        <v>100</v>
      </c>
      <c r="X12" s="1555"/>
      <c r="Y12" s="3325"/>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79"/>
      <c r="Q13" s="1146">
        <f t="shared" si="6"/>
        <v>111</v>
      </c>
      <c r="R13" s="1553" t="s">
        <v>8</v>
      </c>
      <c r="S13" s="1554">
        <f t="shared" si="0"/>
        <v>100</v>
      </c>
      <c r="T13" s="1553" t="s">
        <v>8</v>
      </c>
      <c r="U13" s="1554">
        <f t="shared" si="1"/>
        <v>100</v>
      </c>
      <c r="V13" s="1553" t="s">
        <v>8</v>
      </c>
      <c r="W13" s="1554">
        <f t="shared" si="2"/>
        <v>100</v>
      </c>
      <c r="X13" s="1555"/>
      <c r="Y13" s="3325"/>
      <c r="Z13" s="1145">
        <f t="shared" si="7"/>
        <v>111</v>
      </c>
      <c r="AA13" s="1556">
        <f t="shared" si="3"/>
        <v>1</v>
      </c>
      <c r="AB13" s="1556">
        <f t="shared" si="4"/>
        <v>1</v>
      </c>
      <c r="AC13" s="1556">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79"/>
      <c r="Q14" s="1146">
        <f t="shared" si="6"/>
        <v>111</v>
      </c>
      <c r="R14" s="1553" t="s">
        <v>8</v>
      </c>
      <c r="S14" s="1554">
        <f t="shared" si="0"/>
        <v>100</v>
      </c>
      <c r="T14" s="1553" t="s">
        <v>8</v>
      </c>
      <c r="U14" s="1554">
        <f t="shared" si="1"/>
        <v>100</v>
      </c>
      <c r="V14" s="1553" t="s">
        <v>8</v>
      </c>
      <c r="W14" s="1554">
        <f t="shared" si="2"/>
        <v>100</v>
      </c>
      <c r="X14" s="1555"/>
      <c r="Y14" s="3325"/>
      <c r="Z14" s="1145">
        <f t="shared" si="7"/>
        <v>111</v>
      </c>
      <c r="AA14" s="1556">
        <f t="shared" si="3"/>
        <v>1</v>
      </c>
      <c r="AB14" s="1556">
        <f t="shared" si="4"/>
        <v>1</v>
      </c>
      <c r="AC14" s="1556">
        <f t="shared" si="5"/>
        <v>1</v>
      </c>
    </row>
    <row r="15" spans="1:29" ht="15">
      <c r="A15" s="2864"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414" t="s">
        <v>540</v>
      </c>
      <c r="Q15" s="1557" t="str">
        <f t="shared" si="6"/>
        <v>办公集聚程度</v>
      </c>
      <c r="R15" s="1558" t="s">
        <v>8</v>
      </c>
      <c r="S15" s="1559">
        <f t="shared" si="0"/>
        <v>100</v>
      </c>
      <c r="T15" s="1558" t="s">
        <v>8</v>
      </c>
      <c r="U15" s="1559">
        <f t="shared" si="1"/>
        <v>100</v>
      </c>
      <c r="V15" s="1558" t="s">
        <v>8</v>
      </c>
      <c r="W15" s="1559">
        <f t="shared" si="2"/>
        <v>100</v>
      </c>
      <c r="X15" s="1552"/>
      <c r="Y15" s="3414"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415"/>
      <c r="Q16" s="1557"/>
      <c r="R16" s="1558"/>
      <c r="S16" s="1559"/>
      <c r="T16" s="1558"/>
      <c r="U16" s="1559"/>
      <c r="V16" s="1558"/>
      <c r="W16" s="1559"/>
      <c r="X16" s="1552"/>
      <c r="Y16" s="3415"/>
      <c r="Z16" s="1560"/>
      <c r="AA16" s="1561">
        <v>1</v>
      </c>
      <c r="AB16" s="1561">
        <v>1</v>
      </c>
      <c r="AC16" s="1561">
        <v>1</v>
      </c>
    </row>
    <row r="17" spans="1:29" ht="128.25">
      <c r="A17" s="531"/>
      <c r="B17" s="559" t="s">
        <v>296</v>
      </c>
      <c r="C17" s="572" t="str">
        <f>估价对象房地状况!C6</f>
        <v>估价对象周边道路状况较好、公共交通通达情况一般，有117路、119路等公交车、停车便捷程度较好，综合评价交通便捷度一般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415"/>
      <c r="Q17" s="1557" t="str">
        <f>B17</f>
        <v>交通便捷度</v>
      </c>
      <c r="R17" s="1558" t="s">
        <v>8</v>
      </c>
      <c r="S17" s="1559">
        <f>F17</f>
        <v>100</v>
      </c>
      <c r="T17" s="1558" t="s">
        <v>8</v>
      </c>
      <c r="U17" s="1559">
        <f>H17</f>
        <v>100</v>
      </c>
      <c r="V17" s="1558" t="s">
        <v>8</v>
      </c>
      <c r="W17" s="1559">
        <f>J17</f>
        <v>100</v>
      </c>
      <c r="X17" s="1552"/>
      <c r="Y17" s="3415"/>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415"/>
      <c r="Q18" s="1557"/>
      <c r="R18" s="1558"/>
      <c r="S18" s="1559"/>
      <c r="T18" s="1558"/>
      <c r="U18" s="1559"/>
      <c r="V18" s="1558"/>
      <c r="W18" s="1559"/>
      <c r="X18" s="1552"/>
      <c r="Y18" s="3415"/>
      <c r="Z18" s="1560"/>
      <c r="AA18" s="1561">
        <v>1</v>
      </c>
      <c r="AB18" s="1561">
        <v>1</v>
      </c>
      <c r="AC18" s="1561">
        <v>1</v>
      </c>
    </row>
    <row r="19" spans="1:29" ht="42.75">
      <c r="A19" s="531"/>
      <c r="B19" s="2566" t="s">
        <v>2546</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415"/>
      <c r="Q19" s="1557" t="str">
        <f>B19</f>
        <v>公共配套设施</v>
      </c>
      <c r="R19" s="1558" t="s">
        <v>8</v>
      </c>
      <c r="S19" s="1559">
        <f>F19</f>
        <v>100</v>
      </c>
      <c r="T19" s="1558" t="s">
        <v>8</v>
      </c>
      <c r="U19" s="1559">
        <f>H19</f>
        <v>100</v>
      </c>
      <c r="V19" s="1558" t="s">
        <v>8</v>
      </c>
      <c r="W19" s="1559">
        <f>J19</f>
        <v>100</v>
      </c>
      <c r="X19" s="1552"/>
      <c r="Y19" s="3415"/>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415"/>
      <c r="Q20" s="1557"/>
      <c r="R20" s="1558"/>
      <c r="S20" s="1559"/>
      <c r="T20" s="1558"/>
      <c r="U20" s="1559"/>
      <c r="V20" s="1558"/>
      <c r="W20" s="1559"/>
      <c r="X20" s="1552"/>
      <c r="Y20" s="3415"/>
      <c r="Z20" s="1560"/>
      <c r="AA20" s="1561">
        <v>1</v>
      </c>
      <c r="AB20" s="1561">
        <v>1</v>
      </c>
      <c r="AC20" s="1561">
        <v>1</v>
      </c>
    </row>
    <row r="21" spans="1:29" ht="42.75">
      <c r="A21" s="531"/>
      <c r="B21" s="2554" t="s">
        <v>2558</v>
      </c>
      <c r="C21" s="572" t="str">
        <f>估价对象房地状况!C8</f>
        <v>估价对象所在区域基础设施水平一般</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415"/>
      <c r="Q21" s="2542" t="str">
        <f>B21</f>
        <v>基础设施水平</v>
      </c>
      <c r="R21" s="1558" t="s">
        <v>8</v>
      </c>
      <c r="S21" s="1559">
        <f>F21</f>
        <v>100</v>
      </c>
      <c r="T21" s="1558" t="s">
        <v>8</v>
      </c>
      <c r="U21" s="1559">
        <f>H21</f>
        <v>100</v>
      </c>
      <c r="V21" s="1558" t="s">
        <v>8</v>
      </c>
      <c r="W21" s="1559">
        <f>J21</f>
        <v>100</v>
      </c>
      <c r="X21" s="2544"/>
      <c r="Y21" s="3415"/>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15"/>
      <c r="Q22" s="2542"/>
      <c r="R22" s="1558"/>
      <c r="S22" s="1559"/>
      <c r="T22" s="1558"/>
      <c r="U22" s="1559"/>
      <c r="V22" s="1558"/>
      <c r="W22" s="1559"/>
      <c r="X22" s="2544"/>
      <c r="Y22" s="3415"/>
      <c r="Z22" s="2543"/>
      <c r="AA22" s="1561">
        <v>1</v>
      </c>
      <c r="AB22" s="1561">
        <v>1</v>
      </c>
      <c r="AC22" s="1561">
        <v>1</v>
      </c>
    </row>
    <row r="23" spans="1:29" ht="71.25">
      <c r="A23" s="531"/>
      <c r="B23" s="559" t="s">
        <v>778</v>
      </c>
      <c r="C23" s="572" t="str">
        <f>估价对象房地状况!C9</f>
        <v>区域自然环境一般：；人文环境：南昌工学院；综合评价环境状况一般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415"/>
      <c r="Q23" s="1557" t="str">
        <f>B23</f>
        <v>环境质量</v>
      </c>
      <c r="R23" s="1558" t="s">
        <v>8</v>
      </c>
      <c r="S23" s="1559">
        <f>F23</f>
        <v>100</v>
      </c>
      <c r="T23" s="1558" t="s">
        <v>8</v>
      </c>
      <c r="U23" s="1559">
        <f>H23</f>
        <v>100</v>
      </c>
      <c r="V23" s="1558" t="s">
        <v>8</v>
      </c>
      <c r="W23" s="1559">
        <f>J23</f>
        <v>100</v>
      </c>
      <c r="X23" s="1552"/>
      <c r="Y23" s="3415"/>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415"/>
      <c r="Q24" s="1557"/>
      <c r="R24" s="1558"/>
      <c r="S24" s="1559"/>
      <c r="T24" s="1558"/>
      <c r="U24" s="1559"/>
      <c r="V24" s="1558"/>
      <c r="W24" s="1559"/>
      <c r="X24" s="1552"/>
      <c r="Y24" s="3415"/>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415"/>
      <c r="Q25" s="1557" t="str">
        <f>B25</f>
        <v>毗邻道路的类型与等级</v>
      </c>
      <c r="R25" s="1558" t="s">
        <v>8</v>
      </c>
      <c r="S25" s="1559">
        <f>F25</f>
        <v>100</v>
      </c>
      <c r="T25" s="1558" t="s">
        <v>8</v>
      </c>
      <c r="U25" s="1559">
        <f>H25</f>
        <v>100</v>
      </c>
      <c r="V25" s="1558" t="s">
        <v>8</v>
      </c>
      <c r="W25" s="1559">
        <f>J25</f>
        <v>100</v>
      </c>
      <c r="X25" s="1552"/>
      <c r="Y25" s="3415"/>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415"/>
      <c r="Q26" s="1557"/>
      <c r="R26" s="1558"/>
      <c r="S26" s="1559"/>
      <c r="T26" s="1558"/>
      <c r="U26" s="1559"/>
      <c r="V26" s="1558"/>
      <c r="W26" s="1559"/>
      <c r="X26" s="1552"/>
      <c r="Y26" s="3415"/>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15"/>
      <c r="Q27" s="1557" t="str">
        <f t="shared" ref="Q27:Q47" si="11">B27</f>
        <v>楼层</v>
      </c>
      <c r="R27" s="1558" t="s">
        <v>8</v>
      </c>
      <c r="S27" s="1559">
        <f>F27</f>
        <v>100</v>
      </c>
      <c r="T27" s="1558" t="s">
        <v>8</v>
      </c>
      <c r="U27" s="1559">
        <f>H27</f>
        <v>100</v>
      </c>
      <c r="V27" s="1558" t="s">
        <v>8</v>
      </c>
      <c r="W27" s="1559">
        <f>J27</f>
        <v>100</v>
      </c>
      <c r="X27" s="1552"/>
      <c r="Y27" s="3415"/>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15"/>
      <c r="Q28" s="1146" t="str">
        <f t="shared" si="11"/>
        <v>朝向</v>
      </c>
      <c r="R28" s="1553" t="s">
        <v>8</v>
      </c>
      <c r="S28" s="1554">
        <f>F28</f>
        <v>100</v>
      </c>
      <c r="T28" s="1553" t="s">
        <v>8</v>
      </c>
      <c r="U28" s="1554">
        <f>H28</f>
        <v>100</v>
      </c>
      <c r="V28" s="1553" t="s">
        <v>8</v>
      </c>
      <c r="W28" s="1554">
        <f>J28</f>
        <v>100</v>
      </c>
      <c r="X28" s="1555"/>
      <c r="Y28" s="3415"/>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15"/>
      <c r="Q29" s="1557">
        <f t="shared" si="11"/>
        <v>111</v>
      </c>
      <c r="R29" s="1558" t="s">
        <v>8</v>
      </c>
      <c r="S29" s="1559">
        <f t="shared" ref="S29:S47" si="12">F29</f>
        <v>100</v>
      </c>
      <c r="T29" s="1558" t="s">
        <v>8</v>
      </c>
      <c r="U29" s="1559">
        <f t="shared" ref="U29:U47" si="13">H29</f>
        <v>100</v>
      </c>
      <c r="V29" s="1558" t="s">
        <v>8</v>
      </c>
      <c r="W29" s="1559">
        <f t="shared" ref="W29:W47" si="14">J29</f>
        <v>100</v>
      </c>
      <c r="X29" s="1552"/>
      <c r="Y29" s="3415"/>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15"/>
      <c r="Q30" s="1557">
        <f t="shared" si="11"/>
        <v>111</v>
      </c>
      <c r="R30" s="1558" t="s">
        <v>8</v>
      </c>
      <c r="S30" s="1559">
        <f t="shared" si="12"/>
        <v>100</v>
      </c>
      <c r="T30" s="1558" t="s">
        <v>8</v>
      </c>
      <c r="U30" s="1559">
        <f t="shared" si="13"/>
        <v>100</v>
      </c>
      <c r="V30" s="1558" t="s">
        <v>8</v>
      </c>
      <c r="W30" s="1559">
        <f t="shared" si="14"/>
        <v>100</v>
      </c>
      <c r="X30" s="1552"/>
      <c r="Y30" s="3415"/>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15"/>
      <c r="Q31" s="1557">
        <f t="shared" si="11"/>
        <v>111</v>
      </c>
      <c r="R31" s="1558" t="s">
        <v>8</v>
      </c>
      <c r="S31" s="1559">
        <f t="shared" si="12"/>
        <v>100</v>
      </c>
      <c r="T31" s="1558" t="s">
        <v>8</v>
      </c>
      <c r="U31" s="1559">
        <f t="shared" si="13"/>
        <v>100</v>
      </c>
      <c r="V31" s="1558" t="s">
        <v>8</v>
      </c>
      <c r="W31" s="1559">
        <f t="shared" si="14"/>
        <v>100</v>
      </c>
      <c r="X31" s="1552"/>
      <c r="Y31" s="3415"/>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15"/>
      <c r="Q32" s="1557">
        <f t="shared" si="11"/>
        <v>111</v>
      </c>
      <c r="R32" s="1558" t="s">
        <v>8</v>
      </c>
      <c r="S32" s="1559">
        <f t="shared" si="12"/>
        <v>100</v>
      </c>
      <c r="T32" s="1558" t="s">
        <v>8</v>
      </c>
      <c r="U32" s="1559">
        <f t="shared" si="13"/>
        <v>100</v>
      </c>
      <c r="V32" s="1558" t="s">
        <v>8</v>
      </c>
      <c r="W32" s="1559">
        <f t="shared" si="14"/>
        <v>100</v>
      </c>
      <c r="X32" s="1552"/>
      <c r="Y32" s="3415"/>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16" t="s">
        <v>550</v>
      </c>
      <c r="Q33" s="1557" t="str">
        <f t="shared" si="11"/>
        <v>建筑类型</v>
      </c>
      <c r="R33" s="1558" t="s">
        <v>8</v>
      </c>
      <c r="S33" s="1559">
        <f t="shared" si="12"/>
        <v>100</v>
      </c>
      <c r="T33" s="1558" t="s">
        <v>8</v>
      </c>
      <c r="U33" s="1559">
        <f t="shared" si="13"/>
        <v>100</v>
      </c>
      <c r="V33" s="1558" t="s">
        <v>8</v>
      </c>
      <c r="W33" s="1559">
        <f t="shared" si="14"/>
        <v>100</v>
      </c>
      <c r="X33" s="1552"/>
      <c r="Y33" s="3417"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17"/>
      <c r="Q34" s="1589" t="str">
        <f t="shared" si="11"/>
        <v>项目建筑规模</v>
      </c>
      <c r="R34" s="1562" t="s">
        <v>8</v>
      </c>
      <c r="S34" s="1563" t="e">
        <f t="shared" si="12"/>
        <v>#N/A</v>
      </c>
      <c r="T34" s="1562" t="s">
        <v>8</v>
      </c>
      <c r="U34" s="1563" t="e">
        <f t="shared" si="13"/>
        <v>#N/A</v>
      </c>
      <c r="V34" s="1562" t="s">
        <v>8</v>
      </c>
      <c r="W34" s="1563" t="e">
        <f t="shared" si="14"/>
        <v>#N/A</v>
      </c>
      <c r="X34" s="1564"/>
      <c r="Y34" s="3417"/>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17"/>
      <c r="Q35" s="1557" t="str">
        <f t="shared" si="11"/>
        <v>建筑结构</v>
      </c>
      <c r="R35" s="1558" t="s">
        <v>8</v>
      </c>
      <c r="S35" s="1559">
        <f t="shared" si="12"/>
        <v>100</v>
      </c>
      <c r="T35" s="1558" t="s">
        <v>8</v>
      </c>
      <c r="U35" s="1559">
        <f t="shared" si="13"/>
        <v>100</v>
      </c>
      <c r="V35" s="1558" t="s">
        <v>8</v>
      </c>
      <c r="W35" s="1559">
        <f t="shared" si="14"/>
        <v>100</v>
      </c>
      <c r="X35" s="1552"/>
      <c r="Y35" s="3417"/>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17"/>
      <c r="Q36" s="1557" t="str">
        <f t="shared" si="11"/>
        <v>公共部分装修</v>
      </c>
      <c r="R36" s="1558" t="s">
        <v>8</v>
      </c>
      <c r="S36" s="1559">
        <f t="shared" si="12"/>
        <v>100</v>
      </c>
      <c r="T36" s="1558" t="s">
        <v>8</v>
      </c>
      <c r="U36" s="1559">
        <f t="shared" si="13"/>
        <v>100</v>
      </c>
      <c r="V36" s="1558" t="s">
        <v>8</v>
      </c>
      <c r="W36" s="1559">
        <f t="shared" si="14"/>
        <v>100</v>
      </c>
      <c r="X36" s="1552"/>
      <c r="Y36" s="3417"/>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17"/>
      <c r="Q37" s="1557" t="str">
        <f t="shared" si="11"/>
        <v>成新度</v>
      </c>
      <c r="R37" s="1558" t="s">
        <v>8</v>
      </c>
      <c r="S37" s="1559" t="e">
        <f t="shared" si="12"/>
        <v>#N/A</v>
      </c>
      <c r="T37" s="1558" t="s">
        <v>8</v>
      </c>
      <c r="U37" s="1559" t="e">
        <f t="shared" si="13"/>
        <v>#N/A</v>
      </c>
      <c r="V37" s="1558" t="s">
        <v>8</v>
      </c>
      <c r="W37" s="1559" t="e">
        <f t="shared" si="14"/>
        <v>#N/A</v>
      </c>
      <c r="X37" s="1552"/>
      <c r="Y37" s="3417"/>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17"/>
      <c r="Q38" s="1146" t="str">
        <f t="shared" si="11"/>
        <v>写字楼等级</v>
      </c>
      <c r="R38" s="1553" t="s">
        <v>8</v>
      </c>
      <c r="S38" s="1554">
        <f t="shared" si="12"/>
        <v>100</v>
      </c>
      <c r="T38" s="1553" t="s">
        <v>8</v>
      </c>
      <c r="U38" s="1554">
        <f t="shared" si="13"/>
        <v>100</v>
      </c>
      <c r="V38" s="1553" t="s">
        <v>8</v>
      </c>
      <c r="W38" s="1554">
        <f t="shared" si="14"/>
        <v>100</v>
      </c>
      <c r="X38" s="1555"/>
      <c r="Y38" s="3417"/>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17" t="s">
        <v>550</v>
      </c>
      <c r="Q39" s="1557" t="str">
        <f t="shared" si="11"/>
        <v>物业管理</v>
      </c>
      <c r="R39" s="1558" t="s">
        <v>8</v>
      </c>
      <c r="S39" s="1559">
        <f t="shared" si="12"/>
        <v>100</v>
      </c>
      <c r="T39" s="1558" t="s">
        <v>8</v>
      </c>
      <c r="U39" s="1559">
        <f t="shared" si="13"/>
        <v>100</v>
      </c>
      <c r="V39" s="1558" t="s">
        <v>8</v>
      </c>
      <c r="W39" s="1559">
        <f t="shared" si="14"/>
        <v>100</v>
      </c>
      <c r="X39" s="1552"/>
      <c r="Y39" s="3417"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17"/>
      <c r="Q40" s="1557" t="str">
        <f t="shared" si="11"/>
        <v>市政基础设施</v>
      </c>
      <c r="R40" s="1558" t="s">
        <v>8</v>
      </c>
      <c r="S40" s="1559">
        <f t="shared" si="12"/>
        <v>100</v>
      </c>
      <c r="T40" s="1558" t="s">
        <v>8</v>
      </c>
      <c r="U40" s="1559">
        <f t="shared" si="13"/>
        <v>100</v>
      </c>
      <c r="V40" s="1558" t="s">
        <v>8</v>
      </c>
      <c r="W40" s="1559">
        <f t="shared" si="14"/>
        <v>100</v>
      </c>
      <c r="X40" s="1552"/>
      <c r="Y40" s="3417"/>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17"/>
      <c r="Q41" s="1557" t="str">
        <f t="shared" si="11"/>
        <v>层高</v>
      </c>
      <c r="R41" s="1558" t="s">
        <v>8</v>
      </c>
      <c r="S41" s="1559">
        <f t="shared" si="12"/>
        <v>100</v>
      </c>
      <c r="T41" s="1558" t="s">
        <v>8</v>
      </c>
      <c r="U41" s="1559">
        <f t="shared" si="13"/>
        <v>100</v>
      </c>
      <c r="V41" s="1558" t="s">
        <v>8</v>
      </c>
      <c r="W41" s="1559">
        <f t="shared" si="14"/>
        <v>100</v>
      </c>
      <c r="X41" s="1552"/>
      <c r="Y41" s="3417"/>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17"/>
      <c r="Q42" s="1589" t="str">
        <f t="shared" si="11"/>
        <v>单套建筑面积</v>
      </c>
      <c r="R42" s="1562" t="s">
        <v>8</v>
      </c>
      <c r="S42" s="1563">
        <f t="shared" si="12"/>
        <v>100</v>
      </c>
      <c r="T42" s="1562" t="s">
        <v>8</v>
      </c>
      <c r="U42" s="1563">
        <f t="shared" si="13"/>
        <v>100</v>
      </c>
      <c r="V42" s="1562" t="s">
        <v>8</v>
      </c>
      <c r="W42" s="1563">
        <f t="shared" si="14"/>
        <v>100</v>
      </c>
      <c r="X42" s="1564"/>
      <c r="Y42" s="3417"/>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17"/>
      <c r="Q43" s="1557" t="str">
        <f t="shared" si="11"/>
        <v>内部装修</v>
      </c>
      <c r="R43" s="1558" t="s">
        <v>8</v>
      </c>
      <c r="S43" s="1559">
        <f t="shared" si="12"/>
        <v>100</v>
      </c>
      <c r="T43" s="1558" t="s">
        <v>8</v>
      </c>
      <c r="U43" s="1559">
        <f t="shared" si="13"/>
        <v>100</v>
      </c>
      <c r="V43" s="1558" t="s">
        <v>8</v>
      </c>
      <c r="W43" s="1559">
        <f t="shared" si="14"/>
        <v>100</v>
      </c>
      <c r="X43" s="1552"/>
      <c r="Y43" s="3417"/>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17"/>
      <c r="Q44" s="1557" t="str">
        <f t="shared" si="11"/>
        <v>内部装修维护情况</v>
      </c>
      <c r="R44" s="1558" t="s">
        <v>8</v>
      </c>
      <c r="S44" s="1559">
        <f t="shared" si="12"/>
        <v>100</v>
      </c>
      <c r="T44" s="1558" t="s">
        <v>8</v>
      </c>
      <c r="U44" s="1559">
        <f t="shared" si="13"/>
        <v>100</v>
      </c>
      <c r="V44" s="1558" t="s">
        <v>8</v>
      </c>
      <c r="W44" s="1559">
        <f t="shared" si="14"/>
        <v>100</v>
      </c>
      <c r="X44" s="1552"/>
      <c r="Y44" s="3417"/>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17"/>
      <c r="Q45" s="1146">
        <f t="shared" si="11"/>
        <v>111</v>
      </c>
      <c r="R45" s="1553" t="s">
        <v>8</v>
      </c>
      <c r="S45" s="1554">
        <f t="shared" si="12"/>
        <v>100</v>
      </c>
      <c r="T45" s="1553" t="s">
        <v>8</v>
      </c>
      <c r="U45" s="1554">
        <f t="shared" si="13"/>
        <v>100</v>
      </c>
      <c r="V45" s="1553" t="s">
        <v>8</v>
      </c>
      <c r="W45" s="1554">
        <f t="shared" si="14"/>
        <v>100</v>
      </c>
      <c r="X45" s="1555"/>
      <c r="Y45" s="3417"/>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17"/>
      <c r="Q46" s="1557">
        <f t="shared" si="11"/>
        <v>111</v>
      </c>
      <c r="R46" s="1558" t="s">
        <v>8</v>
      </c>
      <c r="S46" s="1559">
        <f t="shared" si="12"/>
        <v>100</v>
      </c>
      <c r="T46" s="1558" t="s">
        <v>8</v>
      </c>
      <c r="U46" s="1559">
        <f t="shared" si="13"/>
        <v>100</v>
      </c>
      <c r="V46" s="1558" t="s">
        <v>8</v>
      </c>
      <c r="W46" s="1559">
        <f t="shared" si="14"/>
        <v>100</v>
      </c>
      <c r="X46" s="1552"/>
      <c r="Y46" s="3417"/>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75"/>
      <c r="Q47" s="1557">
        <f t="shared" si="11"/>
        <v>111</v>
      </c>
      <c r="R47" s="1558" t="s">
        <v>8</v>
      </c>
      <c r="S47" s="1559">
        <f t="shared" si="12"/>
        <v>100</v>
      </c>
      <c r="T47" s="1558" t="s">
        <v>8</v>
      </c>
      <c r="U47" s="1559">
        <f t="shared" si="13"/>
        <v>100</v>
      </c>
      <c r="V47" s="1558" t="s">
        <v>8</v>
      </c>
      <c r="W47" s="1559">
        <f t="shared" si="14"/>
        <v>100</v>
      </c>
      <c r="X47" s="1552"/>
      <c r="Y47" s="3475"/>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3377" t="str">
        <f>A48</f>
        <v>成交单价（元/平方米）</v>
      </c>
      <c r="Q48" s="3379"/>
      <c r="R48" s="3474">
        <f>E48</f>
        <v>0</v>
      </c>
      <c r="S48" s="3474"/>
      <c r="T48" s="3474">
        <f>G48</f>
        <v>0</v>
      </c>
      <c r="U48" s="3474"/>
      <c r="V48" s="3474">
        <f>I48</f>
        <v>0</v>
      </c>
      <c r="W48" s="3474"/>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377" t="str">
        <f>A49</f>
        <v>比较价格（元/平方米）</v>
      </c>
      <c r="Q49" s="3379"/>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44"/>
      <c r="Y49" s="1544"/>
      <c r="Z49" s="1544"/>
      <c r="AA49" s="1544"/>
      <c r="AB49" s="1544"/>
      <c r="AC49" s="1544"/>
    </row>
    <row r="50" spans="1:29" ht="15.75" thickBot="1">
      <c r="A50" s="620" t="s">
        <v>2933</v>
      </c>
      <c r="B50" s="621"/>
      <c r="C50" s="2599" t="e">
        <f>R50</f>
        <v>#DIV/0!</v>
      </c>
      <c r="D50" s="2599"/>
      <c r="E50" s="2599"/>
      <c r="F50" s="2599"/>
      <c r="G50" s="2599"/>
      <c r="H50" s="2599"/>
      <c r="I50" s="2599"/>
      <c r="J50" s="2599"/>
      <c r="K50" s="1597"/>
      <c r="L50" s="2128"/>
      <c r="M50" s="2118"/>
      <c r="N50" s="2118"/>
      <c r="O50" s="2118"/>
      <c r="P50" s="3501" t="str">
        <f>A50</f>
        <v>估价对象XX用房的比较价格（楼面单价，元/平方米）</v>
      </c>
      <c r="Q50" s="3377"/>
      <c r="R50" s="3473" t="e">
        <f>IF(F1="售价",ROUND(AVERAGE(R49:V49),0),ROUND(AVERAGE(R49:V49),1))</f>
        <v>#DIV/0!</v>
      </c>
      <c r="S50" s="3473"/>
      <c r="T50" s="3473"/>
      <c r="U50" s="3473"/>
      <c r="V50" s="3473"/>
      <c r="W50" s="347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2019-11</v>
      </c>
      <c r="D59" s="2758">
        <f>EDATE(C59,-1)</f>
        <v>43739</v>
      </c>
      <c r="E59" s="2758">
        <f t="shared" ref="E59:O59" si="16">EDATE(D59,-1)</f>
        <v>43709</v>
      </c>
      <c r="F59" s="2758">
        <f t="shared" si="16"/>
        <v>43678</v>
      </c>
      <c r="G59" s="2758">
        <f t="shared" si="16"/>
        <v>43647</v>
      </c>
      <c r="H59" s="2758">
        <f t="shared" si="16"/>
        <v>43617</v>
      </c>
      <c r="I59" s="2758">
        <f t="shared" si="16"/>
        <v>43586</v>
      </c>
      <c r="J59" s="2758">
        <f t="shared" si="16"/>
        <v>43556</v>
      </c>
      <c r="K59" s="2758">
        <f t="shared" si="16"/>
        <v>43525</v>
      </c>
      <c r="L59" s="2758">
        <f t="shared" si="16"/>
        <v>43497</v>
      </c>
      <c r="M59" s="2758">
        <f t="shared" si="16"/>
        <v>43466</v>
      </c>
      <c r="N59" s="2758">
        <f t="shared" si="16"/>
        <v>43435</v>
      </c>
      <c r="O59" s="2758">
        <f t="shared" si="16"/>
        <v>43405</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385" t="s">
        <v>522</v>
      </c>
      <c r="D4" s="3386"/>
      <c r="E4" s="3420" t="s">
        <v>523</v>
      </c>
      <c r="F4" s="3421"/>
      <c r="G4" s="3385" t="s">
        <v>524</v>
      </c>
      <c r="H4" s="3386"/>
      <c r="I4" s="3385" t="s">
        <v>525</v>
      </c>
      <c r="J4" s="3386"/>
      <c r="K4" s="513" t="s">
        <v>526</v>
      </c>
      <c r="L4" s="2117"/>
      <c r="M4" s="2118"/>
      <c r="N4" s="2118"/>
      <c r="O4" s="2118"/>
      <c r="P4" s="3387" t="s">
        <v>527</v>
      </c>
      <c r="Q4" s="3388"/>
      <c r="R4" s="3393" t="s">
        <v>523</v>
      </c>
      <c r="S4" s="3394"/>
      <c r="T4" s="3393" t="s">
        <v>524</v>
      </c>
      <c r="U4" s="3394"/>
      <c r="V4" s="3380" t="s">
        <v>525</v>
      </c>
      <c r="W4" s="3380"/>
      <c r="X4" s="1552"/>
      <c r="Y4" s="3393" t="s">
        <v>527</v>
      </c>
      <c r="Z4" s="3394"/>
      <c r="AA4" s="3382" t="s">
        <v>523</v>
      </c>
      <c r="AB4" s="3383" t="s">
        <v>524</v>
      </c>
      <c r="AC4" s="3382" t="s">
        <v>525</v>
      </c>
    </row>
    <row r="5" spans="1:29" ht="15">
      <c r="A5" s="514"/>
      <c r="B5" s="515"/>
      <c r="C5" s="3401" t="s">
        <v>2927</v>
      </c>
      <c r="D5" s="3402"/>
      <c r="E5" s="3422" t="s">
        <v>2928</v>
      </c>
      <c r="F5" s="3423"/>
      <c r="G5" s="3401" t="s">
        <v>2929</v>
      </c>
      <c r="H5" s="3402"/>
      <c r="I5" s="3401" t="s">
        <v>2930</v>
      </c>
      <c r="J5" s="3402"/>
      <c r="K5" s="513"/>
      <c r="L5" s="2117"/>
      <c r="M5" s="2118"/>
      <c r="N5" s="2118"/>
      <c r="O5" s="2118"/>
      <c r="P5" s="3389"/>
      <c r="Q5" s="3390"/>
      <c r="R5" s="3395"/>
      <c r="S5" s="3396"/>
      <c r="T5" s="3395"/>
      <c r="U5" s="3396"/>
      <c r="V5" s="3380"/>
      <c r="W5" s="3380"/>
      <c r="X5" s="1552"/>
      <c r="Y5" s="3395"/>
      <c r="Z5" s="3396"/>
      <c r="AA5" s="3383"/>
      <c r="AB5" s="3383"/>
      <c r="AC5" s="3383"/>
    </row>
    <row r="6" spans="1:29" ht="15.75" thickBot="1">
      <c r="A6" s="516"/>
      <c r="B6" s="517"/>
      <c r="C6" s="3399" t="s">
        <v>2931</v>
      </c>
      <c r="D6" s="3400"/>
      <c r="E6" s="3418" t="s">
        <v>2931</v>
      </c>
      <c r="F6" s="3419"/>
      <c r="G6" s="3399" t="s">
        <v>2931</v>
      </c>
      <c r="H6" s="3400"/>
      <c r="I6" s="3399" t="s">
        <v>2931</v>
      </c>
      <c r="J6" s="3400"/>
      <c r="K6" s="513" t="s">
        <v>528</v>
      </c>
      <c r="L6" s="2117"/>
      <c r="M6" s="2118"/>
      <c r="N6" s="2118"/>
      <c r="O6" s="2118"/>
      <c r="P6" s="3391"/>
      <c r="Q6" s="3392"/>
      <c r="R6" s="3395"/>
      <c r="S6" s="3396"/>
      <c r="T6" s="3397"/>
      <c r="U6" s="3398"/>
      <c r="V6" s="3380"/>
      <c r="W6" s="3380"/>
      <c r="X6" s="1552"/>
      <c r="Y6" s="3397"/>
      <c r="Z6" s="3398"/>
      <c r="AA6" s="3384"/>
      <c r="AB6" s="3384"/>
      <c r="AC6" s="3384"/>
    </row>
    <row r="7" spans="1:29" s="1215" customFormat="1" ht="15.75" thickBot="1">
      <c r="A7" s="2866"/>
      <c r="B7" s="2873" t="s">
        <v>529</v>
      </c>
      <c r="C7" s="518">
        <f>'数据-取费表'!B2</f>
        <v>43782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11" t="s">
        <v>530</v>
      </c>
      <c r="Q7" s="3413"/>
      <c r="R7" s="1553" t="s">
        <v>8</v>
      </c>
      <c r="S7" s="1554">
        <f t="shared" ref="S7:S15" si="0">F7</f>
        <v>0</v>
      </c>
      <c r="T7" s="1553" t="s">
        <v>8</v>
      </c>
      <c r="U7" s="1554">
        <f t="shared" ref="U7:U15" si="1">H7</f>
        <v>0</v>
      </c>
      <c r="V7" s="1553" t="s">
        <v>8</v>
      </c>
      <c r="W7" s="1554">
        <f t="shared" ref="W7:W15" si="2">J7</f>
        <v>0</v>
      </c>
      <c r="X7" s="1555"/>
      <c r="Y7" s="3411" t="s">
        <v>530</v>
      </c>
      <c r="Z7" s="3412"/>
      <c r="AA7" s="1556" t="e">
        <f>D7/F7</f>
        <v>#DIV/0!</v>
      </c>
      <c r="AB7" s="1556" t="e">
        <f>D7/H7</f>
        <v>#DIV/0!</v>
      </c>
      <c r="AC7" s="1556"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11" t="s">
        <v>533</v>
      </c>
      <c r="Q8" s="3412"/>
      <c r="R8" s="1553" t="s">
        <v>8</v>
      </c>
      <c r="S8" s="1554">
        <f t="shared" si="0"/>
        <v>0</v>
      </c>
      <c r="T8" s="1553" t="s">
        <v>8</v>
      </c>
      <c r="U8" s="1554">
        <f t="shared" si="1"/>
        <v>0</v>
      </c>
      <c r="V8" s="1553" t="s">
        <v>8</v>
      </c>
      <c r="W8" s="1554">
        <f t="shared" si="2"/>
        <v>0</v>
      </c>
      <c r="X8" s="1555"/>
      <c r="Y8" s="3411" t="s">
        <v>533</v>
      </c>
      <c r="Z8" s="3412"/>
      <c r="AA8" s="1556" t="e">
        <f t="shared" ref="AA8:AA40" si="3">D8/F8</f>
        <v>#DIV/0!</v>
      </c>
      <c r="AB8" s="1556" t="e">
        <f t="shared" ref="AB8:AB40" si="4">D8/H8</f>
        <v>#DIV/0!</v>
      </c>
      <c r="AC8" s="1556" t="e">
        <f t="shared" ref="AC8:AC40" si="5">D8/J8</f>
        <v>#DIV/0!</v>
      </c>
    </row>
    <row r="9" spans="1:29" s="1215" customFormat="1" ht="15">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79" t="s">
        <v>535</v>
      </c>
      <c r="Q9" s="1146" t="str">
        <f t="shared" ref="Q9:Q15" si="6">B9</f>
        <v>用途</v>
      </c>
      <c r="R9" s="1553" t="s">
        <v>8</v>
      </c>
      <c r="S9" s="1554">
        <f t="shared" si="0"/>
        <v>100</v>
      </c>
      <c r="T9" s="1553" t="s">
        <v>8</v>
      </c>
      <c r="U9" s="1554">
        <f t="shared" si="1"/>
        <v>100</v>
      </c>
      <c r="V9" s="1553" t="s">
        <v>8</v>
      </c>
      <c r="W9" s="1554">
        <f t="shared" si="2"/>
        <v>100</v>
      </c>
      <c r="X9" s="1555"/>
      <c r="Y9" s="332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79"/>
      <c r="Q11" s="1146" t="str">
        <f t="shared" si="6"/>
        <v>容积率</v>
      </c>
      <c r="R11" s="1553" t="s">
        <v>8</v>
      </c>
      <c r="S11" s="1554" t="e">
        <f t="shared" si="0"/>
        <v>#N/A</v>
      </c>
      <c r="T11" s="1553" t="s">
        <v>8</v>
      </c>
      <c r="U11" s="1554" t="e">
        <f t="shared" si="1"/>
        <v>#N/A</v>
      </c>
      <c r="V11" s="1553" t="s">
        <v>8</v>
      </c>
      <c r="W11" s="1554" t="e">
        <f t="shared" si="2"/>
        <v>#N/A</v>
      </c>
      <c r="X11" s="1555"/>
      <c r="Y11" s="332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79"/>
      <c r="Q12" s="1146">
        <f t="shared" si="6"/>
        <v>111</v>
      </c>
      <c r="R12" s="1553" t="s">
        <v>8</v>
      </c>
      <c r="S12" s="1554">
        <f t="shared" si="0"/>
        <v>100</v>
      </c>
      <c r="T12" s="1553" t="s">
        <v>8</v>
      </c>
      <c r="U12" s="1554">
        <f t="shared" si="1"/>
        <v>100</v>
      </c>
      <c r="V12" s="1553" t="s">
        <v>8</v>
      </c>
      <c r="W12" s="1554">
        <f t="shared" si="2"/>
        <v>100</v>
      </c>
      <c r="X12" s="1555"/>
      <c r="Y12" s="3325"/>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79"/>
      <c r="Q13" s="1146">
        <f t="shared" si="6"/>
        <v>111</v>
      </c>
      <c r="R13" s="1553" t="s">
        <v>8</v>
      </c>
      <c r="S13" s="1554">
        <f t="shared" si="0"/>
        <v>100</v>
      </c>
      <c r="T13" s="1553" t="s">
        <v>8</v>
      </c>
      <c r="U13" s="1554">
        <f t="shared" si="1"/>
        <v>100</v>
      </c>
      <c r="V13" s="1553" t="s">
        <v>8</v>
      </c>
      <c r="W13" s="1554">
        <f t="shared" si="2"/>
        <v>100</v>
      </c>
      <c r="X13" s="1555"/>
      <c r="Y13" s="3325"/>
      <c r="Z13" s="1145">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79"/>
      <c r="Q14" s="1146">
        <f t="shared" si="6"/>
        <v>111</v>
      </c>
      <c r="R14" s="1553" t="s">
        <v>8</v>
      </c>
      <c r="S14" s="1554">
        <f t="shared" si="0"/>
        <v>100</v>
      </c>
      <c r="T14" s="1553" t="s">
        <v>8</v>
      </c>
      <c r="U14" s="1554">
        <f t="shared" si="1"/>
        <v>100</v>
      </c>
      <c r="V14" s="1553" t="s">
        <v>8</v>
      </c>
      <c r="W14" s="1554">
        <f t="shared" si="2"/>
        <v>100</v>
      </c>
      <c r="X14" s="1555"/>
      <c r="Y14" s="3325"/>
      <c r="Z14" s="1145">
        <f t="shared" si="7"/>
        <v>111</v>
      </c>
      <c r="AA14" s="1556">
        <f t="shared" si="3"/>
        <v>1</v>
      </c>
      <c r="AB14" s="1556">
        <f t="shared" si="4"/>
        <v>1</v>
      </c>
      <c r="AC14" s="1556">
        <f t="shared" si="5"/>
        <v>1</v>
      </c>
    </row>
    <row r="15" spans="1:29" ht="57">
      <c r="A15" s="286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14" t="s">
        <v>540</v>
      </c>
      <c r="Q15" s="1557" t="str">
        <f t="shared" si="6"/>
        <v>产业集聚程度</v>
      </c>
      <c r="R15" s="1558" t="s">
        <v>8</v>
      </c>
      <c r="S15" s="1559">
        <f t="shared" si="0"/>
        <v>100</v>
      </c>
      <c r="T15" s="1558" t="s">
        <v>8</v>
      </c>
      <c r="U15" s="1559">
        <f t="shared" si="1"/>
        <v>100</v>
      </c>
      <c r="V15" s="1558" t="s">
        <v>8</v>
      </c>
      <c r="W15" s="1559">
        <f t="shared" si="2"/>
        <v>100</v>
      </c>
      <c r="X15" s="1552"/>
      <c r="Y15" s="3414"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15"/>
      <c r="Q16" s="1557"/>
      <c r="R16" s="1558"/>
      <c r="S16" s="1559"/>
      <c r="T16" s="1558"/>
      <c r="U16" s="1559"/>
      <c r="V16" s="1558"/>
      <c r="W16" s="1559"/>
      <c r="X16" s="1552"/>
      <c r="Y16" s="3415"/>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15"/>
      <c r="Q17" s="1557" t="str">
        <f>B17</f>
        <v>交通便捷度</v>
      </c>
      <c r="R17" s="1558" t="s">
        <v>8</v>
      </c>
      <c r="S17" s="1559">
        <f>F17</f>
        <v>100</v>
      </c>
      <c r="T17" s="1558" t="s">
        <v>8</v>
      </c>
      <c r="U17" s="1559">
        <f>H17</f>
        <v>100</v>
      </c>
      <c r="V17" s="1558" t="s">
        <v>8</v>
      </c>
      <c r="W17" s="1559">
        <f>J17</f>
        <v>100</v>
      </c>
      <c r="X17" s="1552"/>
      <c r="Y17" s="3415"/>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15"/>
      <c r="Q18" s="1557"/>
      <c r="R18" s="1558"/>
      <c r="S18" s="1559"/>
      <c r="T18" s="1558"/>
      <c r="U18" s="1559"/>
      <c r="V18" s="1558"/>
      <c r="W18" s="1559"/>
      <c r="X18" s="1552"/>
      <c r="Y18" s="3415"/>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15"/>
      <c r="Q19" s="1557" t="str">
        <f>B19</f>
        <v>公共配套设施</v>
      </c>
      <c r="R19" s="1558" t="s">
        <v>8</v>
      </c>
      <c r="S19" s="1559">
        <f>F19</f>
        <v>100</v>
      </c>
      <c r="T19" s="1558" t="s">
        <v>8</v>
      </c>
      <c r="U19" s="1559">
        <f>H19</f>
        <v>100</v>
      </c>
      <c r="V19" s="1558" t="s">
        <v>8</v>
      </c>
      <c r="W19" s="1559">
        <f>J19</f>
        <v>100</v>
      </c>
      <c r="X19" s="1552"/>
      <c r="Y19" s="3415"/>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415"/>
      <c r="Q20" s="1557"/>
      <c r="R20" s="1558"/>
      <c r="S20" s="1559"/>
      <c r="T20" s="1558"/>
      <c r="U20" s="1559"/>
      <c r="V20" s="1558"/>
      <c r="W20" s="1559"/>
      <c r="X20" s="1552"/>
      <c r="Y20" s="3415"/>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15"/>
      <c r="Q21" s="2542" t="str">
        <f>B21</f>
        <v>基础设施水平</v>
      </c>
      <c r="R21" s="1558" t="s">
        <v>8</v>
      </c>
      <c r="S21" s="1559">
        <f>F21</f>
        <v>100</v>
      </c>
      <c r="T21" s="1558" t="s">
        <v>8</v>
      </c>
      <c r="U21" s="1559">
        <f>H21</f>
        <v>100</v>
      </c>
      <c r="V21" s="1558" t="s">
        <v>8</v>
      </c>
      <c r="W21" s="1559">
        <f>J21</f>
        <v>100</v>
      </c>
      <c r="X21" s="2544"/>
      <c r="Y21" s="3415"/>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15"/>
      <c r="Q22" s="2542"/>
      <c r="R22" s="1558"/>
      <c r="S22" s="1559"/>
      <c r="T22" s="1558"/>
      <c r="U22" s="1559"/>
      <c r="V22" s="1558"/>
      <c r="W22" s="1559"/>
      <c r="X22" s="2544"/>
      <c r="Y22" s="3415"/>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15"/>
      <c r="Q23" s="1557" t="str">
        <f>B23</f>
        <v>环境质量</v>
      </c>
      <c r="R23" s="1558" t="s">
        <v>8</v>
      </c>
      <c r="S23" s="1559">
        <f>F23</f>
        <v>100</v>
      </c>
      <c r="T23" s="1558" t="s">
        <v>8</v>
      </c>
      <c r="U23" s="1559">
        <f>H23</f>
        <v>100</v>
      </c>
      <c r="V23" s="1558" t="s">
        <v>8</v>
      </c>
      <c r="W23" s="1559">
        <f>J23</f>
        <v>100</v>
      </c>
      <c r="X23" s="1552"/>
      <c r="Y23" s="3415"/>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415"/>
      <c r="Q24" s="1557"/>
      <c r="R24" s="1558"/>
      <c r="S24" s="1559"/>
      <c r="T24" s="1558"/>
      <c r="U24" s="1559"/>
      <c r="V24" s="1558"/>
      <c r="W24" s="1559"/>
      <c r="X24" s="1552"/>
      <c r="Y24" s="3415"/>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15"/>
      <c r="Q25" s="1557">
        <f>B25</f>
        <v>111</v>
      </c>
      <c r="R25" s="1558" t="s">
        <v>8</v>
      </c>
      <c r="S25" s="1559">
        <f>F25</f>
        <v>100</v>
      </c>
      <c r="T25" s="1558" t="s">
        <v>8</v>
      </c>
      <c r="U25" s="1559">
        <f>H25</f>
        <v>100</v>
      </c>
      <c r="V25" s="1558" t="s">
        <v>8</v>
      </c>
      <c r="W25" s="1559">
        <f>J25</f>
        <v>100</v>
      </c>
      <c r="X25" s="1552"/>
      <c r="Y25" s="3415"/>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15"/>
      <c r="Q26" s="1557">
        <f t="shared" ref="Q26:Q40" si="11">B26</f>
        <v>111</v>
      </c>
      <c r="R26" s="1558" t="s">
        <v>8</v>
      </c>
      <c r="S26" s="1559">
        <f>F26</f>
        <v>100</v>
      </c>
      <c r="T26" s="1558" t="s">
        <v>8</v>
      </c>
      <c r="U26" s="1559">
        <f>H26</f>
        <v>100</v>
      </c>
      <c r="V26" s="1558" t="s">
        <v>8</v>
      </c>
      <c r="W26" s="1559">
        <f>J26</f>
        <v>100</v>
      </c>
      <c r="X26" s="1552"/>
      <c r="Y26" s="3415"/>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15"/>
      <c r="Q27" s="1146">
        <f t="shared" si="11"/>
        <v>111</v>
      </c>
      <c r="R27" s="1553" t="s">
        <v>8</v>
      </c>
      <c r="S27" s="1554">
        <f>F27</f>
        <v>100</v>
      </c>
      <c r="T27" s="1553" t="s">
        <v>8</v>
      </c>
      <c r="U27" s="1554">
        <f>H27</f>
        <v>100</v>
      </c>
      <c r="V27" s="1553" t="s">
        <v>8</v>
      </c>
      <c r="W27" s="1554">
        <f>J27</f>
        <v>100</v>
      </c>
      <c r="X27" s="1555"/>
      <c r="Y27" s="3415"/>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15"/>
      <c r="Q28" s="1557">
        <f t="shared" si="11"/>
        <v>111</v>
      </c>
      <c r="R28" s="1558" t="s">
        <v>8</v>
      </c>
      <c r="S28" s="1559">
        <f t="shared" ref="S28:S40" si="12">F28</f>
        <v>100</v>
      </c>
      <c r="T28" s="1558" t="s">
        <v>8</v>
      </c>
      <c r="U28" s="1559">
        <f t="shared" ref="U28:U40" si="13">H28</f>
        <v>100</v>
      </c>
      <c r="V28" s="1558" t="s">
        <v>8</v>
      </c>
      <c r="W28" s="1559">
        <f t="shared" ref="W28:W40" si="14">J28</f>
        <v>100</v>
      </c>
      <c r="X28" s="1552"/>
      <c r="Y28" s="3415"/>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16" t="s">
        <v>550</v>
      </c>
      <c r="Q29" s="1557" t="str">
        <f t="shared" si="11"/>
        <v>建筑类型</v>
      </c>
      <c r="R29" s="1558" t="s">
        <v>8</v>
      </c>
      <c r="S29" s="1559">
        <f t="shared" si="12"/>
        <v>100</v>
      </c>
      <c r="T29" s="1558" t="s">
        <v>8</v>
      </c>
      <c r="U29" s="1559">
        <f t="shared" si="13"/>
        <v>100</v>
      </c>
      <c r="V29" s="1558" t="s">
        <v>8</v>
      </c>
      <c r="W29" s="1559">
        <f t="shared" si="14"/>
        <v>100</v>
      </c>
      <c r="X29" s="1552"/>
      <c r="Y29" s="3417"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17"/>
      <c r="Q30" s="1589" t="str">
        <f t="shared" si="11"/>
        <v>项目建筑规模</v>
      </c>
      <c r="R30" s="1562" t="s">
        <v>8</v>
      </c>
      <c r="S30" s="1563" t="e">
        <f t="shared" si="12"/>
        <v>#N/A</v>
      </c>
      <c r="T30" s="1562" t="s">
        <v>8</v>
      </c>
      <c r="U30" s="1563" t="e">
        <f t="shared" si="13"/>
        <v>#N/A</v>
      </c>
      <c r="V30" s="1562" t="s">
        <v>8</v>
      </c>
      <c r="W30" s="1563" t="e">
        <f t="shared" si="14"/>
        <v>#N/A</v>
      </c>
      <c r="X30" s="1564"/>
      <c r="Y30" s="3417"/>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17"/>
      <c r="Q31" s="1557" t="str">
        <f t="shared" si="11"/>
        <v>建筑结构</v>
      </c>
      <c r="R31" s="1558" t="s">
        <v>8</v>
      </c>
      <c r="S31" s="1559">
        <f t="shared" si="12"/>
        <v>100</v>
      </c>
      <c r="T31" s="1558" t="s">
        <v>8</v>
      </c>
      <c r="U31" s="1559">
        <f t="shared" si="13"/>
        <v>100</v>
      </c>
      <c r="V31" s="1558" t="s">
        <v>8</v>
      </c>
      <c r="W31" s="1559">
        <f t="shared" si="14"/>
        <v>100</v>
      </c>
      <c r="X31" s="1552"/>
      <c r="Y31" s="3417"/>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17"/>
      <c r="Q32" s="1557" t="str">
        <f t="shared" si="11"/>
        <v>公共部分装修</v>
      </c>
      <c r="R32" s="1558" t="s">
        <v>8</v>
      </c>
      <c r="S32" s="1559">
        <f t="shared" si="12"/>
        <v>100</v>
      </c>
      <c r="T32" s="1558" t="s">
        <v>8</v>
      </c>
      <c r="U32" s="1559">
        <f t="shared" si="13"/>
        <v>100</v>
      </c>
      <c r="V32" s="1558" t="s">
        <v>8</v>
      </c>
      <c r="W32" s="1559">
        <f t="shared" si="14"/>
        <v>100</v>
      </c>
      <c r="X32" s="1552"/>
      <c r="Y32" s="3417"/>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17"/>
      <c r="Q33" s="1557" t="str">
        <f t="shared" si="11"/>
        <v>成新度</v>
      </c>
      <c r="R33" s="1558" t="s">
        <v>8</v>
      </c>
      <c r="S33" s="1559" t="e">
        <f t="shared" si="12"/>
        <v>#N/A</v>
      </c>
      <c r="T33" s="1558" t="s">
        <v>8</v>
      </c>
      <c r="U33" s="1559" t="e">
        <f t="shared" si="13"/>
        <v>#N/A</v>
      </c>
      <c r="V33" s="1558" t="s">
        <v>8</v>
      </c>
      <c r="W33" s="1559" t="e">
        <f t="shared" si="14"/>
        <v>#N/A</v>
      </c>
      <c r="X33" s="1552"/>
      <c r="Y33" s="3417"/>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17"/>
      <c r="Q34" s="1146" t="str">
        <f t="shared" si="11"/>
        <v>物业管理</v>
      </c>
      <c r="R34" s="1553" t="s">
        <v>8</v>
      </c>
      <c r="S34" s="1554">
        <f t="shared" si="12"/>
        <v>100</v>
      </c>
      <c r="T34" s="1553" t="s">
        <v>8</v>
      </c>
      <c r="U34" s="1554">
        <f t="shared" si="13"/>
        <v>100</v>
      </c>
      <c r="V34" s="1553" t="s">
        <v>8</v>
      </c>
      <c r="W34" s="1554">
        <f t="shared" si="14"/>
        <v>100</v>
      </c>
      <c r="X34" s="1555"/>
      <c r="Y34" s="3417"/>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17" t="s">
        <v>550</v>
      </c>
      <c r="Q35" s="1557" t="str">
        <f t="shared" si="11"/>
        <v>市政基础设施</v>
      </c>
      <c r="R35" s="1558" t="s">
        <v>8</v>
      </c>
      <c r="S35" s="1559">
        <f t="shared" si="12"/>
        <v>100</v>
      </c>
      <c r="T35" s="1558" t="s">
        <v>8</v>
      </c>
      <c r="U35" s="1559">
        <f t="shared" si="13"/>
        <v>100</v>
      </c>
      <c r="V35" s="1558" t="s">
        <v>8</v>
      </c>
      <c r="W35" s="1559">
        <f t="shared" si="14"/>
        <v>100</v>
      </c>
      <c r="X35" s="1552"/>
      <c r="Y35" s="3417"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17"/>
      <c r="Q36" s="1557" t="str">
        <f t="shared" si="11"/>
        <v>内部装修</v>
      </c>
      <c r="R36" s="1558" t="s">
        <v>8</v>
      </c>
      <c r="S36" s="1559">
        <f t="shared" si="12"/>
        <v>100</v>
      </c>
      <c r="T36" s="1558" t="s">
        <v>8</v>
      </c>
      <c r="U36" s="1559">
        <f t="shared" si="13"/>
        <v>100</v>
      </c>
      <c r="V36" s="1558" t="s">
        <v>8</v>
      </c>
      <c r="W36" s="1559">
        <f t="shared" si="14"/>
        <v>100</v>
      </c>
      <c r="X36" s="1552"/>
      <c r="Y36" s="3417"/>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17"/>
      <c r="Q37" s="1557" t="str">
        <f t="shared" si="11"/>
        <v>内部装修状况</v>
      </c>
      <c r="R37" s="1558" t="s">
        <v>8</v>
      </c>
      <c r="S37" s="1559">
        <f t="shared" si="12"/>
        <v>100</v>
      </c>
      <c r="T37" s="1558" t="s">
        <v>8</v>
      </c>
      <c r="U37" s="1559">
        <f t="shared" si="13"/>
        <v>100</v>
      </c>
      <c r="V37" s="1558" t="s">
        <v>8</v>
      </c>
      <c r="W37" s="1559">
        <f t="shared" si="14"/>
        <v>100</v>
      </c>
      <c r="X37" s="1552"/>
      <c r="Y37" s="3417"/>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17"/>
      <c r="Q38" s="1589">
        <f t="shared" si="11"/>
        <v>111</v>
      </c>
      <c r="R38" s="1562" t="s">
        <v>8</v>
      </c>
      <c r="S38" s="1563">
        <f t="shared" si="12"/>
        <v>100</v>
      </c>
      <c r="T38" s="1562" t="s">
        <v>8</v>
      </c>
      <c r="U38" s="1563">
        <f t="shared" si="13"/>
        <v>100</v>
      </c>
      <c r="V38" s="1562" t="s">
        <v>8</v>
      </c>
      <c r="W38" s="1563">
        <f t="shared" si="14"/>
        <v>100</v>
      </c>
      <c r="X38" s="1564"/>
      <c r="Y38" s="3417"/>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17"/>
      <c r="Q39" s="1557">
        <f t="shared" si="11"/>
        <v>111</v>
      </c>
      <c r="R39" s="1558" t="s">
        <v>8</v>
      </c>
      <c r="S39" s="1559">
        <f t="shared" si="12"/>
        <v>100</v>
      </c>
      <c r="T39" s="1558" t="s">
        <v>8</v>
      </c>
      <c r="U39" s="1559">
        <f t="shared" si="13"/>
        <v>100</v>
      </c>
      <c r="V39" s="1558" t="s">
        <v>8</v>
      </c>
      <c r="W39" s="1559">
        <f t="shared" si="14"/>
        <v>100</v>
      </c>
      <c r="X39" s="1552"/>
      <c r="Y39" s="3417"/>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75"/>
      <c r="Q40" s="1557">
        <f t="shared" si="11"/>
        <v>111</v>
      </c>
      <c r="R40" s="1558" t="s">
        <v>8</v>
      </c>
      <c r="S40" s="1559">
        <f t="shared" si="12"/>
        <v>100</v>
      </c>
      <c r="T40" s="1558" t="s">
        <v>8</v>
      </c>
      <c r="U40" s="1559">
        <f t="shared" si="13"/>
        <v>100</v>
      </c>
      <c r="V40" s="1558" t="s">
        <v>8</v>
      </c>
      <c r="W40" s="1559">
        <f t="shared" si="14"/>
        <v>100</v>
      </c>
      <c r="X40" s="1552"/>
      <c r="Y40" s="3475"/>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379" t="str">
        <f>A41</f>
        <v>成交单价（元/平方米）</v>
      </c>
      <c r="Q41" s="3379"/>
      <c r="R41" s="3474">
        <f>E41</f>
        <v>0</v>
      </c>
      <c r="S41" s="3474"/>
      <c r="T41" s="3474">
        <f>G41</f>
        <v>0</v>
      </c>
      <c r="U41" s="3474"/>
      <c r="V41" s="3474">
        <f>I41</f>
        <v>0</v>
      </c>
      <c r="W41" s="3474"/>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379" t="str">
        <f>A42</f>
        <v>比较价格（元/平方米）</v>
      </c>
      <c r="Q42" s="3379"/>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44"/>
      <c r="Y42" s="1544"/>
      <c r="Z42" s="1544"/>
      <c r="AA42" s="1544"/>
      <c r="AB42" s="1544"/>
      <c r="AC42" s="1544"/>
    </row>
    <row r="43" spans="1:29" ht="15.75" thickBot="1">
      <c r="A43" s="620" t="s">
        <v>2933</v>
      </c>
      <c r="B43" s="621"/>
      <c r="C43" s="2599" t="e">
        <f>R43</f>
        <v>#DIV/0!</v>
      </c>
      <c r="D43" s="2599"/>
      <c r="E43" s="2599"/>
      <c r="F43" s="2599"/>
      <c r="G43" s="2599"/>
      <c r="H43" s="2599"/>
      <c r="I43" s="2599"/>
      <c r="J43" s="2599"/>
      <c r="K43" s="1597"/>
      <c r="L43" s="2128"/>
      <c r="M43" s="2129"/>
      <c r="N43" s="2129"/>
      <c r="O43" s="2129"/>
      <c r="P43" s="3376" t="str">
        <f>A43</f>
        <v>估价对象XX用房的比较价格（楼面单价，元/平方米）</v>
      </c>
      <c r="Q43" s="3377"/>
      <c r="R43" s="3473" t="e">
        <f>IF(F1="售价",ROUND(AVERAGE(R42:V42),0),ROUND(AVERAGE(R42:V42),1))</f>
        <v>#DIV/0!</v>
      </c>
      <c r="S43" s="3473"/>
      <c r="T43" s="3473"/>
      <c r="U43" s="3473"/>
      <c r="V43" s="3473"/>
      <c r="W43" s="347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2019-11</v>
      </c>
      <c r="D52" s="2758">
        <f>EDATE(C52,-1)</f>
        <v>43739</v>
      </c>
      <c r="E52" s="2758">
        <f t="shared" ref="E52:O52" si="16">EDATE(D52,-1)</f>
        <v>43709</v>
      </c>
      <c r="F52" s="2758">
        <f t="shared" si="16"/>
        <v>43678</v>
      </c>
      <c r="G52" s="2758">
        <f t="shared" si="16"/>
        <v>43647</v>
      </c>
      <c r="H52" s="2758">
        <f t="shared" si="16"/>
        <v>43617</v>
      </c>
      <c r="I52" s="2758">
        <f t="shared" si="16"/>
        <v>43586</v>
      </c>
      <c r="J52" s="2758">
        <f t="shared" si="16"/>
        <v>43556</v>
      </c>
      <c r="K52" s="2758">
        <f t="shared" si="16"/>
        <v>43525</v>
      </c>
      <c r="L52" s="2758">
        <f t="shared" si="16"/>
        <v>43497</v>
      </c>
      <c r="M52" s="2758">
        <f t="shared" si="16"/>
        <v>43466</v>
      </c>
      <c r="N52" s="2758">
        <f t="shared" si="16"/>
        <v>43435</v>
      </c>
      <c r="O52" s="2758">
        <f t="shared" si="16"/>
        <v>43405</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受贵公司委托，我公司对广东省汕尾市区中轴西路东侧出让国有建设用地使用权抵押价格进行了预评估。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汕尾市壹加捌房地产开发有限公司使用的、位于广东省汕尾市区中轴西路东侧出让国有建设用地使用权。根据《国有土地使用证》[]，估价对象（分摊）出让国有建设用地使用权面积为59228平方米。根据《建设工程规划许可证》[]、《出让合同》[]，估价对象规划建筑面积为304328.8平方米。</v>
      </c>
    </row>
    <row r="7" spans="1:4" ht="93.75">
      <c r="A7" s="2827" t="s">
        <v>2748</v>
      </c>
    </row>
    <row r="8" spans="1:4" ht="18.75">
      <c r="A8" s="1778" t="s">
        <v>1906</v>
      </c>
    </row>
    <row r="9" spans="1:4" ht="75">
      <c r="A9" s="1780" t="str">
        <f>IF(项目基本情况!B8="抵押",IF(项目基本情况!B5=项目基本情况!B6,定义!C51,定义!B51),定义!D51)</f>
        <v>拟使用广东省汕尾市区中轴西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2019年11月13日（评估专业人员勘察现场之日）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根据《国有土地使用证》[]，本次评估估价对象证载（地类）用途为住宅、住宿餐饮、批发零售。</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本次评估设定用途即为证载用途住宅、住宿餐饮、批发零售。</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根据《国有土地使用证》[]，估价对象（分摊）出让国有建设用地使用权面积为59228平方米。根据《建设工程规划许可证》[]、《出让合同》[]，估价对象规划建筑面积为304328.8平方米。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设定用途为住宅、住宿餐饮、批发零售，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85" t="s">
        <v>798</v>
      </c>
      <c r="D4" s="3386"/>
      <c r="E4" s="3385" t="s">
        <v>799</v>
      </c>
      <c r="F4" s="3386"/>
      <c r="G4" s="3385" t="s">
        <v>800</v>
      </c>
      <c r="H4" s="3386"/>
      <c r="I4" s="3385" t="s">
        <v>801</v>
      </c>
      <c r="J4" s="3386"/>
      <c r="K4" s="513" t="s">
        <v>802</v>
      </c>
      <c r="L4" s="2117"/>
      <c r="M4" s="2118"/>
      <c r="N4" s="2118"/>
      <c r="O4" s="2118"/>
      <c r="P4" s="3387" t="s">
        <v>803</v>
      </c>
      <c r="Q4" s="3388"/>
      <c r="R4" s="3393" t="s">
        <v>799</v>
      </c>
      <c r="S4" s="3394"/>
      <c r="T4" s="3393" t="s">
        <v>800</v>
      </c>
      <c r="U4" s="3394"/>
      <c r="V4" s="3380" t="s">
        <v>801</v>
      </c>
      <c r="W4" s="3380"/>
      <c r="X4" s="1552"/>
      <c r="Y4" s="3393" t="s">
        <v>803</v>
      </c>
      <c r="Z4" s="3394"/>
      <c r="AA4" s="3382" t="s">
        <v>799</v>
      </c>
      <c r="AB4" s="3383" t="s">
        <v>800</v>
      </c>
      <c r="AC4" s="3382" t="s">
        <v>801</v>
      </c>
    </row>
    <row r="5" spans="1:29" ht="15">
      <c r="A5" s="514"/>
      <c r="B5" s="515"/>
      <c r="C5" s="3401" t="s">
        <v>2927</v>
      </c>
      <c r="D5" s="3402"/>
      <c r="E5" s="3401" t="s">
        <v>2928</v>
      </c>
      <c r="F5" s="3402"/>
      <c r="G5" s="3401" t="s">
        <v>2929</v>
      </c>
      <c r="H5" s="3402"/>
      <c r="I5" s="3401" t="s">
        <v>2930</v>
      </c>
      <c r="J5" s="3402"/>
      <c r="K5" s="513"/>
      <c r="L5" s="2117"/>
      <c r="M5" s="2118"/>
      <c r="N5" s="2118"/>
      <c r="O5" s="2118"/>
      <c r="P5" s="3389"/>
      <c r="Q5" s="3390"/>
      <c r="R5" s="3395"/>
      <c r="S5" s="3396"/>
      <c r="T5" s="3395"/>
      <c r="U5" s="3396"/>
      <c r="V5" s="3380"/>
      <c r="W5" s="3380"/>
      <c r="X5" s="1552"/>
      <c r="Y5" s="3395"/>
      <c r="Z5" s="3396"/>
      <c r="AA5" s="3383"/>
      <c r="AB5" s="3383"/>
      <c r="AC5" s="3383"/>
    </row>
    <row r="6" spans="1:29" ht="15.75" thickBot="1">
      <c r="A6" s="516"/>
      <c r="B6" s="517"/>
      <c r="C6" s="3399" t="s">
        <v>2931</v>
      </c>
      <c r="D6" s="3400"/>
      <c r="E6" s="3404" t="s">
        <v>2931</v>
      </c>
      <c r="F6" s="3405"/>
      <c r="G6" s="3399" t="s">
        <v>2931</v>
      </c>
      <c r="H6" s="3400"/>
      <c r="I6" s="3399" t="s">
        <v>2931</v>
      </c>
      <c r="J6" s="3400"/>
      <c r="K6" s="513" t="s">
        <v>528</v>
      </c>
      <c r="L6" s="2117"/>
      <c r="M6" s="2118"/>
      <c r="N6" s="2118"/>
      <c r="O6" s="2118"/>
      <c r="P6" s="3391"/>
      <c r="Q6" s="3392"/>
      <c r="R6" s="3395"/>
      <c r="S6" s="3396"/>
      <c r="T6" s="3397"/>
      <c r="U6" s="3398"/>
      <c r="V6" s="3380"/>
      <c r="W6" s="3380"/>
      <c r="X6" s="1552"/>
      <c r="Y6" s="3397"/>
      <c r="Z6" s="3398"/>
      <c r="AA6" s="3384"/>
      <c r="AB6" s="3384"/>
      <c r="AC6" s="3384"/>
    </row>
    <row r="7" spans="1:29" s="1215" customFormat="1" ht="15.75" thickBot="1">
      <c r="A7" s="2866"/>
      <c r="B7" s="2873" t="s">
        <v>529</v>
      </c>
      <c r="C7" s="518">
        <f>'数据-取费表'!B2</f>
        <v>43782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11" t="s">
        <v>530</v>
      </c>
      <c r="Q7" s="3413"/>
      <c r="R7" s="1553" t="s">
        <v>8</v>
      </c>
      <c r="S7" s="1554">
        <f t="shared" ref="S7:S14" si="0">F7</f>
        <v>0</v>
      </c>
      <c r="T7" s="1553" t="s">
        <v>8</v>
      </c>
      <c r="U7" s="1554">
        <f t="shared" ref="U7:U14" si="1">H7</f>
        <v>0</v>
      </c>
      <c r="V7" s="1553" t="s">
        <v>8</v>
      </c>
      <c r="W7" s="1554">
        <f t="shared" ref="W7:W14" si="2">J7</f>
        <v>0</v>
      </c>
      <c r="X7" s="1555"/>
      <c r="Y7" s="3411" t="s">
        <v>530</v>
      </c>
      <c r="Z7" s="3412"/>
      <c r="AA7" s="1556" t="e">
        <f>D7/F7</f>
        <v>#DIV/0!</v>
      </c>
      <c r="AB7" s="1556" t="e">
        <f>D7/H7</f>
        <v>#DIV/0!</v>
      </c>
      <c r="AC7" s="1556"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11" t="s">
        <v>533</v>
      </c>
      <c r="Q8" s="3412"/>
      <c r="R8" s="1553" t="s">
        <v>8</v>
      </c>
      <c r="S8" s="1554">
        <f t="shared" si="0"/>
        <v>0</v>
      </c>
      <c r="T8" s="1553" t="s">
        <v>8</v>
      </c>
      <c r="U8" s="1554">
        <f t="shared" si="1"/>
        <v>0</v>
      </c>
      <c r="V8" s="1553" t="s">
        <v>8</v>
      </c>
      <c r="W8" s="1554">
        <f t="shared" si="2"/>
        <v>0</v>
      </c>
      <c r="X8" s="1555"/>
      <c r="Y8" s="3411" t="s">
        <v>533</v>
      </c>
      <c r="Z8" s="3412"/>
      <c r="AA8" s="1556" t="e">
        <f t="shared" ref="AA8:AA36" si="3">D8/F8</f>
        <v>#DIV/0!</v>
      </c>
      <c r="AB8" s="1556" t="e">
        <f t="shared" ref="AB8:AB36" si="4">D8/H8</f>
        <v>#DIV/0!</v>
      </c>
      <c r="AC8" s="1556" t="e">
        <f t="shared" ref="AC8:AC36" si="5">D8/J8</f>
        <v>#DIV/0!</v>
      </c>
    </row>
    <row r="9" spans="1:29" s="1215" customFormat="1" ht="15">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79" t="s">
        <v>535</v>
      </c>
      <c r="Q9" s="1146" t="str">
        <f t="shared" ref="Q9:Q14" si="6">B9</f>
        <v>用途</v>
      </c>
      <c r="R9" s="1553" t="s">
        <v>8</v>
      </c>
      <c r="S9" s="1554">
        <f t="shared" si="0"/>
        <v>100</v>
      </c>
      <c r="T9" s="1553" t="s">
        <v>8</v>
      </c>
      <c r="U9" s="1554">
        <f t="shared" si="1"/>
        <v>100</v>
      </c>
      <c r="V9" s="1553" t="s">
        <v>8</v>
      </c>
      <c r="W9" s="1554">
        <f t="shared" si="2"/>
        <v>100</v>
      </c>
      <c r="X9" s="1555"/>
      <c r="Y9" s="3325"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79"/>
      <c r="Q11" s="1146">
        <f t="shared" si="6"/>
        <v>111</v>
      </c>
      <c r="R11" s="1553" t="s">
        <v>8</v>
      </c>
      <c r="S11" s="1554">
        <f t="shared" si="0"/>
        <v>100</v>
      </c>
      <c r="T11" s="1553" t="s">
        <v>8</v>
      </c>
      <c r="U11" s="1554">
        <f t="shared" si="1"/>
        <v>100</v>
      </c>
      <c r="V11" s="1553" t="s">
        <v>8</v>
      </c>
      <c r="W11" s="1554">
        <f t="shared" si="2"/>
        <v>100</v>
      </c>
      <c r="X11" s="1555"/>
      <c r="Y11" s="3325"/>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79"/>
      <c r="Q12" s="1146">
        <f t="shared" si="6"/>
        <v>111</v>
      </c>
      <c r="R12" s="1553" t="s">
        <v>8</v>
      </c>
      <c r="S12" s="1554">
        <f t="shared" si="0"/>
        <v>100</v>
      </c>
      <c r="T12" s="1553" t="s">
        <v>8</v>
      </c>
      <c r="U12" s="1554">
        <f t="shared" si="1"/>
        <v>100</v>
      </c>
      <c r="V12" s="1553" t="s">
        <v>8</v>
      </c>
      <c r="W12" s="1554">
        <f t="shared" si="2"/>
        <v>100</v>
      </c>
      <c r="X12" s="1555"/>
      <c r="Y12" s="3325"/>
      <c r="Z12" s="1145">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79"/>
      <c r="Q13" s="1146">
        <f t="shared" si="6"/>
        <v>111</v>
      </c>
      <c r="R13" s="1553" t="s">
        <v>8</v>
      </c>
      <c r="S13" s="1554">
        <f t="shared" si="0"/>
        <v>100</v>
      </c>
      <c r="T13" s="1553" t="s">
        <v>8</v>
      </c>
      <c r="U13" s="1554">
        <f t="shared" si="1"/>
        <v>100</v>
      </c>
      <c r="V13" s="1553" t="s">
        <v>8</v>
      </c>
      <c r="W13" s="1554">
        <f t="shared" si="2"/>
        <v>100</v>
      </c>
      <c r="X13" s="1555"/>
      <c r="Y13" s="3325"/>
      <c r="Z13" s="1145">
        <f t="shared" si="7"/>
        <v>111</v>
      </c>
      <c r="AA13" s="1556">
        <f t="shared" si="3"/>
        <v>1</v>
      </c>
      <c r="AB13" s="1556">
        <f t="shared" si="4"/>
        <v>1</v>
      </c>
      <c r="AC13" s="1556">
        <f t="shared" si="5"/>
        <v>1</v>
      </c>
    </row>
    <row r="14" spans="1:29" ht="128.25">
      <c r="A14" s="2864" t="s">
        <v>2754</v>
      </c>
      <c r="B14" s="54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14" t="s">
        <v>540</v>
      </c>
      <c r="Q14" s="1557" t="str">
        <f t="shared" si="6"/>
        <v>交通便捷度</v>
      </c>
      <c r="R14" s="1558" t="s">
        <v>8</v>
      </c>
      <c r="S14" s="1559">
        <f t="shared" si="0"/>
        <v>100</v>
      </c>
      <c r="T14" s="1558" t="s">
        <v>8</v>
      </c>
      <c r="U14" s="1559">
        <f t="shared" si="1"/>
        <v>100</v>
      </c>
      <c r="V14" s="1558" t="s">
        <v>8</v>
      </c>
      <c r="W14" s="1559">
        <f t="shared" si="2"/>
        <v>100</v>
      </c>
      <c r="X14" s="1552"/>
      <c r="Y14" s="3414"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415"/>
      <c r="Q15" s="1557"/>
      <c r="R15" s="1558"/>
      <c r="S15" s="1559"/>
      <c r="T15" s="1558"/>
      <c r="U15" s="1559"/>
      <c r="V15" s="1558"/>
      <c r="W15" s="1559"/>
      <c r="X15" s="1552"/>
      <c r="Y15" s="3415"/>
      <c r="Z15" s="1560"/>
      <c r="AA15" s="1561">
        <v>1</v>
      </c>
      <c r="AB15" s="1561">
        <v>1</v>
      </c>
      <c r="AC15" s="1561">
        <v>1</v>
      </c>
    </row>
    <row r="16" spans="1:29" ht="42.75">
      <c r="A16" s="514"/>
      <c r="B16" s="2566" t="s">
        <v>2546</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15"/>
      <c r="Q16" s="1557" t="str">
        <f>B16</f>
        <v>公共配套设施</v>
      </c>
      <c r="R16" s="1558" t="s">
        <v>8</v>
      </c>
      <c r="S16" s="1559">
        <f>F16</f>
        <v>100</v>
      </c>
      <c r="T16" s="1558" t="s">
        <v>8</v>
      </c>
      <c r="U16" s="1559">
        <f>H16</f>
        <v>100</v>
      </c>
      <c r="V16" s="1558" t="s">
        <v>8</v>
      </c>
      <c r="W16" s="1559">
        <f>J16</f>
        <v>100</v>
      </c>
      <c r="X16" s="1552"/>
      <c r="Y16" s="3415"/>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415"/>
      <c r="Q17" s="1557"/>
      <c r="R17" s="1558"/>
      <c r="S17" s="1559"/>
      <c r="T17" s="1558"/>
      <c r="U17" s="1559"/>
      <c r="V17" s="1558"/>
      <c r="W17" s="1559"/>
      <c r="X17" s="1552"/>
      <c r="Y17" s="3415"/>
      <c r="Z17" s="1560"/>
      <c r="AA17" s="1561">
        <v>1</v>
      </c>
      <c r="AB17" s="1561">
        <v>1</v>
      </c>
      <c r="AC17" s="1561">
        <v>1</v>
      </c>
    </row>
    <row r="18" spans="1:29" ht="42.75">
      <c r="A18" s="514"/>
      <c r="B18" s="2554" t="s">
        <v>2558</v>
      </c>
      <c r="C18" s="871" t="str">
        <f>IF(B1="工业",估价对象房地状况!G6,估价对象房地状况!C8)</f>
        <v>估价对象所在区域基础设施水平一般</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15"/>
      <c r="Q18" s="2542" t="str">
        <f>B18</f>
        <v>基础设施水平</v>
      </c>
      <c r="R18" s="1558" t="s">
        <v>8</v>
      </c>
      <c r="S18" s="1559">
        <f>F18</f>
        <v>100</v>
      </c>
      <c r="T18" s="1558" t="s">
        <v>8</v>
      </c>
      <c r="U18" s="1559">
        <f>H18</f>
        <v>100</v>
      </c>
      <c r="V18" s="1558" t="s">
        <v>8</v>
      </c>
      <c r="W18" s="1559">
        <f>J18</f>
        <v>100</v>
      </c>
      <c r="X18" s="2544"/>
      <c r="Y18" s="3415"/>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15"/>
      <c r="Q19" s="2542"/>
      <c r="R19" s="1558"/>
      <c r="S19" s="1559"/>
      <c r="T19" s="1558"/>
      <c r="U19" s="1559"/>
      <c r="V19" s="1558"/>
      <c r="W19" s="1559"/>
      <c r="X19" s="2544"/>
      <c r="Y19" s="3415"/>
      <c r="Z19" s="2543"/>
      <c r="AA19" s="1561">
        <v>1</v>
      </c>
      <c r="AB19" s="1561">
        <v>1</v>
      </c>
      <c r="AC19" s="1561">
        <v>1</v>
      </c>
    </row>
    <row r="20" spans="1:29" ht="71.25">
      <c r="A20" s="514"/>
      <c r="B20" s="559" t="s">
        <v>804</v>
      </c>
      <c r="C20" s="871" t="str">
        <f>IF(B1="工业",估价对象房地状况!G7,估价对象房地状况!C9)</f>
        <v>区域自然环境一般：；人文环境：南昌工学院；综合评价环境状况一般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15"/>
      <c r="Q20" s="1557" t="str">
        <f>B20</f>
        <v>自然及人文环境</v>
      </c>
      <c r="R20" s="1558" t="s">
        <v>8</v>
      </c>
      <c r="S20" s="1559">
        <f>F20</f>
        <v>100</v>
      </c>
      <c r="T20" s="1558" t="s">
        <v>8</v>
      </c>
      <c r="U20" s="1559">
        <f>H20</f>
        <v>100</v>
      </c>
      <c r="V20" s="1558" t="s">
        <v>8</v>
      </c>
      <c r="W20" s="1559">
        <f>J20</f>
        <v>100</v>
      </c>
      <c r="X20" s="1552"/>
      <c r="Y20" s="3415"/>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415"/>
      <c r="Q21" s="1557"/>
      <c r="R21" s="1558"/>
      <c r="S21" s="1559"/>
      <c r="T21" s="1558"/>
      <c r="U21" s="1559"/>
      <c r="V21" s="1558"/>
      <c r="W21" s="1559"/>
      <c r="X21" s="1552"/>
      <c r="Y21" s="3415"/>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15"/>
      <c r="Q22" s="1557" t="str">
        <f>B22</f>
        <v>楼层</v>
      </c>
      <c r="R22" s="1558" t="s">
        <v>8</v>
      </c>
      <c r="S22" s="1559">
        <f>F22</f>
        <v>100</v>
      </c>
      <c r="T22" s="1558" t="s">
        <v>8</v>
      </c>
      <c r="U22" s="1559">
        <f>H22</f>
        <v>100</v>
      </c>
      <c r="V22" s="1558" t="s">
        <v>8</v>
      </c>
      <c r="W22" s="1559">
        <f>J22</f>
        <v>100</v>
      </c>
      <c r="X22" s="1552"/>
      <c r="Y22" s="3415"/>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15"/>
      <c r="Q23" s="1557">
        <f>B23</f>
        <v>111</v>
      </c>
      <c r="R23" s="1558" t="s">
        <v>8</v>
      </c>
      <c r="S23" s="1559">
        <f>F23</f>
        <v>100</v>
      </c>
      <c r="T23" s="1558" t="s">
        <v>8</v>
      </c>
      <c r="U23" s="1559">
        <f>H23</f>
        <v>100</v>
      </c>
      <c r="V23" s="1558" t="s">
        <v>8</v>
      </c>
      <c r="W23" s="1559">
        <f>J23</f>
        <v>100</v>
      </c>
      <c r="X23" s="1552"/>
      <c r="Y23" s="3415"/>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15"/>
      <c r="Q24" s="1557">
        <f t="shared" ref="Q24:Q36" si="11">B24</f>
        <v>111</v>
      </c>
      <c r="R24" s="1558" t="s">
        <v>8</v>
      </c>
      <c r="S24" s="1559">
        <f>F24</f>
        <v>100</v>
      </c>
      <c r="T24" s="1558" t="s">
        <v>8</v>
      </c>
      <c r="U24" s="1559">
        <f>H24</f>
        <v>100</v>
      </c>
      <c r="V24" s="1558" t="s">
        <v>8</v>
      </c>
      <c r="W24" s="1559">
        <f>J24</f>
        <v>100</v>
      </c>
      <c r="X24" s="1552"/>
      <c r="Y24" s="3415"/>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15"/>
      <c r="Q25" s="1146">
        <f t="shared" si="11"/>
        <v>111</v>
      </c>
      <c r="R25" s="1553" t="s">
        <v>8</v>
      </c>
      <c r="S25" s="1554">
        <f>F25</f>
        <v>100</v>
      </c>
      <c r="T25" s="1553" t="s">
        <v>8</v>
      </c>
      <c r="U25" s="1554">
        <f>H25</f>
        <v>100</v>
      </c>
      <c r="V25" s="1553" t="s">
        <v>8</v>
      </c>
      <c r="W25" s="1554">
        <f>J25</f>
        <v>100</v>
      </c>
      <c r="X25" s="1555"/>
      <c r="Y25" s="3415"/>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1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7"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17"/>
      <c r="Q27" s="1589" t="str">
        <f t="shared" si="11"/>
        <v>项目停车位配比</v>
      </c>
      <c r="R27" s="1562" t="s">
        <v>8</v>
      </c>
      <c r="S27" s="1563">
        <f t="shared" si="12"/>
        <v>100</v>
      </c>
      <c r="T27" s="1562" t="s">
        <v>8</v>
      </c>
      <c r="U27" s="1563">
        <f t="shared" si="13"/>
        <v>100</v>
      </c>
      <c r="V27" s="1562" t="s">
        <v>8</v>
      </c>
      <c r="W27" s="1563">
        <f t="shared" si="14"/>
        <v>100</v>
      </c>
      <c r="X27" s="1564"/>
      <c r="Y27" s="3417"/>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17"/>
      <c r="Q28" s="1557" t="str">
        <f t="shared" si="11"/>
        <v>公共部分装修</v>
      </c>
      <c r="R28" s="1558" t="s">
        <v>8</v>
      </c>
      <c r="S28" s="1559">
        <f t="shared" si="12"/>
        <v>100</v>
      </c>
      <c r="T28" s="1558" t="s">
        <v>8</v>
      </c>
      <c r="U28" s="1559">
        <f t="shared" si="13"/>
        <v>100</v>
      </c>
      <c r="V28" s="1558" t="s">
        <v>8</v>
      </c>
      <c r="W28" s="1559">
        <f t="shared" si="14"/>
        <v>100</v>
      </c>
      <c r="X28" s="1552"/>
      <c r="Y28" s="3417"/>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17"/>
      <c r="Q29" s="1557" t="str">
        <f t="shared" si="11"/>
        <v>成新率</v>
      </c>
      <c r="R29" s="1558" t="s">
        <v>8</v>
      </c>
      <c r="S29" s="1559" t="e">
        <f t="shared" si="12"/>
        <v>#N/A</v>
      </c>
      <c r="T29" s="1558" t="s">
        <v>8</v>
      </c>
      <c r="U29" s="1559" t="e">
        <f t="shared" si="13"/>
        <v>#N/A</v>
      </c>
      <c r="V29" s="1558" t="s">
        <v>8</v>
      </c>
      <c r="W29" s="1559" t="e">
        <f t="shared" si="14"/>
        <v>#N/A</v>
      </c>
      <c r="X29" s="1552"/>
      <c r="Y29" s="3417"/>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17"/>
      <c r="Q30" s="1557" t="str">
        <f t="shared" si="11"/>
        <v>物业等级</v>
      </c>
      <c r="R30" s="1558" t="s">
        <v>8</v>
      </c>
      <c r="S30" s="1559">
        <f t="shared" si="12"/>
        <v>100</v>
      </c>
      <c r="T30" s="1558" t="s">
        <v>8</v>
      </c>
      <c r="U30" s="1559">
        <f t="shared" si="13"/>
        <v>100</v>
      </c>
      <c r="V30" s="1558" t="s">
        <v>8</v>
      </c>
      <c r="W30" s="1559">
        <f t="shared" si="14"/>
        <v>100</v>
      </c>
      <c r="X30" s="1552"/>
      <c r="Y30" s="3417"/>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17"/>
      <c r="Q31" s="1146" t="str">
        <f t="shared" si="11"/>
        <v>停车位面积</v>
      </c>
      <c r="R31" s="1553" t="s">
        <v>8</v>
      </c>
      <c r="S31" s="1554" t="e">
        <f t="shared" si="12"/>
        <v>#N/A</v>
      </c>
      <c r="T31" s="1553" t="s">
        <v>8</v>
      </c>
      <c r="U31" s="1554" t="e">
        <f t="shared" si="13"/>
        <v>#N/A</v>
      </c>
      <c r="V31" s="1553" t="s">
        <v>8</v>
      </c>
      <c r="W31" s="1554" t="e">
        <f t="shared" si="14"/>
        <v>#N/A</v>
      </c>
      <c r="X31" s="1555"/>
      <c r="Y31" s="3417"/>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17" t="s">
        <v>550</v>
      </c>
      <c r="Q32" s="1557" t="str">
        <f t="shared" si="11"/>
        <v>车位类型</v>
      </c>
      <c r="R32" s="1558" t="s">
        <v>8</v>
      </c>
      <c r="S32" s="1559">
        <f t="shared" si="12"/>
        <v>100</v>
      </c>
      <c r="T32" s="1558" t="s">
        <v>8</v>
      </c>
      <c r="U32" s="1559">
        <f t="shared" si="13"/>
        <v>100</v>
      </c>
      <c r="V32" s="1558" t="s">
        <v>8</v>
      </c>
      <c r="W32" s="1559">
        <f t="shared" si="14"/>
        <v>100</v>
      </c>
      <c r="X32" s="1552"/>
      <c r="Y32" s="3417"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17"/>
      <c r="Q33" s="1557" t="str">
        <f t="shared" si="11"/>
        <v>是否直接入户</v>
      </c>
      <c r="R33" s="1558" t="s">
        <v>8</v>
      </c>
      <c r="S33" s="1559">
        <f t="shared" si="12"/>
        <v>100</v>
      </c>
      <c r="T33" s="1558" t="s">
        <v>8</v>
      </c>
      <c r="U33" s="1559">
        <f t="shared" si="13"/>
        <v>100</v>
      </c>
      <c r="V33" s="1558" t="s">
        <v>8</v>
      </c>
      <c r="W33" s="1559">
        <f t="shared" si="14"/>
        <v>100</v>
      </c>
      <c r="X33" s="1552"/>
      <c r="Y33" s="3417"/>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17"/>
      <c r="Q34" s="1557">
        <f t="shared" si="11"/>
        <v>111</v>
      </c>
      <c r="R34" s="1558" t="s">
        <v>8</v>
      </c>
      <c r="S34" s="1559">
        <f t="shared" si="12"/>
        <v>100</v>
      </c>
      <c r="T34" s="1558" t="s">
        <v>8</v>
      </c>
      <c r="U34" s="1559">
        <f t="shared" si="13"/>
        <v>100</v>
      </c>
      <c r="V34" s="1558" t="s">
        <v>8</v>
      </c>
      <c r="W34" s="1559">
        <f t="shared" si="14"/>
        <v>100</v>
      </c>
      <c r="X34" s="1552"/>
      <c r="Y34" s="3417"/>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17"/>
      <c r="Q35" s="1589">
        <f t="shared" si="11"/>
        <v>111</v>
      </c>
      <c r="R35" s="1562" t="s">
        <v>8</v>
      </c>
      <c r="S35" s="1563">
        <f t="shared" si="12"/>
        <v>100</v>
      </c>
      <c r="T35" s="1562" t="s">
        <v>8</v>
      </c>
      <c r="U35" s="1563">
        <f t="shared" si="13"/>
        <v>100</v>
      </c>
      <c r="V35" s="1562" t="s">
        <v>8</v>
      </c>
      <c r="W35" s="1563">
        <f t="shared" si="14"/>
        <v>100</v>
      </c>
      <c r="X35" s="1564"/>
      <c r="Y35" s="3417"/>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17"/>
      <c r="Q36" s="1557">
        <f t="shared" si="11"/>
        <v>111</v>
      </c>
      <c r="R36" s="1558" t="s">
        <v>8</v>
      </c>
      <c r="S36" s="1559">
        <f t="shared" si="12"/>
        <v>100</v>
      </c>
      <c r="T36" s="1558" t="s">
        <v>8</v>
      </c>
      <c r="U36" s="1559">
        <f t="shared" si="13"/>
        <v>100</v>
      </c>
      <c r="V36" s="1558" t="s">
        <v>8</v>
      </c>
      <c r="W36" s="1559">
        <f t="shared" si="14"/>
        <v>100</v>
      </c>
      <c r="X36" s="1552"/>
      <c r="Y36" s="3417"/>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79" t="str">
        <f>A37</f>
        <v>成交单价</v>
      </c>
      <c r="Q37" s="3379"/>
      <c r="R37" s="3474">
        <f>E37</f>
        <v>0</v>
      </c>
      <c r="S37" s="3474"/>
      <c r="T37" s="3474">
        <f>G37</f>
        <v>0</v>
      </c>
      <c r="U37" s="3474"/>
      <c r="V37" s="3474">
        <f>I37</f>
        <v>0</v>
      </c>
      <c r="W37" s="3474"/>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379" t="str">
        <f>A38</f>
        <v>比较价格（元/平方米）</v>
      </c>
      <c r="Q38" s="3379"/>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44"/>
      <c r="Y38" s="1544"/>
      <c r="Z38" s="1544"/>
      <c r="AA38" s="1544"/>
      <c r="AB38" s="1544"/>
      <c r="AC38" s="1544"/>
    </row>
    <row r="39" spans="1:29" ht="15.75" thickBot="1">
      <c r="A39" s="620" t="s">
        <v>2933</v>
      </c>
      <c r="B39" s="621"/>
      <c r="C39" s="2599" t="e">
        <f>R39</f>
        <v>#DIV/0!</v>
      </c>
      <c r="D39" s="2599"/>
      <c r="E39" s="2599"/>
      <c r="F39" s="2599"/>
      <c r="G39" s="2599"/>
      <c r="H39" s="2599"/>
      <c r="I39" s="2599"/>
      <c r="J39" s="2599"/>
      <c r="K39" s="1597"/>
      <c r="L39" s="2128"/>
      <c r="M39" s="2129"/>
      <c r="N39" s="2129"/>
      <c r="O39" s="2129"/>
      <c r="P39" s="3376" t="str">
        <f>A39</f>
        <v>估价对象XX用房的比较价格（楼面单价，元/平方米）</v>
      </c>
      <c r="Q39" s="3377"/>
      <c r="R39" s="3473" t="e">
        <f>IF(F1="售价",ROUND(AVERAGE(R38:V38),0),ROUND(AVERAGE(R38:V38),1))</f>
        <v>#DIV/0!</v>
      </c>
      <c r="S39" s="3473"/>
      <c r="T39" s="3473"/>
      <c r="U39" s="3473"/>
      <c r="V39" s="3473"/>
      <c r="W39" s="347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2019-11</v>
      </c>
      <c r="D48" s="2758">
        <f>EDATE(C48,-1)</f>
        <v>43739</v>
      </c>
      <c r="E48" s="2758">
        <f t="shared" ref="E48:O48" si="16">EDATE(D48,-1)</f>
        <v>43709</v>
      </c>
      <c r="F48" s="2758">
        <f t="shared" si="16"/>
        <v>43678</v>
      </c>
      <c r="G48" s="2758">
        <f t="shared" si="16"/>
        <v>43647</v>
      </c>
      <c r="H48" s="2758">
        <f t="shared" si="16"/>
        <v>43617</v>
      </c>
      <c r="I48" s="2758">
        <f t="shared" si="16"/>
        <v>43586</v>
      </c>
      <c r="J48" s="2758">
        <f t="shared" si="16"/>
        <v>43556</v>
      </c>
      <c r="K48" s="2758">
        <f t="shared" si="16"/>
        <v>43525</v>
      </c>
      <c r="L48" s="2758">
        <f t="shared" si="16"/>
        <v>43497</v>
      </c>
      <c r="M48" s="2758">
        <f t="shared" si="16"/>
        <v>43466</v>
      </c>
      <c r="N48" s="2758">
        <f t="shared" si="16"/>
        <v>43435</v>
      </c>
      <c r="O48" s="2758">
        <f t="shared" si="16"/>
        <v>43405</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85" t="s">
        <v>798</v>
      </c>
      <c r="D4" s="3386"/>
      <c r="E4" s="3420" t="s">
        <v>799</v>
      </c>
      <c r="F4" s="3421"/>
      <c r="G4" s="3385" t="s">
        <v>800</v>
      </c>
      <c r="H4" s="3386"/>
      <c r="I4" s="3385" t="s">
        <v>801</v>
      </c>
      <c r="J4" s="3386"/>
      <c r="K4" s="513" t="s">
        <v>802</v>
      </c>
      <c r="L4" s="2117"/>
      <c r="M4" s="2118"/>
      <c r="N4" s="2118"/>
      <c r="O4" s="2118"/>
      <c r="P4" s="3387" t="s">
        <v>803</v>
      </c>
      <c r="Q4" s="3388"/>
      <c r="R4" s="3393" t="s">
        <v>799</v>
      </c>
      <c r="S4" s="3394"/>
      <c r="T4" s="3393" t="s">
        <v>800</v>
      </c>
      <c r="U4" s="3394"/>
      <c r="V4" s="3380" t="s">
        <v>801</v>
      </c>
      <c r="W4" s="3380"/>
      <c r="X4" s="1552"/>
      <c r="Y4" s="3393" t="s">
        <v>803</v>
      </c>
      <c r="Z4" s="3394"/>
      <c r="AA4" s="3382" t="s">
        <v>799</v>
      </c>
      <c r="AB4" s="3383" t="s">
        <v>800</v>
      </c>
      <c r="AC4" s="3382" t="s">
        <v>801</v>
      </c>
    </row>
    <row r="5" spans="1:29" ht="15">
      <c r="A5" s="514"/>
      <c r="B5" s="515"/>
      <c r="C5" s="3401" t="s">
        <v>2927</v>
      </c>
      <c r="D5" s="3402"/>
      <c r="E5" s="3422" t="s">
        <v>2928</v>
      </c>
      <c r="F5" s="3423"/>
      <c r="G5" s="3401" t="s">
        <v>2929</v>
      </c>
      <c r="H5" s="3402"/>
      <c r="I5" s="3401" t="s">
        <v>2930</v>
      </c>
      <c r="J5" s="3402"/>
      <c r="K5" s="513"/>
      <c r="L5" s="2117"/>
      <c r="M5" s="2118"/>
      <c r="N5" s="2118"/>
      <c r="O5" s="2118"/>
      <c r="P5" s="3389"/>
      <c r="Q5" s="3390"/>
      <c r="R5" s="3395"/>
      <c r="S5" s="3396"/>
      <c r="T5" s="3395"/>
      <c r="U5" s="3396"/>
      <c r="V5" s="3380"/>
      <c r="W5" s="3380"/>
      <c r="X5" s="1552"/>
      <c r="Y5" s="3395"/>
      <c r="Z5" s="3396"/>
      <c r="AA5" s="3383"/>
      <c r="AB5" s="3383"/>
      <c r="AC5" s="3383"/>
    </row>
    <row r="6" spans="1:29" ht="15.75" thickBot="1">
      <c r="A6" s="516"/>
      <c r="B6" s="517"/>
      <c r="C6" s="3399" t="s">
        <v>2931</v>
      </c>
      <c r="D6" s="3400"/>
      <c r="E6" s="3418" t="s">
        <v>2931</v>
      </c>
      <c r="F6" s="3419"/>
      <c r="G6" s="3399" t="s">
        <v>2931</v>
      </c>
      <c r="H6" s="3400"/>
      <c r="I6" s="3399" t="s">
        <v>2931</v>
      </c>
      <c r="J6" s="3400"/>
      <c r="K6" s="513" t="s">
        <v>528</v>
      </c>
      <c r="L6" s="2117"/>
      <c r="M6" s="2118"/>
      <c r="N6" s="2118"/>
      <c r="O6" s="2118"/>
      <c r="P6" s="3391"/>
      <c r="Q6" s="3392"/>
      <c r="R6" s="3395"/>
      <c r="S6" s="3396"/>
      <c r="T6" s="3397"/>
      <c r="U6" s="3398"/>
      <c r="V6" s="3380"/>
      <c r="W6" s="3380"/>
      <c r="X6" s="1552"/>
      <c r="Y6" s="3397"/>
      <c r="Z6" s="3398"/>
      <c r="AA6" s="3384"/>
      <c r="AB6" s="3384"/>
      <c r="AC6" s="3384"/>
    </row>
    <row r="7" spans="1:29" s="1215" customFormat="1" ht="15.75" thickBot="1">
      <c r="A7" s="2866"/>
      <c r="B7" s="2873" t="s">
        <v>529</v>
      </c>
      <c r="C7" s="518">
        <f>'数据-取费表'!B2</f>
        <v>43782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11" t="s">
        <v>530</v>
      </c>
      <c r="Q7" s="3413"/>
      <c r="R7" s="1553" t="s">
        <v>8</v>
      </c>
      <c r="S7" s="1554">
        <f t="shared" ref="S7:S14" si="0">F7</f>
        <v>0</v>
      </c>
      <c r="T7" s="1553" t="s">
        <v>8</v>
      </c>
      <c r="U7" s="1554">
        <f t="shared" ref="U7:U14" si="1">H7</f>
        <v>0</v>
      </c>
      <c r="V7" s="1553" t="s">
        <v>8</v>
      </c>
      <c r="W7" s="1554">
        <f t="shared" ref="W7:W14" si="2">J7</f>
        <v>0</v>
      </c>
      <c r="X7" s="1555"/>
      <c r="Y7" s="3411" t="s">
        <v>530</v>
      </c>
      <c r="Z7" s="3412"/>
      <c r="AA7" s="1556" t="e">
        <f>D7/F7</f>
        <v>#DIV/0!</v>
      </c>
      <c r="AB7" s="1556" t="e">
        <f>D7/H7</f>
        <v>#DIV/0!</v>
      </c>
      <c r="AC7" s="1556"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11" t="s">
        <v>533</v>
      </c>
      <c r="Q8" s="3412"/>
      <c r="R8" s="1553" t="s">
        <v>8</v>
      </c>
      <c r="S8" s="1554">
        <f t="shared" si="0"/>
        <v>0</v>
      </c>
      <c r="T8" s="1553" t="s">
        <v>8</v>
      </c>
      <c r="U8" s="1554">
        <f t="shared" si="1"/>
        <v>0</v>
      </c>
      <c r="V8" s="1553" t="s">
        <v>8</v>
      </c>
      <c r="W8" s="1554">
        <f t="shared" si="2"/>
        <v>0</v>
      </c>
      <c r="X8" s="1555"/>
      <c r="Y8" s="3411" t="s">
        <v>533</v>
      </c>
      <c r="Z8" s="3412"/>
      <c r="AA8" s="1556" t="e">
        <f t="shared" ref="AA8:AA34" si="3">D8/F8</f>
        <v>#DIV/0!</v>
      </c>
      <c r="AB8" s="1556" t="e">
        <f t="shared" ref="AB8:AB34" si="4">D8/H8</f>
        <v>#DIV/0!</v>
      </c>
      <c r="AC8" s="1556" t="e">
        <f t="shared" ref="AC8:AC34" si="5">D8/J8</f>
        <v>#DIV/0!</v>
      </c>
    </row>
    <row r="9" spans="1:29" s="1215" customFormat="1" ht="15">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79" t="s">
        <v>535</v>
      </c>
      <c r="Q9" s="1146" t="str">
        <f t="shared" ref="Q9:Q14" si="6">B9</f>
        <v>用途</v>
      </c>
      <c r="R9" s="1553" t="s">
        <v>8</v>
      </c>
      <c r="S9" s="1554">
        <f t="shared" si="0"/>
        <v>100</v>
      </c>
      <c r="T9" s="1553" t="s">
        <v>8</v>
      </c>
      <c r="U9" s="1554">
        <f t="shared" si="1"/>
        <v>100</v>
      </c>
      <c r="V9" s="1553" t="s">
        <v>8</v>
      </c>
      <c r="W9" s="1554">
        <f t="shared" si="2"/>
        <v>100</v>
      </c>
      <c r="X9" s="1555"/>
      <c r="Y9" s="3325"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79"/>
      <c r="Q10" s="1146" t="str">
        <f t="shared" si="6"/>
        <v>土地使用年限（年）</v>
      </c>
      <c r="R10" s="1553" t="s">
        <v>8</v>
      </c>
      <c r="S10" s="1554">
        <f t="shared" si="0"/>
        <v>100</v>
      </c>
      <c r="T10" s="1553" t="s">
        <v>8</v>
      </c>
      <c r="U10" s="1554">
        <f t="shared" si="1"/>
        <v>100</v>
      </c>
      <c r="V10" s="1553" t="s">
        <v>8</v>
      </c>
      <c r="W10" s="1554">
        <f t="shared" si="2"/>
        <v>100</v>
      </c>
      <c r="X10" s="1555"/>
      <c r="Y10" s="3325"/>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79"/>
      <c r="Q11" s="1146">
        <f t="shared" si="6"/>
        <v>111</v>
      </c>
      <c r="R11" s="1553" t="s">
        <v>8</v>
      </c>
      <c r="S11" s="1554">
        <f t="shared" si="0"/>
        <v>100</v>
      </c>
      <c r="T11" s="1553" t="s">
        <v>8</v>
      </c>
      <c r="U11" s="1554">
        <f t="shared" si="1"/>
        <v>100</v>
      </c>
      <c r="V11" s="1553" t="s">
        <v>8</v>
      </c>
      <c r="W11" s="1554">
        <f t="shared" si="2"/>
        <v>100</v>
      </c>
      <c r="X11" s="1555"/>
      <c r="Y11" s="3325"/>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79"/>
      <c r="Q12" s="1146">
        <f t="shared" si="6"/>
        <v>111</v>
      </c>
      <c r="R12" s="1553" t="s">
        <v>8</v>
      </c>
      <c r="S12" s="1554">
        <f t="shared" si="0"/>
        <v>100</v>
      </c>
      <c r="T12" s="1553" t="s">
        <v>8</v>
      </c>
      <c r="U12" s="1554">
        <f t="shared" si="1"/>
        <v>100</v>
      </c>
      <c r="V12" s="1553" t="s">
        <v>8</v>
      </c>
      <c r="W12" s="1554">
        <f t="shared" si="2"/>
        <v>100</v>
      </c>
      <c r="X12" s="1555"/>
      <c r="Y12" s="3325"/>
      <c r="Z12" s="1145">
        <f t="shared" si="7"/>
        <v>111</v>
      </c>
      <c r="AA12" s="1556">
        <f>D12/F12</f>
        <v>1</v>
      </c>
      <c r="AB12" s="1556">
        <f>D12/H12</f>
        <v>1</v>
      </c>
      <c r="AC12" s="1556">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79"/>
      <c r="Q13" s="1146">
        <f t="shared" si="6"/>
        <v>111</v>
      </c>
      <c r="R13" s="1553" t="s">
        <v>8</v>
      </c>
      <c r="S13" s="1554">
        <f t="shared" si="0"/>
        <v>100</v>
      </c>
      <c r="T13" s="1553" t="s">
        <v>8</v>
      </c>
      <c r="U13" s="1554">
        <f t="shared" si="1"/>
        <v>100</v>
      </c>
      <c r="V13" s="1553" t="s">
        <v>8</v>
      </c>
      <c r="W13" s="1554">
        <f t="shared" si="2"/>
        <v>100</v>
      </c>
      <c r="X13" s="1555"/>
      <c r="Y13" s="3325"/>
      <c r="Z13" s="1145">
        <f t="shared" si="7"/>
        <v>111</v>
      </c>
      <c r="AA13" s="1556">
        <f t="shared" si="3"/>
        <v>1</v>
      </c>
      <c r="AB13" s="1556">
        <f t="shared" si="4"/>
        <v>1</v>
      </c>
      <c r="AC13" s="1556">
        <f t="shared" si="5"/>
        <v>1</v>
      </c>
    </row>
    <row r="14" spans="1:29" ht="128.25">
      <c r="A14" s="2864" t="s">
        <v>2754</v>
      </c>
      <c r="B14" s="16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14" t="s">
        <v>540</v>
      </c>
      <c r="Q14" s="1557" t="str">
        <f t="shared" si="6"/>
        <v>交通便捷度</v>
      </c>
      <c r="R14" s="1558" t="s">
        <v>8</v>
      </c>
      <c r="S14" s="1559">
        <f t="shared" si="0"/>
        <v>100</v>
      </c>
      <c r="T14" s="1558" t="s">
        <v>8</v>
      </c>
      <c r="U14" s="1559">
        <f t="shared" si="1"/>
        <v>100</v>
      </c>
      <c r="V14" s="1558" t="s">
        <v>8</v>
      </c>
      <c r="W14" s="1559">
        <f t="shared" si="2"/>
        <v>100</v>
      </c>
      <c r="X14" s="1552"/>
      <c r="Y14" s="3414"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415"/>
      <c r="Q15" s="1557"/>
      <c r="R15" s="1558"/>
      <c r="S15" s="1559"/>
      <c r="T15" s="1558"/>
      <c r="U15" s="1559"/>
      <c r="V15" s="1558"/>
      <c r="W15" s="1559"/>
      <c r="X15" s="1552"/>
      <c r="Y15" s="3415"/>
      <c r="Z15" s="1560"/>
      <c r="AA15" s="1561">
        <v>1</v>
      </c>
      <c r="AB15" s="1561">
        <v>1</v>
      </c>
      <c r="AC15" s="1561">
        <v>1</v>
      </c>
    </row>
    <row r="16" spans="1:29" ht="42.75">
      <c r="A16" s="531"/>
      <c r="B16" s="2566" t="s">
        <v>2546</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15"/>
      <c r="Q16" s="1557" t="str">
        <f>B16</f>
        <v>公共配套设施</v>
      </c>
      <c r="R16" s="1558" t="s">
        <v>8</v>
      </c>
      <c r="S16" s="1559">
        <f>F16</f>
        <v>100</v>
      </c>
      <c r="T16" s="1558" t="s">
        <v>8</v>
      </c>
      <c r="U16" s="1559">
        <f>H16</f>
        <v>100</v>
      </c>
      <c r="V16" s="1558" t="s">
        <v>8</v>
      </c>
      <c r="W16" s="1559">
        <f>J16</f>
        <v>100</v>
      </c>
      <c r="X16" s="1552"/>
      <c r="Y16" s="3415"/>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415"/>
      <c r="Q17" s="1557"/>
      <c r="R17" s="1558"/>
      <c r="S17" s="1559"/>
      <c r="T17" s="1558"/>
      <c r="U17" s="1559"/>
      <c r="V17" s="1558"/>
      <c r="W17" s="1559"/>
      <c r="X17" s="1552"/>
      <c r="Y17" s="3415"/>
      <c r="Z17" s="1560"/>
      <c r="AA17" s="1561">
        <v>1</v>
      </c>
      <c r="AB17" s="1561">
        <v>1</v>
      </c>
      <c r="AC17" s="1561">
        <v>1</v>
      </c>
    </row>
    <row r="18" spans="1:29" ht="42.75">
      <c r="A18" s="531"/>
      <c r="B18" s="2554" t="s">
        <v>2558</v>
      </c>
      <c r="C18" s="871" t="str">
        <f>IF(B1="工业",估价对象房地状况!G6,估价对象房地状况!C8)</f>
        <v>估价对象所在区域基础设施水平一般</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15"/>
      <c r="Q18" s="2542" t="str">
        <f>B18</f>
        <v>基础设施水平</v>
      </c>
      <c r="R18" s="1558" t="s">
        <v>8</v>
      </c>
      <c r="S18" s="1559">
        <f>F18</f>
        <v>100</v>
      </c>
      <c r="T18" s="1558" t="s">
        <v>8</v>
      </c>
      <c r="U18" s="1559">
        <f>H18</f>
        <v>100</v>
      </c>
      <c r="V18" s="1558" t="s">
        <v>8</v>
      </c>
      <c r="W18" s="1559">
        <f>J18</f>
        <v>100</v>
      </c>
      <c r="X18" s="2544"/>
      <c r="Y18" s="3415"/>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15"/>
      <c r="Q19" s="2542"/>
      <c r="R19" s="1558"/>
      <c r="S19" s="1559"/>
      <c r="T19" s="1558"/>
      <c r="U19" s="1559"/>
      <c r="V19" s="1558"/>
      <c r="W19" s="1559"/>
      <c r="X19" s="2544"/>
      <c r="Y19" s="3415"/>
      <c r="Z19" s="2543"/>
      <c r="AA19" s="1561">
        <v>1</v>
      </c>
      <c r="AB19" s="1561">
        <v>1</v>
      </c>
      <c r="AC19" s="1561">
        <v>1</v>
      </c>
    </row>
    <row r="20" spans="1:29" ht="71.25">
      <c r="A20" s="531"/>
      <c r="B20" s="870" t="s">
        <v>804</v>
      </c>
      <c r="C20" s="871" t="str">
        <f>IF(B1="工业",估价对象房地状况!G7,估价对象房地状况!C9)</f>
        <v>区域自然环境一般：；人文环境：南昌工学院；综合评价环境状况一般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15"/>
      <c r="Q20" s="1557" t="str">
        <f>B20</f>
        <v>自然及人文环境</v>
      </c>
      <c r="R20" s="1558" t="s">
        <v>8</v>
      </c>
      <c r="S20" s="1559">
        <f>F20</f>
        <v>100</v>
      </c>
      <c r="T20" s="1558" t="s">
        <v>8</v>
      </c>
      <c r="U20" s="1559">
        <f>H20</f>
        <v>100</v>
      </c>
      <c r="V20" s="1558" t="s">
        <v>8</v>
      </c>
      <c r="W20" s="1559">
        <f>J20</f>
        <v>100</v>
      </c>
      <c r="X20" s="1552"/>
      <c r="Y20" s="3415"/>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415"/>
      <c r="Q21" s="1557"/>
      <c r="R21" s="1558"/>
      <c r="S21" s="1559"/>
      <c r="T21" s="1558"/>
      <c r="U21" s="1559"/>
      <c r="V21" s="1558"/>
      <c r="W21" s="1559"/>
      <c r="X21" s="1552"/>
      <c r="Y21" s="3415"/>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15"/>
      <c r="Q22" s="1557" t="str">
        <f>B22</f>
        <v>楼层</v>
      </c>
      <c r="R22" s="1558" t="s">
        <v>8</v>
      </c>
      <c r="S22" s="1559">
        <f>F22</f>
        <v>100</v>
      </c>
      <c r="T22" s="1558" t="s">
        <v>8</v>
      </c>
      <c r="U22" s="1559">
        <f>H22</f>
        <v>100</v>
      </c>
      <c r="V22" s="1558" t="s">
        <v>8</v>
      </c>
      <c r="W22" s="1559">
        <f>J22</f>
        <v>100</v>
      </c>
      <c r="X22" s="1552"/>
      <c r="Y22" s="3415"/>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15"/>
      <c r="Q23" s="1557">
        <f>B23</f>
        <v>111</v>
      </c>
      <c r="R23" s="1558" t="s">
        <v>8</v>
      </c>
      <c r="S23" s="1559">
        <f>F23</f>
        <v>100</v>
      </c>
      <c r="T23" s="1558" t="s">
        <v>8</v>
      </c>
      <c r="U23" s="1559">
        <f>H23</f>
        <v>100</v>
      </c>
      <c r="V23" s="1558" t="s">
        <v>8</v>
      </c>
      <c r="W23" s="1559">
        <f>J23</f>
        <v>100</v>
      </c>
      <c r="X23" s="1552"/>
      <c r="Y23" s="3415"/>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15"/>
      <c r="Q24" s="1557">
        <f t="shared" ref="Q24:Q34" si="11">B24</f>
        <v>111</v>
      </c>
      <c r="R24" s="1558" t="s">
        <v>8</v>
      </c>
      <c r="S24" s="1559">
        <f>F24</f>
        <v>100</v>
      </c>
      <c r="T24" s="1558" t="s">
        <v>8</v>
      </c>
      <c r="U24" s="1559">
        <f>H24</f>
        <v>100</v>
      </c>
      <c r="V24" s="1558" t="s">
        <v>8</v>
      </c>
      <c r="W24" s="1559">
        <f>J24</f>
        <v>100</v>
      </c>
      <c r="X24" s="1552"/>
      <c r="Y24" s="3415"/>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15"/>
      <c r="Q25" s="1146">
        <f t="shared" si="11"/>
        <v>111</v>
      </c>
      <c r="R25" s="1553" t="s">
        <v>8</v>
      </c>
      <c r="S25" s="1554">
        <f>F25</f>
        <v>100</v>
      </c>
      <c r="T25" s="1553" t="s">
        <v>8</v>
      </c>
      <c r="U25" s="1554">
        <f>H25</f>
        <v>100</v>
      </c>
      <c r="V25" s="1553" t="s">
        <v>8</v>
      </c>
      <c r="W25" s="1554">
        <f>J25</f>
        <v>100</v>
      </c>
      <c r="X25" s="1555"/>
      <c r="Y25" s="3415"/>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1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7"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17"/>
      <c r="Q27" s="1589" t="str">
        <f t="shared" si="11"/>
        <v>成新率</v>
      </c>
      <c r="R27" s="1562" t="s">
        <v>8</v>
      </c>
      <c r="S27" s="1563" t="e">
        <f t="shared" si="12"/>
        <v>#N/A</v>
      </c>
      <c r="T27" s="1562" t="s">
        <v>8</v>
      </c>
      <c r="U27" s="1563" t="e">
        <f t="shared" si="13"/>
        <v>#N/A</v>
      </c>
      <c r="V27" s="1562" t="s">
        <v>8</v>
      </c>
      <c r="W27" s="1563" t="e">
        <f t="shared" si="14"/>
        <v>#N/A</v>
      </c>
      <c r="X27" s="1564"/>
      <c r="Y27" s="3417"/>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17"/>
      <c r="Q28" s="1557" t="str">
        <f t="shared" si="11"/>
        <v>物业等级</v>
      </c>
      <c r="R28" s="1558" t="s">
        <v>8</v>
      </c>
      <c r="S28" s="1559">
        <f t="shared" si="12"/>
        <v>100</v>
      </c>
      <c r="T28" s="1558" t="s">
        <v>8</v>
      </c>
      <c r="U28" s="1559">
        <f t="shared" si="13"/>
        <v>100</v>
      </c>
      <c r="V28" s="1558" t="s">
        <v>8</v>
      </c>
      <c r="W28" s="1559">
        <f t="shared" si="14"/>
        <v>100</v>
      </c>
      <c r="X28" s="1552"/>
      <c r="Y28" s="3417"/>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17"/>
      <c r="Q29" s="1557" t="str">
        <f t="shared" si="11"/>
        <v>有无电梯</v>
      </c>
      <c r="R29" s="1558" t="s">
        <v>8</v>
      </c>
      <c r="S29" s="1559">
        <f t="shared" si="12"/>
        <v>100</v>
      </c>
      <c r="T29" s="1558" t="s">
        <v>8</v>
      </c>
      <c r="U29" s="1559">
        <f t="shared" si="13"/>
        <v>100</v>
      </c>
      <c r="V29" s="1558" t="s">
        <v>8</v>
      </c>
      <c r="W29" s="1559">
        <f t="shared" si="14"/>
        <v>100</v>
      </c>
      <c r="X29" s="1552"/>
      <c r="Y29" s="3417"/>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17"/>
      <c r="Q30" s="1557" t="str">
        <f t="shared" si="11"/>
        <v>建筑面积</v>
      </c>
      <c r="R30" s="1558" t="s">
        <v>8</v>
      </c>
      <c r="S30" s="1559" t="e">
        <f t="shared" si="12"/>
        <v>#N/A</v>
      </c>
      <c r="T30" s="1558" t="s">
        <v>8</v>
      </c>
      <c r="U30" s="1559" t="e">
        <f t="shared" si="13"/>
        <v>#N/A</v>
      </c>
      <c r="V30" s="1558" t="s">
        <v>8</v>
      </c>
      <c r="W30" s="1559" t="e">
        <f t="shared" si="14"/>
        <v>#N/A</v>
      </c>
      <c r="X30" s="1552"/>
      <c r="Y30" s="3417"/>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17"/>
      <c r="Q31" s="1146" t="str">
        <f t="shared" si="11"/>
        <v>是否封闭</v>
      </c>
      <c r="R31" s="1553" t="s">
        <v>8</v>
      </c>
      <c r="S31" s="1554">
        <f t="shared" si="12"/>
        <v>100</v>
      </c>
      <c r="T31" s="1553" t="s">
        <v>8</v>
      </c>
      <c r="U31" s="1554">
        <f t="shared" si="13"/>
        <v>100</v>
      </c>
      <c r="V31" s="1553" t="s">
        <v>8</v>
      </c>
      <c r="W31" s="1554">
        <f t="shared" si="14"/>
        <v>100</v>
      </c>
      <c r="X31" s="1555"/>
      <c r="Y31" s="3417"/>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17" t="s">
        <v>550</v>
      </c>
      <c r="Q32" s="1557">
        <f t="shared" si="11"/>
        <v>111</v>
      </c>
      <c r="R32" s="1558" t="s">
        <v>8</v>
      </c>
      <c r="S32" s="1559">
        <f t="shared" si="12"/>
        <v>100</v>
      </c>
      <c r="T32" s="1558" t="s">
        <v>8</v>
      </c>
      <c r="U32" s="1559">
        <f t="shared" si="13"/>
        <v>100</v>
      </c>
      <c r="V32" s="1558" t="s">
        <v>8</v>
      </c>
      <c r="W32" s="1559">
        <f t="shared" si="14"/>
        <v>100</v>
      </c>
      <c r="X32" s="1552"/>
      <c r="Y32" s="3417"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17"/>
      <c r="Q33" s="1557">
        <f t="shared" si="11"/>
        <v>111</v>
      </c>
      <c r="R33" s="1558" t="s">
        <v>8</v>
      </c>
      <c r="S33" s="1559">
        <f t="shared" si="12"/>
        <v>100</v>
      </c>
      <c r="T33" s="1558" t="s">
        <v>8</v>
      </c>
      <c r="U33" s="1559">
        <f t="shared" si="13"/>
        <v>100</v>
      </c>
      <c r="V33" s="1558" t="s">
        <v>8</v>
      </c>
      <c r="W33" s="1559">
        <f t="shared" si="14"/>
        <v>100</v>
      </c>
      <c r="X33" s="1552"/>
      <c r="Y33" s="3417"/>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17"/>
      <c r="Q34" s="1557">
        <f t="shared" si="11"/>
        <v>111</v>
      </c>
      <c r="R34" s="1558" t="s">
        <v>8</v>
      </c>
      <c r="S34" s="1559">
        <f t="shared" si="12"/>
        <v>100</v>
      </c>
      <c r="T34" s="1558" t="s">
        <v>8</v>
      </c>
      <c r="U34" s="1559">
        <f t="shared" si="13"/>
        <v>100</v>
      </c>
      <c r="V34" s="1558" t="s">
        <v>8</v>
      </c>
      <c r="W34" s="1559">
        <f t="shared" si="14"/>
        <v>100</v>
      </c>
      <c r="X34" s="1552"/>
      <c r="Y34" s="3417"/>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379" t="str">
        <f>A35</f>
        <v>成交单价（元/平方米）</v>
      </c>
      <c r="Q35" s="3379"/>
      <c r="R35" s="3474">
        <f>E35</f>
        <v>0</v>
      </c>
      <c r="S35" s="3474"/>
      <c r="T35" s="3474">
        <f>G35</f>
        <v>0</v>
      </c>
      <c r="U35" s="3474"/>
      <c r="V35" s="3474">
        <f>I35</f>
        <v>0</v>
      </c>
      <c r="W35" s="3474"/>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379" t="str">
        <f>A36</f>
        <v>比较价格（元/平方米）</v>
      </c>
      <c r="Q36" s="3379"/>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44"/>
      <c r="Y36" s="1544"/>
      <c r="Z36" s="1544"/>
      <c r="AA36" s="1544"/>
      <c r="AB36" s="1544"/>
      <c r="AC36" s="1544"/>
    </row>
    <row r="37" spans="1:29" ht="15.75" thickBot="1">
      <c r="A37" s="620" t="s">
        <v>2933</v>
      </c>
      <c r="B37" s="621"/>
      <c r="C37" s="2599" t="e">
        <f>R37</f>
        <v>#DIV/0!</v>
      </c>
      <c r="D37" s="2599"/>
      <c r="E37" s="2599"/>
      <c r="F37" s="2599"/>
      <c r="G37" s="2599"/>
      <c r="H37" s="2599"/>
      <c r="I37" s="2599"/>
      <c r="J37" s="2599"/>
      <c r="K37" s="1597"/>
      <c r="L37" s="2128"/>
      <c r="M37" s="2129"/>
      <c r="N37" s="2129"/>
      <c r="O37" s="2129"/>
      <c r="P37" s="3376" t="str">
        <f>A37</f>
        <v>估价对象XX用房的比较价格（楼面单价，元/平方米）</v>
      </c>
      <c r="Q37" s="3377"/>
      <c r="R37" s="3473" t="e">
        <f>IF(F1="售价",ROUND(AVERAGE(R36:V36),0),ROUND(AVERAGE(R36:V36),1))</f>
        <v>#DIV/0!</v>
      </c>
      <c r="S37" s="3473"/>
      <c r="T37" s="3473"/>
      <c r="U37" s="3473"/>
      <c r="V37" s="3473"/>
      <c r="W37" s="347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2019-11</v>
      </c>
      <c r="D46" s="2758">
        <f>EDATE(C46,-1)</f>
        <v>43739</v>
      </c>
      <c r="E46" s="2758">
        <f t="shared" ref="E46:O46" si="16">EDATE(D46,-1)</f>
        <v>43709</v>
      </c>
      <c r="F46" s="2758">
        <f t="shared" si="16"/>
        <v>43678</v>
      </c>
      <c r="G46" s="2758">
        <f t="shared" si="16"/>
        <v>43647</v>
      </c>
      <c r="H46" s="2758">
        <f t="shared" si="16"/>
        <v>43617</v>
      </c>
      <c r="I46" s="2758">
        <f t="shared" si="16"/>
        <v>43586</v>
      </c>
      <c r="J46" s="2758">
        <f t="shared" si="16"/>
        <v>43556</v>
      </c>
      <c r="K46" s="2758">
        <f t="shared" si="16"/>
        <v>43525</v>
      </c>
      <c r="L46" s="2758">
        <f t="shared" si="16"/>
        <v>43497</v>
      </c>
      <c r="M46" s="2758">
        <f t="shared" si="16"/>
        <v>43466</v>
      </c>
      <c r="N46" s="2758">
        <f t="shared" si="16"/>
        <v>43435</v>
      </c>
      <c r="O46" s="2758">
        <f t="shared" si="16"/>
        <v>43405</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508" t="s">
        <v>2304</v>
      </c>
      <c r="D1" s="3509"/>
      <c r="E1" s="3509"/>
      <c r="F1" s="3509"/>
      <c r="G1" s="3509"/>
      <c r="H1" s="3509"/>
      <c r="I1" s="3509"/>
      <c r="J1" s="3509"/>
      <c r="K1" s="3509"/>
      <c r="L1" s="3509"/>
      <c r="M1" s="3509"/>
      <c r="N1" s="3509"/>
      <c r="O1" s="3509"/>
      <c r="P1" s="3509"/>
      <c r="Q1" s="3509"/>
      <c r="R1" s="3509"/>
      <c r="S1" s="3510"/>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2925</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2924</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2923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2922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505" t="s">
        <v>20</v>
      </c>
      <c r="D22" s="3506"/>
      <c r="E22" s="3506"/>
      <c r="F22" s="3506"/>
      <c r="G22" s="3506"/>
      <c r="H22" s="3506"/>
      <c r="I22" s="3506"/>
      <c r="J22" s="3506"/>
      <c r="K22" s="3506"/>
      <c r="L22" s="3506"/>
      <c r="M22" s="3506"/>
      <c r="N22" s="3506"/>
      <c r="O22" s="3506"/>
      <c r="P22" s="3506"/>
      <c r="Q22" s="3507"/>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43782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2.5</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
  <sheetViews>
    <sheetView topLeftCell="X1" workbookViewId="0">
      <selection activeCell="AH31" sqref="AH31"/>
    </sheetView>
  </sheetViews>
  <sheetFormatPr defaultRowHeight="13.5"/>
  <cols>
    <col min="10" max="10" width="13.5" customWidth="1"/>
    <col min="12" max="12" width="13.5" bestFit="1" customWidth="1"/>
    <col min="15" max="15" width="11.75" customWidth="1"/>
  </cols>
  <sheetData>
    <row r="1" spans="1:45" s="2893" customFormat="1">
      <c r="A1" s="2893" t="s">
        <v>3010</v>
      </c>
      <c r="B1" s="2893" t="s">
        <v>3011</v>
      </c>
      <c r="C1" s="2893" t="s">
        <v>3012</v>
      </c>
      <c r="D1" s="2893" t="s">
        <v>3013</v>
      </c>
      <c r="E1" s="2893" t="s">
        <v>3014</v>
      </c>
      <c r="F1" s="2893" t="s">
        <v>3229</v>
      </c>
      <c r="G1" s="2893" t="s">
        <v>3015</v>
      </c>
      <c r="H1" s="2893" t="s">
        <v>3230</v>
      </c>
      <c r="I1" s="2893" t="s">
        <v>3016</v>
      </c>
      <c r="J1" s="2893" t="s">
        <v>3017</v>
      </c>
      <c r="K1" s="2893" t="s">
        <v>3018</v>
      </c>
      <c r="L1" s="2893" t="s">
        <v>2032</v>
      </c>
      <c r="M1" s="2893" t="s">
        <v>3019</v>
      </c>
      <c r="N1" s="2893" t="s">
        <v>3231</v>
      </c>
      <c r="O1" s="2893" t="s">
        <v>3232</v>
      </c>
      <c r="P1" s="2893" t="s">
        <v>3233</v>
      </c>
      <c r="Q1" s="2893" t="s">
        <v>3234</v>
      </c>
      <c r="R1" s="2893" t="s">
        <v>3235</v>
      </c>
      <c r="S1" s="2893" t="s">
        <v>3236</v>
      </c>
      <c r="T1" s="2893" t="s">
        <v>3020</v>
      </c>
      <c r="U1" s="2893" t="s">
        <v>3021</v>
      </c>
      <c r="V1" s="2893" t="s">
        <v>3237</v>
      </c>
      <c r="W1" s="2893" t="s">
        <v>3022</v>
      </c>
      <c r="X1" s="2893" t="s">
        <v>3238</v>
      </c>
      <c r="Y1" s="2893" t="s">
        <v>3239</v>
      </c>
      <c r="Z1" s="2893" t="s">
        <v>3240</v>
      </c>
      <c r="AA1" s="2893" t="s">
        <v>3023</v>
      </c>
      <c r="AB1" s="2893" t="s">
        <v>3024</v>
      </c>
      <c r="AC1" s="2893" t="s">
        <v>3025</v>
      </c>
      <c r="AD1" s="2893" t="s">
        <v>3026</v>
      </c>
      <c r="AE1" s="2893" t="s">
        <v>3241</v>
      </c>
      <c r="AF1" s="2893" t="s">
        <v>3242</v>
      </c>
      <c r="AG1" s="2893" t="s">
        <v>3027</v>
      </c>
      <c r="AH1" s="2893" t="s">
        <v>3028</v>
      </c>
      <c r="AI1" s="2893" t="s">
        <v>3029</v>
      </c>
      <c r="AJ1" s="2893" t="s">
        <v>3030</v>
      </c>
      <c r="AK1" s="2893" t="s">
        <v>3031</v>
      </c>
      <c r="AL1" s="2893" t="s">
        <v>3243</v>
      </c>
      <c r="AM1" s="2893" t="s">
        <v>3244</v>
      </c>
      <c r="AN1" s="2893" t="s">
        <v>3032</v>
      </c>
      <c r="AO1" s="2893" t="s">
        <v>3033</v>
      </c>
      <c r="AP1" s="2893" t="s">
        <v>3034</v>
      </c>
      <c r="AQ1" s="2893" t="s">
        <v>3035</v>
      </c>
      <c r="AR1" s="2893" t="s">
        <v>3036</v>
      </c>
      <c r="AS1" s="2893" t="s">
        <v>3037</v>
      </c>
    </row>
    <row r="2" spans="1:45" s="3206" customFormat="1">
      <c r="A2" s="3206" t="s">
        <v>3212</v>
      </c>
      <c r="B2" s="3206" t="s">
        <v>3213</v>
      </c>
      <c r="C2" s="3206" t="s">
        <v>3038</v>
      </c>
      <c r="D2" s="3206" t="s">
        <v>3214</v>
      </c>
      <c r="E2" s="3206" t="s">
        <v>2818</v>
      </c>
      <c r="F2" s="3206" t="s">
        <v>3212</v>
      </c>
      <c r="G2" s="3206" t="s">
        <v>3215</v>
      </c>
      <c r="H2" s="3206" t="s">
        <v>3216</v>
      </c>
      <c r="I2" s="3206" t="s">
        <v>3217</v>
      </c>
      <c r="J2" s="3206">
        <v>166080</v>
      </c>
      <c r="K2" s="3206">
        <v>564672</v>
      </c>
      <c r="L2" s="3206" t="s">
        <v>3218</v>
      </c>
      <c r="M2" s="3206" t="s">
        <v>2818</v>
      </c>
      <c r="N2" s="3206" t="s">
        <v>3219</v>
      </c>
      <c r="O2" s="3206" t="s">
        <v>3220</v>
      </c>
      <c r="P2" s="3206" t="s">
        <v>2818</v>
      </c>
      <c r="Q2" s="3206" t="s">
        <v>2818</v>
      </c>
      <c r="R2" s="3206" t="s">
        <v>2818</v>
      </c>
      <c r="S2" s="3206" t="s">
        <v>2818</v>
      </c>
      <c r="T2" s="3206" t="s">
        <v>2818</v>
      </c>
      <c r="U2" s="3206" t="s">
        <v>2818</v>
      </c>
      <c r="V2" s="3206" t="s">
        <v>2818</v>
      </c>
      <c r="W2" s="3206" t="s">
        <v>3044</v>
      </c>
      <c r="X2" s="3206" t="s">
        <v>3221</v>
      </c>
      <c r="Y2" s="3206" t="s">
        <v>3222</v>
      </c>
      <c r="Z2" s="3206" t="s">
        <v>3223</v>
      </c>
      <c r="AA2" s="3206" t="s">
        <v>3223</v>
      </c>
      <c r="AB2" s="3206" t="s">
        <v>3224</v>
      </c>
      <c r="AC2" s="3206" t="s">
        <v>3039</v>
      </c>
      <c r="AD2" s="3206" t="s">
        <v>3225</v>
      </c>
      <c r="AE2" s="3206">
        <v>47368.5</v>
      </c>
      <c r="AF2" s="3206">
        <v>94737</v>
      </c>
      <c r="AG2" s="3206">
        <v>94737</v>
      </c>
      <c r="AH2" s="3206">
        <v>380.29</v>
      </c>
      <c r="AI2" s="3206">
        <v>380.29</v>
      </c>
      <c r="AJ2" s="3206">
        <v>1677.73</v>
      </c>
      <c r="AK2" s="3206">
        <v>1677.74</v>
      </c>
      <c r="AL2" s="3206" t="s">
        <v>2818</v>
      </c>
      <c r="AM2" s="3206" t="s">
        <v>2818</v>
      </c>
      <c r="AN2" s="3206">
        <v>0</v>
      </c>
      <c r="AO2" s="3206" t="s">
        <v>3045</v>
      </c>
      <c r="AP2" s="3206" t="s">
        <v>2818</v>
      </c>
      <c r="AQ2" s="3206" t="s">
        <v>2818</v>
      </c>
      <c r="AR2" s="3206" t="s">
        <v>2818</v>
      </c>
      <c r="AS2" s="3206" t="s">
        <v>3046</v>
      </c>
    </row>
    <row r="3" spans="1:45" s="3206" customFormat="1">
      <c r="A3" s="3206" t="s">
        <v>3212</v>
      </c>
      <c r="B3" s="3206" t="s">
        <v>3213</v>
      </c>
      <c r="C3" s="3206" t="s">
        <v>3038</v>
      </c>
      <c r="D3" s="3206" t="s">
        <v>3214</v>
      </c>
      <c r="E3" s="3206" t="s">
        <v>2818</v>
      </c>
      <c r="F3" s="3206" t="s">
        <v>3212</v>
      </c>
      <c r="G3" s="3206" t="s">
        <v>3215</v>
      </c>
      <c r="H3" s="3206" t="s">
        <v>3226</v>
      </c>
      <c r="I3" s="3206" t="s">
        <v>3217</v>
      </c>
      <c r="J3" s="3206">
        <v>208510</v>
      </c>
      <c r="K3" s="3206">
        <v>688083</v>
      </c>
      <c r="L3" s="3206" t="s">
        <v>3227</v>
      </c>
      <c r="M3" s="3206" t="s">
        <v>2818</v>
      </c>
      <c r="N3" s="3206" t="s">
        <v>3219</v>
      </c>
      <c r="O3" s="3206" t="s">
        <v>3220</v>
      </c>
      <c r="P3" s="3206" t="s">
        <v>2818</v>
      </c>
      <c r="Q3" s="3206" t="s">
        <v>2818</v>
      </c>
      <c r="R3" s="3206" t="s">
        <v>2818</v>
      </c>
      <c r="S3" s="3206" t="s">
        <v>2818</v>
      </c>
      <c r="T3" s="3206" t="s">
        <v>2818</v>
      </c>
      <c r="U3" s="3206" t="s">
        <v>2818</v>
      </c>
      <c r="V3" s="3206" t="s">
        <v>2818</v>
      </c>
      <c r="W3" s="3206" t="s">
        <v>3044</v>
      </c>
      <c r="X3" s="3206" t="s">
        <v>3221</v>
      </c>
      <c r="Y3" s="3206" t="s">
        <v>3222</v>
      </c>
      <c r="Z3" s="3206" t="s">
        <v>3223</v>
      </c>
      <c r="AA3" s="3206" t="s">
        <v>3223</v>
      </c>
      <c r="AB3" s="3206" t="s">
        <v>3228</v>
      </c>
      <c r="AC3" s="3206" t="s">
        <v>3039</v>
      </c>
      <c r="AD3" s="3206" t="s">
        <v>3225</v>
      </c>
      <c r="AE3" s="3206">
        <v>58639</v>
      </c>
      <c r="AF3" s="3206">
        <v>117278</v>
      </c>
      <c r="AG3" s="3206">
        <v>117278</v>
      </c>
      <c r="AH3" s="3206">
        <v>374.97</v>
      </c>
      <c r="AI3" s="3206">
        <v>374.97</v>
      </c>
      <c r="AJ3" s="3206">
        <v>1704.41</v>
      </c>
      <c r="AK3" s="3206">
        <v>1704.42</v>
      </c>
      <c r="AL3" s="3206" t="s">
        <v>2818</v>
      </c>
      <c r="AM3" s="3206" t="s">
        <v>2818</v>
      </c>
      <c r="AN3" s="3206">
        <v>0</v>
      </c>
      <c r="AO3" s="3206" t="s">
        <v>3045</v>
      </c>
      <c r="AP3" s="3206" t="s">
        <v>2818</v>
      </c>
      <c r="AQ3" s="3206" t="s">
        <v>2818</v>
      </c>
      <c r="AR3" s="3206" t="s">
        <v>2818</v>
      </c>
      <c r="AS3" s="3206" t="s">
        <v>3046</v>
      </c>
    </row>
    <row r="4" spans="1:45" s="3206" customFormat="1">
      <c r="A4" s="3206" t="s">
        <v>3245</v>
      </c>
      <c r="B4" s="3206" t="s">
        <v>3213</v>
      </c>
      <c r="C4" s="3206" t="s">
        <v>3038</v>
      </c>
      <c r="D4" s="3206" t="s">
        <v>3214</v>
      </c>
      <c r="E4" s="3206" t="s">
        <v>2818</v>
      </c>
      <c r="F4" s="3206" t="s">
        <v>3245</v>
      </c>
      <c r="G4" s="3206" t="s">
        <v>3215</v>
      </c>
      <c r="H4" s="3206">
        <v>2010081</v>
      </c>
      <c r="I4" s="3206" t="s">
        <v>3246</v>
      </c>
      <c r="J4" s="3206">
        <v>5886</v>
      </c>
      <c r="K4" s="3206">
        <v>10594.8</v>
      </c>
      <c r="L4" s="3206" t="s">
        <v>3247</v>
      </c>
      <c r="M4" s="3206" t="s">
        <v>2818</v>
      </c>
      <c r="N4" s="3206" t="s">
        <v>3248</v>
      </c>
      <c r="O4" s="3206" t="s">
        <v>3249</v>
      </c>
      <c r="P4" s="3206" t="s">
        <v>2818</v>
      </c>
      <c r="Q4" s="3206" t="s">
        <v>2818</v>
      </c>
      <c r="R4" s="3206" t="s">
        <v>2818</v>
      </c>
      <c r="S4" s="3206" t="s">
        <v>2818</v>
      </c>
      <c r="T4" s="3206" t="s">
        <v>2818</v>
      </c>
      <c r="U4" s="3206" t="s">
        <v>2818</v>
      </c>
      <c r="V4" s="3206" t="s">
        <v>2818</v>
      </c>
      <c r="W4" s="3206" t="s">
        <v>3044</v>
      </c>
      <c r="X4" s="3206" t="s">
        <v>3250</v>
      </c>
      <c r="Y4" s="3206" t="s">
        <v>3251</v>
      </c>
      <c r="Z4" s="3206" t="s">
        <v>3252</v>
      </c>
      <c r="AA4" s="3206" t="s">
        <v>3252</v>
      </c>
      <c r="AB4" s="3206" t="s">
        <v>3253</v>
      </c>
      <c r="AC4" s="3206" t="s">
        <v>3039</v>
      </c>
      <c r="AD4" s="3206" t="s">
        <v>3254</v>
      </c>
      <c r="AE4" s="3206">
        <v>1200</v>
      </c>
      <c r="AF4" s="3206">
        <v>2008.64</v>
      </c>
      <c r="AG4" s="3206">
        <v>2008.64</v>
      </c>
      <c r="AH4" s="3206">
        <v>227.5</v>
      </c>
      <c r="AI4" s="3206">
        <v>227.5</v>
      </c>
      <c r="AJ4" s="3206">
        <v>1895.87</v>
      </c>
      <c r="AK4" s="3206">
        <v>1895.86</v>
      </c>
      <c r="AL4" s="3206" t="s">
        <v>2818</v>
      </c>
      <c r="AM4" s="3206" t="s">
        <v>2818</v>
      </c>
      <c r="AN4" s="3206">
        <v>0</v>
      </c>
      <c r="AO4" s="3206" t="s">
        <v>3255</v>
      </c>
      <c r="AP4" s="3206" t="s">
        <v>2818</v>
      </c>
      <c r="AQ4" s="3206" t="s">
        <v>2818</v>
      </c>
      <c r="AR4" s="3206" t="s">
        <v>2818</v>
      </c>
      <c r="AS4" s="3206" t="s">
        <v>3046</v>
      </c>
    </row>
    <row r="6" spans="1:45" s="3207" customFormat="1">
      <c r="A6" s="3207" t="s">
        <v>3256</v>
      </c>
      <c r="B6" s="3207" t="s">
        <v>3213</v>
      </c>
      <c r="C6" s="3207" t="s">
        <v>3038</v>
      </c>
      <c r="D6" s="3207" t="s">
        <v>3214</v>
      </c>
      <c r="E6" s="3207" t="s">
        <v>2818</v>
      </c>
      <c r="F6" s="3207" t="s">
        <v>3256</v>
      </c>
      <c r="G6" s="3207" t="s">
        <v>3215</v>
      </c>
      <c r="H6" s="3207" t="s">
        <v>3257</v>
      </c>
      <c r="I6" s="3207" t="s">
        <v>3258</v>
      </c>
      <c r="J6" s="3207">
        <v>59228</v>
      </c>
      <c r="K6" s="3207">
        <v>225066.4</v>
      </c>
      <c r="L6" s="3207" t="s">
        <v>3259</v>
      </c>
      <c r="M6" s="3207" t="s">
        <v>2818</v>
      </c>
      <c r="N6" s="3207" t="s">
        <v>3219</v>
      </c>
      <c r="O6" s="3207" t="s">
        <v>3260</v>
      </c>
      <c r="P6" s="3207" t="s">
        <v>2818</v>
      </c>
      <c r="Q6" s="3207" t="s">
        <v>2818</v>
      </c>
      <c r="R6" s="3207" t="s">
        <v>2818</v>
      </c>
      <c r="S6" s="3207" t="s">
        <v>2818</v>
      </c>
      <c r="T6" s="3207" t="s">
        <v>2818</v>
      </c>
      <c r="U6" s="3207" t="s">
        <v>2818</v>
      </c>
      <c r="V6" s="3207" t="s">
        <v>2818</v>
      </c>
      <c r="W6" s="3207" t="s">
        <v>3261</v>
      </c>
      <c r="X6" s="3207" t="s">
        <v>3262</v>
      </c>
      <c r="Y6" s="3207" t="s">
        <v>3263</v>
      </c>
      <c r="Z6" s="3207" t="s">
        <v>3264</v>
      </c>
      <c r="AA6" s="3207" t="s">
        <v>3264</v>
      </c>
      <c r="AB6" s="3207" t="s">
        <v>3265</v>
      </c>
      <c r="AC6" s="3207" t="s">
        <v>3039</v>
      </c>
      <c r="AD6" s="3207" t="s">
        <v>3204</v>
      </c>
      <c r="AE6" s="3207">
        <v>35561</v>
      </c>
      <c r="AF6" s="3207">
        <v>35561</v>
      </c>
      <c r="AG6" s="3207">
        <v>35561</v>
      </c>
      <c r="AH6" s="3207">
        <v>400.27</v>
      </c>
      <c r="AI6" s="3207">
        <v>400.27</v>
      </c>
      <c r="AJ6" s="3207">
        <v>1580.02</v>
      </c>
      <c r="AK6" s="3207">
        <v>1580.01</v>
      </c>
      <c r="AL6" s="3207" t="s">
        <v>2818</v>
      </c>
      <c r="AM6" s="3207" t="s">
        <v>2818</v>
      </c>
      <c r="AN6" s="3207">
        <v>0</v>
      </c>
      <c r="AO6" s="3207" t="s">
        <v>3266</v>
      </c>
      <c r="AP6" s="3207" t="s">
        <v>2818</v>
      </c>
      <c r="AQ6" s="3207" t="s">
        <v>2818</v>
      </c>
      <c r="AR6" s="3207" t="s">
        <v>2818</v>
      </c>
      <c r="AS6" s="3207" t="s">
        <v>3047</v>
      </c>
    </row>
  </sheetData>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6"/>
  <sheetViews>
    <sheetView workbookViewId="0">
      <selection activeCell="A10" sqref="A10"/>
    </sheetView>
  </sheetViews>
  <sheetFormatPr defaultRowHeight="13.5"/>
  <cols>
    <col min="1" max="1" width="13" bestFit="1" customWidth="1"/>
    <col min="2" max="2" width="13" customWidth="1"/>
  </cols>
  <sheetData>
    <row r="3" spans="1:5">
      <c r="A3" s="3194" t="s">
        <v>3153</v>
      </c>
      <c r="B3" s="3194" t="s">
        <v>3157</v>
      </c>
      <c r="C3">
        <v>45</v>
      </c>
      <c r="D3">
        <v>1200</v>
      </c>
      <c r="E3">
        <f>D3/C3/12</f>
        <v>2.2222222222222223</v>
      </c>
    </row>
    <row r="4" spans="1:5">
      <c r="A4" s="3194" t="s">
        <v>3154</v>
      </c>
      <c r="B4" s="3194" t="s">
        <v>3157</v>
      </c>
      <c r="C4">
        <v>37</v>
      </c>
      <c r="D4">
        <v>1500</v>
      </c>
      <c r="E4">
        <f t="shared" ref="E4:E6" si="0">D4/C4/12</f>
        <v>3.3783783783783785</v>
      </c>
    </row>
    <row r="5" spans="1:5">
      <c r="A5" s="3194" t="s">
        <v>3155</v>
      </c>
      <c r="B5" s="3194" t="s">
        <v>3156</v>
      </c>
      <c r="C5">
        <v>50</v>
      </c>
      <c r="D5">
        <v>3000</v>
      </c>
      <c r="E5">
        <f t="shared" si="0"/>
        <v>5</v>
      </c>
    </row>
    <row r="6" spans="1:5">
      <c r="A6" s="3194" t="s">
        <v>3155</v>
      </c>
      <c r="B6" s="3194" t="s">
        <v>3156</v>
      </c>
      <c r="C6">
        <v>51</v>
      </c>
      <c r="D6">
        <v>2800</v>
      </c>
      <c r="E6">
        <f t="shared" si="0"/>
        <v>4.5751633986928102</v>
      </c>
    </row>
  </sheetData>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workbookViewId="0">
      <selection activeCell="R20" sqref="R20"/>
    </sheetView>
  </sheetViews>
  <sheetFormatPr defaultRowHeight="12"/>
  <cols>
    <col min="1" max="1" width="4.25" style="3205" customWidth="1"/>
    <col min="2" max="2" width="11.875" style="3201" customWidth="1"/>
    <col min="3" max="6" width="10.5" style="3201" bestFit="1" customWidth="1"/>
    <col min="7" max="7" width="9" style="3201"/>
    <col min="8" max="8" width="0" style="3201" hidden="1" customWidth="1"/>
    <col min="9" max="10" width="9" style="3201"/>
    <col min="11" max="11" width="11" style="3201" hidden="1" customWidth="1"/>
    <col min="12" max="12" width="0" style="3201" hidden="1" customWidth="1"/>
    <col min="13" max="13" width="12.25" style="3201" bestFit="1" customWidth="1"/>
    <col min="14" max="16384" width="9" style="3201"/>
  </cols>
  <sheetData>
    <row r="1" spans="1:15">
      <c r="A1" s="3280" t="s">
        <v>3055</v>
      </c>
      <c r="B1" s="3281" t="s">
        <v>3056</v>
      </c>
      <c r="C1" s="3279" t="s">
        <v>2945</v>
      </c>
      <c r="D1" s="3279"/>
      <c r="E1" s="3279"/>
      <c r="F1" s="3279"/>
      <c r="G1" s="3279"/>
      <c r="H1" s="3279"/>
      <c r="I1" s="3279"/>
      <c r="J1" s="3279"/>
      <c r="K1" s="3279"/>
      <c r="L1" s="3279"/>
      <c r="M1" s="3279"/>
    </row>
    <row r="2" spans="1:15">
      <c r="A2" s="3280"/>
      <c r="B2" s="3281"/>
      <c r="C2" s="3279" t="s">
        <v>24</v>
      </c>
      <c r="D2" s="3279" t="s">
        <v>25</v>
      </c>
      <c r="E2" s="3279"/>
      <c r="F2" s="3279"/>
      <c r="G2" s="3279"/>
      <c r="H2" s="3279"/>
      <c r="I2" s="3279"/>
      <c r="J2" s="3279" t="s">
        <v>26</v>
      </c>
      <c r="K2" s="3279"/>
      <c r="L2" s="3279"/>
      <c r="M2" s="3279"/>
    </row>
    <row r="3" spans="1:15">
      <c r="A3" s="3280"/>
      <c r="B3" s="3281"/>
      <c r="C3" s="3279"/>
      <c r="D3" s="3279" t="s">
        <v>27</v>
      </c>
      <c r="E3" s="3279" t="s">
        <v>3057</v>
      </c>
      <c r="F3" s="3279" t="s">
        <v>3058</v>
      </c>
      <c r="G3" s="3279" t="s">
        <v>3059</v>
      </c>
      <c r="H3" s="3279" t="s">
        <v>3060</v>
      </c>
      <c r="I3" s="3279" t="s">
        <v>35</v>
      </c>
      <c r="J3" s="3279" t="s">
        <v>27</v>
      </c>
      <c r="K3" s="3279" t="s">
        <v>2314</v>
      </c>
      <c r="L3" s="3279" t="s">
        <v>3061</v>
      </c>
      <c r="M3" s="3279" t="s">
        <v>3062</v>
      </c>
    </row>
    <row r="4" spans="1:15">
      <c r="A4" s="3280"/>
      <c r="B4" s="3281"/>
      <c r="C4" s="3279"/>
      <c r="D4" s="3279"/>
      <c r="E4" s="3279"/>
      <c r="F4" s="3279"/>
      <c r="G4" s="3279"/>
      <c r="H4" s="3279"/>
      <c r="I4" s="3279"/>
      <c r="J4" s="3279"/>
      <c r="K4" s="3279"/>
      <c r="L4" s="3279"/>
      <c r="M4" s="3279"/>
    </row>
    <row r="5" spans="1:15">
      <c r="A5" s="3202">
        <v>1</v>
      </c>
      <c r="B5" s="3203" t="s">
        <v>3166</v>
      </c>
      <c r="C5" s="3203">
        <v>14845.83</v>
      </c>
      <c r="D5" s="3203">
        <v>14845.83</v>
      </c>
      <c r="E5" s="3203">
        <v>14466.43</v>
      </c>
      <c r="F5" s="3203"/>
      <c r="G5" s="3203">
        <v>379.4</v>
      </c>
      <c r="H5" s="3203"/>
      <c r="I5" s="3203"/>
      <c r="J5" s="3203">
        <v>0</v>
      </c>
      <c r="K5" s="3203"/>
      <c r="L5" s="3203"/>
      <c r="M5" s="3203"/>
      <c r="N5" s="3201">
        <v>14845.83</v>
      </c>
      <c r="O5" s="3201">
        <v>0</v>
      </c>
    </row>
    <row r="6" spans="1:15">
      <c r="A6" s="3202">
        <v>2</v>
      </c>
      <c r="B6" s="3203" t="s">
        <v>3167</v>
      </c>
      <c r="C6" s="3203">
        <v>14845.83</v>
      </c>
      <c r="D6" s="3203">
        <v>14807.64</v>
      </c>
      <c r="E6" s="3203">
        <v>14472.199999999999</v>
      </c>
      <c r="F6" s="3203"/>
      <c r="G6" s="3203">
        <v>335.44</v>
      </c>
      <c r="H6" s="3203"/>
      <c r="I6" s="3203"/>
      <c r="J6" s="3203">
        <v>38.19</v>
      </c>
      <c r="K6" s="3203"/>
      <c r="L6" s="3203"/>
      <c r="M6" s="3203">
        <v>38.19</v>
      </c>
      <c r="N6" s="3201">
        <v>14845.83</v>
      </c>
      <c r="O6" s="3201">
        <v>0</v>
      </c>
    </row>
    <row r="7" spans="1:15">
      <c r="A7" s="3202">
        <v>3</v>
      </c>
      <c r="B7" s="3203" t="s">
        <v>3168</v>
      </c>
      <c r="C7" s="3203">
        <v>11392.19</v>
      </c>
      <c r="D7" s="3203">
        <v>11392.19</v>
      </c>
      <c r="E7" s="3203">
        <v>10945.02</v>
      </c>
      <c r="F7" s="3203"/>
      <c r="G7" s="3203">
        <v>447.17</v>
      </c>
      <c r="H7" s="3203"/>
      <c r="I7" s="3203"/>
      <c r="J7" s="3203">
        <v>0</v>
      </c>
      <c r="K7" s="3203"/>
      <c r="L7" s="3203"/>
      <c r="M7" s="3203"/>
      <c r="N7" s="3201">
        <v>11392.19</v>
      </c>
      <c r="O7" s="3201">
        <v>0</v>
      </c>
    </row>
    <row r="8" spans="1:15">
      <c r="A8" s="3202">
        <v>4</v>
      </c>
      <c r="B8" s="3203" t="s">
        <v>3169</v>
      </c>
      <c r="C8" s="3203">
        <v>11590.95</v>
      </c>
      <c r="D8" s="3203">
        <v>11590.95</v>
      </c>
      <c r="E8" s="3203">
        <v>11071.11</v>
      </c>
      <c r="F8" s="3203"/>
      <c r="G8" s="3203">
        <v>519.84</v>
      </c>
      <c r="H8" s="3203"/>
      <c r="I8" s="3203"/>
      <c r="J8" s="3203">
        <v>0</v>
      </c>
      <c r="K8" s="3203"/>
      <c r="L8" s="3203"/>
      <c r="M8" s="3203"/>
      <c r="N8" s="3201">
        <v>11590.95</v>
      </c>
      <c r="O8" s="3201">
        <v>0</v>
      </c>
    </row>
    <row r="9" spans="1:15">
      <c r="A9" s="3202">
        <v>5</v>
      </c>
      <c r="B9" s="3203" t="s">
        <v>3170</v>
      </c>
      <c r="C9" s="3203">
        <v>11391.34</v>
      </c>
      <c r="D9" s="3203">
        <v>11391.34</v>
      </c>
      <c r="E9" s="3203">
        <v>10944.17</v>
      </c>
      <c r="F9" s="3203"/>
      <c r="G9" s="3203">
        <v>447.17</v>
      </c>
      <c r="H9" s="3203"/>
      <c r="I9" s="3203"/>
      <c r="J9" s="3203">
        <v>0</v>
      </c>
      <c r="K9" s="3203"/>
      <c r="L9" s="3203"/>
      <c r="M9" s="3203"/>
      <c r="N9" s="3201">
        <v>11391.34</v>
      </c>
      <c r="O9" s="3201">
        <v>0</v>
      </c>
    </row>
    <row r="10" spans="1:15">
      <c r="A10" s="3202">
        <v>6</v>
      </c>
      <c r="B10" s="3203" t="s">
        <v>3171</v>
      </c>
      <c r="C10" s="3203">
        <v>11590.95</v>
      </c>
      <c r="D10" s="3203">
        <v>11590.95</v>
      </c>
      <c r="E10" s="3203">
        <v>11071.11</v>
      </c>
      <c r="F10" s="3203"/>
      <c r="G10" s="3203">
        <v>519.84</v>
      </c>
      <c r="H10" s="3203"/>
      <c r="I10" s="3203"/>
      <c r="J10" s="3203">
        <v>0</v>
      </c>
      <c r="K10" s="3203"/>
      <c r="L10" s="3203"/>
      <c r="M10" s="3203"/>
      <c r="N10" s="3201">
        <v>11590.95</v>
      </c>
      <c r="O10" s="3201">
        <v>0</v>
      </c>
    </row>
    <row r="11" spans="1:15">
      <c r="A11" s="3202">
        <v>7</v>
      </c>
      <c r="B11" s="3203" t="s">
        <v>3172</v>
      </c>
      <c r="C11" s="3203">
        <v>17686.219999999998</v>
      </c>
      <c r="D11" s="3203">
        <v>17395.53</v>
      </c>
      <c r="E11" s="3203">
        <v>16796.849999999999</v>
      </c>
      <c r="F11" s="3203"/>
      <c r="G11" s="3203">
        <v>598.67999999999995</v>
      </c>
      <c r="H11" s="3203"/>
      <c r="I11" s="3203"/>
      <c r="J11" s="3203">
        <v>290.69</v>
      </c>
      <c r="K11" s="3203"/>
      <c r="L11" s="3203"/>
      <c r="M11" s="3203">
        <v>290.69</v>
      </c>
      <c r="N11" s="3201">
        <v>17686.219999999998</v>
      </c>
      <c r="O11" s="3201">
        <v>0</v>
      </c>
    </row>
    <row r="12" spans="1:15">
      <c r="A12" s="3202">
        <v>8</v>
      </c>
      <c r="B12" s="3203" t="s">
        <v>3173</v>
      </c>
      <c r="C12" s="3203">
        <v>12683.525000000001</v>
      </c>
      <c r="D12" s="3203">
        <v>12622.845000000001</v>
      </c>
      <c r="E12" s="3203"/>
      <c r="F12" s="3203">
        <v>12175.435000000001</v>
      </c>
      <c r="G12" s="3203">
        <v>447.41</v>
      </c>
      <c r="H12" s="3203"/>
      <c r="I12" s="3203"/>
      <c r="J12" s="3203">
        <v>60.68</v>
      </c>
      <c r="K12" s="3203"/>
      <c r="L12" s="3203"/>
      <c r="M12" s="3203">
        <v>60.68</v>
      </c>
      <c r="N12" s="3201">
        <v>12683.525</v>
      </c>
      <c r="O12" s="3201">
        <v>0</v>
      </c>
    </row>
    <row r="13" spans="1:15">
      <c r="A13" s="3202">
        <v>9</v>
      </c>
      <c r="B13" s="3203" t="s">
        <v>3174</v>
      </c>
      <c r="C13" s="3203">
        <v>12674.965</v>
      </c>
      <c r="D13" s="3203">
        <v>12674.965</v>
      </c>
      <c r="E13" s="3203"/>
      <c r="F13" s="3203">
        <v>12172.195</v>
      </c>
      <c r="G13" s="3203">
        <v>502.77</v>
      </c>
      <c r="H13" s="3203"/>
      <c r="I13" s="3203"/>
      <c r="J13" s="3203">
        <v>0</v>
      </c>
      <c r="K13" s="3203"/>
      <c r="L13" s="3203"/>
      <c r="M13" s="3203"/>
      <c r="N13" s="3201">
        <v>12674.965</v>
      </c>
      <c r="O13" s="3201">
        <v>0</v>
      </c>
    </row>
    <row r="14" spans="1:15">
      <c r="A14" s="3202">
        <v>10</v>
      </c>
      <c r="B14" s="3203" t="s">
        <v>3175</v>
      </c>
      <c r="C14" s="3203">
        <v>12760.494999999999</v>
      </c>
      <c r="D14" s="3203">
        <v>12760.494999999999</v>
      </c>
      <c r="E14" s="3203"/>
      <c r="F14" s="3203">
        <v>12172.195</v>
      </c>
      <c r="G14" s="3203">
        <v>588.29999999999995</v>
      </c>
      <c r="H14" s="3203"/>
      <c r="I14" s="3203"/>
      <c r="J14" s="3203">
        <v>0</v>
      </c>
      <c r="K14" s="3203"/>
      <c r="L14" s="3203"/>
      <c r="M14" s="3203"/>
      <c r="N14" s="3201">
        <v>12760.495000000001</v>
      </c>
      <c r="O14" s="3201">
        <v>0</v>
      </c>
    </row>
    <row r="15" spans="1:15">
      <c r="A15" s="3202">
        <v>11</v>
      </c>
      <c r="B15" s="3203" t="s">
        <v>3176</v>
      </c>
      <c r="C15" s="3203">
        <v>12924.695</v>
      </c>
      <c r="D15" s="3203">
        <v>12802.375</v>
      </c>
      <c r="E15" s="3203"/>
      <c r="F15" s="3203">
        <v>12172.195</v>
      </c>
      <c r="G15" s="3203">
        <v>630.17999999999995</v>
      </c>
      <c r="H15" s="3203"/>
      <c r="I15" s="3203"/>
      <c r="J15" s="3203">
        <v>122.32</v>
      </c>
      <c r="K15" s="3203"/>
      <c r="L15" s="3203"/>
      <c r="M15" s="3203">
        <v>122.32</v>
      </c>
      <c r="N15" s="3201">
        <v>12924.695</v>
      </c>
      <c r="O15" s="3201">
        <v>0</v>
      </c>
    </row>
    <row r="16" spans="1:15">
      <c r="A16" s="3202">
        <v>12</v>
      </c>
      <c r="B16" s="3203" t="s">
        <v>3177</v>
      </c>
      <c r="C16" s="3203">
        <v>9078.8200000000015</v>
      </c>
      <c r="D16" s="3203">
        <v>9078.8200000000015</v>
      </c>
      <c r="E16" s="3203"/>
      <c r="F16" s="3203">
        <v>9078.8200000000015</v>
      </c>
      <c r="G16" s="3203"/>
      <c r="H16" s="3203"/>
      <c r="I16" s="3203"/>
      <c r="J16" s="3203">
        <v>0</v>
      </c>
      <c r="K16" s="3203"/>
      <c r="L16" s="3203"/>
      <c r="M16" s="3203"/>
      <c r="N16" s="3201">
        <v>9078.8200000000015</v>
      </c>
      <c r="O16" s="3201">
        <v>0</v>
      </c>
    </row>
    <row r="17" spans="1:15">
      <c r="A17" s="3202">
        <v>13</v>
      </c>
      <c r="B17" s="3203" t="s">
        <v>3178</v>
      </c>
      <c r="C17" s="3203">
        <v>10579.220000000001</v>
      </c>
      <c r="D17" s="3203">
        <v>10579.220000000001</v>
      </c>
      <c r="E17" s="3203"/>
      <c r="F17" s="3203">
        <v>10579.220000000001</v>
      </c>
      <c r="G17" s="3203"/>
      <c r="H17" s="3203"/>
      <c r="I17" s="3203"/>
      <c r="J17" s="3203">
        <v>0</v>
      </c>
      <c r="K17" s="3203"/>
      <c r="L17" s="3203"/>
      <c r="M17" s="3203"/>
      <c r="N17" s="3201">
        <v>10579.220000000001</v>
      </c>
      <c r="O17" s="3201">
        <v>0</v>
      </c>
    </row>
    <row r="18" spans="1:15">
      <c r="A18" s="3202">
        <v>14</v>
      </c>
      <c r="B18" s="3203" t="s">
        <v>3179</v>
      </c>
      <c r="C18" s="3203">
        <v>10579.220000000001</v>
      </c>
      <c r="D18" s="3203">
        <v>10579.220000000001</v>
      </c>
      <c r="E18" s="3203"/>
      <c r="F18" s="3203">
        <v>10579.220000000001</v>
      </c>
      <c r="G18" s="3203"/>
      <c r="H18" s="3203"/>
      <c r="I18" s="3203"/>
      <c r="J18" s="3203">
        <v>0</v>
      </c>
      <c r="K18" s="3203"/>
      <c r="L18" s="3203"/>
      <c r="M18" s="3203"/>
      <c r="N18" s="3201">
        <v>10579.220000000001</v>
      </c>
      <c r="O18" s="3201">
        <v>0</v>
      </c>
    </row>
    <row r="19" spans="1:15">
      <c r="A19" s="3202">
        <v>15</v>
      </c>
      <c r="B19" s="3203" t="s">
        <v>3180</v>
      </c>
      <c r="C19" s="3203">
        <v>9078.8200000000015</v>
      </c>
      <c r="D19" s="3203">
        <v>9078.8200000000015</v>
      </c>
      <c r="E19" s="3203"/>
      <c r="F19" s="3203">
        <v>9078.8200000000015</v>
      </c>
      <c r="G19" s="3203"/>
      <c r="H19" s="3203"/>
      <c r="I19" s="3203"/>
      <c r="J19" s="3203">
        <v>0</v>
      </c>
      <c r="K19" s="3203"/>
      <c r="L19" s="3203"/>
      <c r="M19" s="3203"/>
      <c r="N19" s="3201">
        <v>9078.8200000000015</v>
      </c>
      <c r="O19" s="3201">
        <v>0</v>
      </c>
    </row>
    <row r="20" spans="1:15">
      <c r="A20" s="3202">
        <v>16</v>
      </c>
      <c r="B20" s="3203" t="s">
        <v>3181</v>
      </c>
      <c r="C20" s="3203">
        <v>9078.8200000000015</v>
      </c>
      <c r="D20" s="3203">
        <v>9078.8200000000015</v>
      </c>
      <c r="E20" s="3203"/>
      <c r="F20" s="3203">
        <v>9078.8200000000015</v>
      </c>
      <c r="G20" s="3203"/>
      <c r="H20" s="3203"/>
      <c r="I20" s="3203"/>
      <c r="J20" s="3203">
        <v>0</v>
      </c>
      <c r="K20" s="3203"/>
      <c r="L20" s="3203"/>
      <c r="M20" s="3203"/>
      <c r="N20" s="3201">
        <v>9078.8200000000015</v>
      </c>
      <c r="O20" s="3201">
        <v>0</v>
      </c>
    </row>
    <row r="21" spans="1:15">
      <c r="A21" s="3202">
        <v>17</v>
      </c>
      <c r="B21" s="3203" t="s">
        <v>3182</v>
      </c>
      <c r="C21" s="3203">
        <v>10579.220000000001</v>
      </c>
      <c r="D21" s="3203">
        <v>10579.220000000001</v>
      </c>
      <c r="E21" s="3203"/>
      <c r="F21" s="3203">
        <v>10579.220000000001</v>
      </c>
      <c r="G21" s="3203"/>
      <c r="H21" s="3203"/>
      <c r="I21" s="3203"/>
      <c r="J21" s="3203">
        <v>0</v>
      </c>
      <c r="K21" s="3203"/>
      <c r="L21" s="3203"/>
      <c r="M21" s="3203"/>
      <c r="N21" s="3201">
        <v>10579.220000000001</v>
      </c>
      <c r="O21" s="3201">
        <v>0</v>
      </c>
    </row>
    <row r="22" spans="1:15">
      <c r="A22" s="3202">
        <v>18</v>
      </c>
      <c r="B22" s="3203" t="s">
        <v>3183</v>
      </c>
      <c r="C22" s="3203">
        <v>10579.220000000001</v>
      </c>
      <c r="D22" s="3203">
        <v>10579.220000000001</v>
      </c>
      <c r="E22" s="3203"/>
      <c r="F22" s="3203">
        <v>10579.220000000001</v>
      </c>
      <c r="G22" s="3203"/>
      <c r="H22" s="3203"/>
      <c r="I22" s="3203"/>
      <c r="J22" s="3203">
        <v>0</v>
      </c>
      <c r="K22" s="3203"/>
      <c r="L22" s="3203"/>
      <c r="M22" s="3203"/>
      <c r="N22" s="3201">
        <v>10579.220000000001</v>
      </c>
      <c r="O22" s="3201">
        <v>0</v>
      </c>
    </row>
    <row r="23" spans="1:15">
      <c r="A23" s="3202">
        <v>19</v>
      </c>
      <c r="B23" s="3203" t="s">
        <v>3184</v>
      </c>
      <c r="C23" s="3203">
        <v>9078.8200000000015</v>
      </c>
      <c r="D23" s="3203">
        <v>9078.8200000000015</v>
      </c>
      <c r="E23" s="3203"/>
      <c r="F23" s="3203">
        <v>9078.8200000000015</v>
      </c>
      <c r="G23" s="3203"/>
      <c r="H23" s="3203"/>
      <c r="I23" s="3203"/>
      <c r="J23" s="3203">
        <v>0</v>
      </c>
      <c r="K23" s="3203"/>
      <c r="L23" s="3203"/>
      <c r="M23" s="3203"/>
      <c r="N23" s="3201">
        <v>9078.8200000000015</v>
      </c>
      <c r="O23" s="3201">
        <v>0</v>
      </c>
    </row>
    <row r="24" spans="1:15">
      <c r="A24" s="3202">
        <v>20</v>
      </c>
      <c r="B24" s="3203" t="s">
        <v>3185</v>
      </c>
      <c r="C24" s="3203">
        <v>5666.0700000000006</v>
      </c>
      <c r="D24" s="3203">
        <v>5666.0700000000006</v>
      </c>
      <c r="E24" s="3203"/>
      <c r="F24" s="3203">
        <v>5666.0700000000006</v>
      </c>
      <c r="G24" s="3203"/>
      <c r="H24" s="3203"/>
      <c r="I24" s="3203"/>
      <c r="J24" s="3203">
        <v>0</v>
      </c>
      <c r="K24" s="3203"/>
      <c r="L24" s="3203"/>
      <c r="M24" s="3203"/>
      <c r="N24" s="3201">
        <v>5666.0700000000006</v>
      </c>
      <c r="O24" s="3201">
        <v>0</v>
      </c>
    </row>
    <row r="25" spans="1:15">
      <c r="A25" s="3202">
        <v>21</v>
      </c>
      <c r="B25" s="3203" t="s">
        <v>3186</v>
      </c>
      <c r="C25" s="3203">
        <v>5666.07</v>
      </c>
      <c r="D25" s="3203">
        <v>5351.88</v>
      </c>
      <c r="E25" s="3203"/>
      <c r="F25" s="3203">
        <v>5351.88</v>
      </c>
      <c r="G25" s="3203"/>
      <c r="H25" s="3203"/>
      <c r="I25" s="3203"/>
      <c r="J25" s="3203">
        <v>314.19</v>
      </c>
      <c r="K25" s="3203"/>
      <c r="L25" s="3203"/>
      <c r="M25" s="3203">
        <v>314.19</v>
      </c>
      <c r="N25" s="3201">
        <v>5666.0700000000006</v>
      </c>
      <c r="O25" s="3201">
        <v>0</v>
      </c>
    </row>
    <row r="26" spans="1:15">
      <c r="A26" s="3202">
        <v>22</v>
      </c>
      <c r="B26" s="3203" t="s">
        <v>3187</v>
      </c>
      <c r="C26" s="3203">
        <v>16955.139999999996</v>
      </c>
      <c r="D26" s="3203">
        <v>16701.609999999997</v>
      </c>
      <c r="E26" s="3203">
        <v>16561.309999999998</v>
      </c>
      <c r="F26" s="3203"/>
      <c r="G26" s="3203">
        <v>140.30000000000001</v>
      </c>
      <c r="H26" s="3203"/>
      <c r="I26" s="3203"/>
      <c r="J26" s="3203">
        <v>253.53</v>
      </c>
      <c r="K26" s="3203"/>
      <c r="L26" s="3203"/>
      <c r="M26" s="3203">
        <v>253.53</v>
      </c>
      <c r="N26" s="3201">
        <v>16955.14</v>
      </c>
      <c r="O26" s="3201">
        <v>0</v>
      </c>
    </row>
    <row r="27" spans="1:15">
      <c r="A27" s="3202">
        <v>23</v>
      </c>
      <c r="B27" s="3203" t="s">
        <v>3188</v>
      </c>
      <c r="C27" s="3203">
        <v>16955.14</v>
      </c>
      <c r="D27" s="3203">
        <v>16955.14</v>
      </c>
      <c r="E27" s="3203">
        <v>16561.309999999998</v>
      </c>
      <c r="F27" s="3203"/>
      <c r="G27" s="3203">
        <v>393.83</v>
      </c>
      <c r="H27" s="3203"/>
      <c r="I27" s="3203"/>
      <c r="J27" s="3203">
        <v>0</v>
      </c>
      <c r="K27" s="3203"/>
      <c r="L27" s="3203"/>
      <c r="M27" s="3203"/>
      <c r="N27" s="3201">
        <v>16955.14</v>
      </c>
      <c r="O27" s="3201">
        <v>0</v>
      </c>
    </row>
    <row r="28" spans="1:15">
      <c r="A28" s="3202">
        <v>24</v>
      </c>
      <c r="B28" s="3203" t="s">
        <v>3189</v>
      </c>
      <c r="C28" s="3203">
        <v>15130.000000000002</v>
      </c>
      <c r="D28" s="3203">
        <v>15130.000000000002</v>
      </c>
      <c r="E28" s="3203">
        <v>15130.000000000002</v>
      </c>
      <c r="F28" s="3203"/>
      <c r="G28" s="3203"/>
      <c r="H28" s="3203"/>
      <c r="I28" s="3203"/>
      <c r="J28" s="3203">
        <v>0</v>
      </c>
      <c r="K28" s="3203"/>
      <c r="L28" s="3203"/>
      <c r="M28" s="3203"/>
      <c r="N28" s="3201">
        <v>15130.000000000002</v>
      </c>
      <c r="O28" s="3201">
        <v>0</v>
      </c>
    </row>
    <row r="29" spans="1:15">
      <c r="A29" s="3202">
        <v>25</v>
      </c>
      <c r="B29" s="3203" t="s">
        <v>3190</v>
      </c>
      <c r="C29" s="3203">
        <v>15130.000000000002</v>
      </c>
      <c r="D29" s="3203">
        <v>15130.000000000002</v>
      </c>
      <c r="E29" s="3203">
        <v>15130.000000000002</v>
      </c>
      <c r="F29" s="3203"/>
      <c r="G29" s="3203"/>
      <c r="H29" s="3203"/>
      <c r="I29" s="3203"/>
      <c r="J29" s="3203">
        <v>0</v>
      </c>
      <c r="K29" s="3203"/>
      <c r="L29" s="3203"/>
      <c r="M29" s="3203"/>
      <c r="N29" s="3201">
        <v>15130.000000000002</v>
      </c>
      <c r="O29" s="3201">
        <v>0</v>
      </c>
    </row>
    <row r="30" spans="1:15">
      <c r="A30" s="3202">
        <v>26</v>
      </c>
      <c r="B30" s="3203" t="s">
        <v>3191</v>
      </c>
      <c r="C30" s="3203">
        <v>11762.985000000001</v>
      </c>
      <c r="D30" s="3203">
        <v>11762.985000000001</v>
      </c>
      <c r="E30" s="3203">
        <v>11762.985000000001</v>
      </c>
      <c r="F30" s="3203"/>
      <c r="G30" s="3203"/>
      <c r="H30" s="3203"/>
      <c r="I30" s="3203"/>
      <c r="J30" s="3203">
        <v>0</v>
      </c>
      <c r="K30" s="3203"/>
      <c r="L30" s="3203"/>
      <c r="M30" s="3203"/>
      <c r="N30" s="3201">
        <v>11762.985000000001</v>
      </c>
      <c r="O30" s="3201">
        <v>0</v>
      </c>
    </row>
    <row r="31" spans="1:15">
      <c r="A31" s="3202">
        <v>27</v>
      </c>
      <c r="B31" s="3203" t="s">
        <v>3192</v>
      </c>
      <c r="C31" s="3203">
        <v>11762.985000000001</v>
      </c>
      <c r="D31" s="3203">
        <v>11762.985000000001</v>
      </c>
      <c r="E31" s="3203">
        <v>11762.985000000001</v>
      </c>
      <c r="F31" s="3203"/>
      <c r="G31" s="3203"/>
      <c r="H31" s="3203"/>
      <c r="I31" s="3203"/>
      <c r="J31" s="3203">
        <v>0</v>
      </c>
      <c r="K31" s="3203"/>
      <c r="L31" s="3203"/>
      <c r="M31" s="3203"/>
      <c r="N31" s="3201">
        <v>11762.985000000001</v>
      </c>
      <c r="O31" s="3201">
        <v>0</v>
      </c>
    </row>
    <row r="32" spans="1:15">
      <c r="A32" s="3202">
        <v>28</v>
      </c>
      <c r="B32" s="3203" t="s">
        <v>3193</v>
      </c>
      <c r="C32" s="3203">
        <v>13434.589999999998</v>
      </c>
      <c r="D32" s="3203">
        <v>13434.589999999998</v>
      </c>
      <c r="E32" s="3203">
        <v>13434.589999999998</v>
      </c>
      <c r="F32" s="3203"/>
      <c r="G32" s="3203"/>
      <c r="H32" s="3203"/>
      <c r="I32" s="3203"/>
      <c r="J32" s="3203">
        <v>0</v>
      </c>
      <c r="K32" s="3203"/>
      <c r="L32" s="3203"/>
      <c r="M32" s="3203"/>
      <c r="N32" s="3201">
        <v>11762.985000000001</v>
      </c>
      <c r="O32" s="3201">
        <v>1671.6049999999977</v>
      </c>
    </row>
    <row r="33" spans="1:15">
      <c r="A33" s="3202">
        <v>29</v>
      </c>
      <c r="B33" s="3203" t="s">
        <v>3194</v>
      </c>
      <c r="C33" s="3203">
        <v>13434.589999999998</v>
      </c>
      <c r="D33" s="3203">
        <v>13434.589999999998</v>
      </c>
      <c r="E33" s="3203">
        <v>13434.589999999998</v>
      </c>
      <c r="F33" s="3203"/>
      <c r="G33" s="3203"/>
      <c r="H33" s="3203"/>
      <c r="I33" s="3203"/>
      <c r="J33" s="3203">
        <v>0</v>
      </c>
      <c r="K33" s="3203"/>
      <c r="L33" s="3203"/>
      <c r="M33" s="3203"/>
      <c r="N33" s="3201">
        <v>13434.589999999998</v>
      </c>
      <c r="O33" s="3201">
        <v>0</v>
      </c>
    </row>
    <row r="34" spans="1:15">
      <c r="A34" s="3202">
        <v>30</v>
      </c>
      <c r="B34" s="3203" t="s">
        <v>3195</v>
      </c>
      <c r="C34" s="3203">
        <v>1669.92</v>
      </c>
      <c r="D34" s="3203">
        <v>1669.92</v>
      </c>
      <c r="E34" s="3203"/>
      <c r="F34" s="3203"/>
      <c r="G34" s="3203">
        <v>1669.92</v>
      </c>
      <c r="H34" s="3203"/>
      <c r="I34" s="3203"/>
      <c r="J34" s="3203">
        <v>0</v>
      </c>
      <c r="K34" s="3203"/>
      <c r="L34" s="3203"/>
      <c r="M34" s="3203"/>
      <c r="N34" s="3201">
        <v>1669.92</v>
      </c>
      <c r="O34" s="3201">
        <v>0</v>
      </c>
    </row>
    <row r="35" spans="1:15">
      <c r="A35" s="3202">
        <v>31</v>
      </c>
      <c r="B35" s="3203" t="s">
        <v>3196</v>
      </c>
      <c r="C35" s="3203">
        <v>1456.58</v>
      </c>
      <c r="D35" s="3203">
        <v>666.93</v>
      </c>
      <c r="E35" s="3203"/>
      <c r="F35" s="3203"/>
      <c r="G35" s="3203">
        <v>666.93</v>
      </c>
      <c r="H35" s="3203"/>
      <c r="I35" s="3203"/>
      <c r="J35" s="3203">
        <v>789.64999999999986</v>
      </c>
      <c r="K35" s="3203"/>
      <c r="L35" s="3203"/>
      <c r="M35" s="3203">
        <v>789.64999999999986</v>
      </c>
      <c r="N35" s="3201">
        <v>1456.58</v>
      </c>
      <c r="O35" s="3201">
        <v>0</v>
      </c>
    </row>
    <row r="36" spans="1:15">
      <c r="A36" s="3202">
        <v>32</v>
      </c>
      <c r="B36" s="3203" t="s">
        <v>3197</v>
      </c>
      <c r="C36" s="3203">
        <v>1331.28</v>
      </c>
      <c r="D36" s="3203">
        <v>680.75</v>
      </c>
      <c r="E36" s="3203"/>
      <c r="F36" s="3203"/>
      <c r="G36" s="3203">
        <v>680.75</v>
      </c>
      <c r="H36" s="3203"/>
      <c r="I36" s="3203"/>
      <c r="J36" s="3203">
        <v>650.53</v>
      </c>
      <c r="K36" s="3203"/>
      <c r="L36" s="3203"/>
      <c r="M36" s="3203">
        <v>650.53</v>
      </c>
      <c r="N36" s="3201">
        <v>1331.28</v>
      </c>
      <c r="O36" s="3201">
        <v>0</v>
      </c>
    </row>
    <row r="37" spans="1:15">
      <c r="A37" s="3202">
        <v>33</v>
      </c>
      <c r="B37" s="3203" t="s">
        <v>3198</v>
      </c>
      <c r="C37" s="3203">
        <v>1783.5</v>
      </c>
      <c r="D37" s="3203">
        <v>0</v>
      </c>
      <c r="E37" s="3203"/>
      <c r="F37" s="3203"/>
      <c r="G37" s="3203"/>
      <c r="H37" s="3203"/>
      <c r="I37" s="3203"/>
      <c r="J37" s="3203">
        <v>1783.5</v>
      </c>
      <c r="K37" s="3203"/>
      <c r="L37" s="3203"/>
      <c r="M37" s="3203">
        <v>1783.5</v>
      </c>
      <c r="N37" s="3201">
        <v>1783.5</v>
      </c>
      <c r="O37" s="3201">
        <v>0</v>
      </c>
    </row>
    <row r="38" spans="1:15">
      <c r="A38" s="3202">
        <v>34</v>
      </c>
      <c r="B38" s="3203" t="s">
        <v>3199</v>
      </c>
      <c r="C38" s="3203">
        <v>82686</v>
      </c>
      <c r="D38" s="3203">
        <v>61373.46</v>
      </c>
      <c r="E38" s="3203"/>
      <c r="F38" s="3203"/>
      <c r="G38" s="3203"/>
      <c r="H38" s="3203"/>
      <c r="I38" s="3203">
        <v>61373.46</v>
      </c>
      <c r="J38" s="3203">
        <v>21312.54</v>
      </c>
      <c r="K38" s="3203"/>
      <c r="L38" s="3203">
        <v>21312.54</v>
      </c>
      <c r="M38" s="3203"/>
    </row>
    <row r="39" spans="1:15">
      <c r="A39" s="3202"/>
      <c r="B39" s="3203" t="s">
        <v>3165</v>
      </c>
      <c r="C39" s="3204">
        <v>437844.00000000006</v>
      </c>
      <c r="D39" s="3204">
        <v>412228.18000000005</v>
      </c>
      <c r="E39" s="3204">
        <v>203544.65999999997</v>
      </c>
      <c r="F39" s="3204">
        <v>138342.13000000003</v>
      </c>
      <c r="G39" s="3204">
        <v>8967.93</v>
      </c>
      <c r="H39" s="3204">
        <v>0</v>
      </c>
      <c r="I39" s="3204">
        <v>61373.46</v>
      </c>
      <c r="J39" s="3204">
        <v>25615.82</v>
      </c>
      <c r="K39" s="3204">
        <v>0</v>
      </c>
      <c r="L39" s="3204">
        <v>21312.54</v>
      </c>
      <c r="M39" s="3204">
        <v>4303.28</v>
      </c>
    </row>
    <row r="40" spans="1:15">
      <c r="A40" s="3202"/>
      <c r="B40" s="3203"/>
      <c r="C40" s="3204"/>
      <c r="D40" s="3203"/>
      <c r="E40" s="3203"/>
      <c r="F40" s="3203"/>
      <c r="G40" s="3203"/>
      <c r="H40" s="3203"/>
      <c r="I40" s="3203"/>
      <c r="J40" s="3203"/>
      <c r="K40" s="3203"/>
      <c r="L40" s="3203"/>
      <c r="M40" s="3203"/>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2038</v>
      </c>
      <c r="B1" s="3212"/>
      <c r="C1" s="3212"/>
      <c r="D1" s="3212"/>
      <c r="E1" s="3212"/>
      <c r="F1" s="3212"/>
      <c r="G1" s="3212"/>
      <c r="H1" s="3212"/>
      <c r="I1" s="3212"/>
      <c r="J1" s="3212"/>
      <c r="K1" s="3212"/>
      <c r="L1" s="3212"/>
      <c r="M1" s="3212"/>
      <c r="N1" s="3212"/>
      <c r="O1" s="3212"/>
      <c r="P1" s="3212"/>
      <c r="Q1" s="3212"/>
      <c r="R1" s="3212"/>
    </row>
    <row r="2" spans="1:18">
      <c r="A2" s="1791" t="s">
        <v>2040</v>
      </c>
      <c r="B2" s="1791"/>
      <c r="C2" s="1791"/>
      <c r="D2" s="1791"/>
      <c r="E2" s="1791"/>
      <c r="F2" s="1791"/>
      <c r="G2" s="1791"/>
      <c r="H2" s="1791"/>
      <c r="I2" s="1792"/>
      <c r="J2" s="1792"/>
      <c r="K2" s="1793" t="str">
        <f>"估价期日："&amp;TEXT(项目基本情况!D3,"yyyy年m月d日;;")</f>
        <v>估价期日：2019年11月13日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3" t="s">
        <v>2029</v>
      </c>
      <c r="B3" s="3213" t="s">
        <v>2731</v>
      </c>
      <c r="C3" s="3214" t="s">
        <v>2030</v>
      </c>
      <c r="D3" s="3213" t="s">
        <v>2735</v>
      </c>
      <c r="E3" s="3216" t="s">
        <v>2031</v>
      </c>
      <c r="F3" s="3216"/>
      <c r="G3" s="3216"/>
      <c r="H3" s="3216" t="s">
        <v>2032</v>
      </c>
      <c r="I3" s="3216"/>
      <c r="J3" s="3216"/>
      <c r="K3" s="3214" t="s">
        <v>2033</v>
      </c>
      <c r="L3" s="3214" t="s">
        <v>2034</v>
      </c>
      <c r="M3" s="3213" t="s">
        <v>2732</v>
      </c>
      <c r="N3" s="3215" t="str">
        <f>"（分摊）"&amp;项目基本情况!B16&amp;"国有建设用地使用权面积/㎡"</f>
        <v>（分摊）出让国有建设用地使用权面积/㎡</v>
      </c>
      <c r="O3" s="3213" t="s">
        <v>2063</v>
      </c>
      <c r="P3" s="3214" t="s">
        <v>2043</v>
      </c>
      <c r="Q3" s="3214" t="s">
        <v>2064</v>
      </c>
      <c r="R3" s="3214" t="s">
        <v>2035</v>
      </c>
    </row>
    <row r="4" spans="1:18" ht="36.75" customHeight="1">
      <c r="A4" s="3213"/>
      <c r="B4" s="3213"/>
      <c r="C4" s="3214"/>
      <c r="D4" s="3213"/>
      <c r="E4" s="2612" t="s">
        <v>2042</v>
      </c>
      <c r="F4" s="2612" t="s">
        <v>2744</v>
      </c>
      <c r="G4" s="2612" t="s">
        <v>2036</v>
      </c>
      <c r="H4" s="2612" t="s">
        <v>2037</v>
      </c>
      <c r="I4" s="2612" t="s">
        <v>2745</v>
      </c>
      <c r="J4" s="2612" t="s">
        <v>2036</v>
      </c>
      <c r="K4" s="3214"/>
      <c r="L4" s="3214"/>
      <c r="M4" s="3213"/>
      <c r="N4" s="3215"/>
      <c r="O4" s="3213"/>
      <c r="P4" s="3214"/>
      <c r="Q4" s="3214"/>
      <c r="R4" s="3214"/>
    </row>
    <row r="5" spans="1:18" ht="135" customHeight="1">
      <c r="A5" s="1927" t="s">
        <v>2655</v>
      </c>
      <c r="B5" s="2821" t="s">
        <v>2653</v>
      </c>
      <c r="C5" s="2611">
        <v>22</v>
      </c>
      <c r="D5" s="2610" t="s">
        <v>2654</v>
      </c>
      <c r="E5" s="1794" t="str">
        <f>项目基本情况!B12</f>
        <v>住宅、住宿餐饮、批发零售</v>
      </c>
      <c r="F5" s="2610">
        <v>258</v>
      </c>
      <c r="G5" s="1794" t="str">
        <f>项目基本情况!B13</f>
        <v>住宅、住宿餐饮、批发零售</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59228</v>
      </c>
      <c r="O5" s="1794">
        <f>项目基本情况!C21</f>
        <v>304328.8</v>
      </c>
      <c r="P5" s="1794">
        <f ca="1">结果表!E42</f>
        <v>13201</v>
      </c>
      <c r="Q5" s="1794">
        <f ca="1">结果表!D42</f>
        <v>2569</v>
      </c>
      <c r="R5" s="1795">
        <f ca="1">结果表!C42</f>
        <v>78189</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6">
        <f ca="1">结果表!O39</f>
        <v>78189</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6" t="str">
        <f>结果表!O40</f>
        <v>——</v>
      </c>
    </row>
    <row r="8" spans="1:18">
      <c r="A8" s="3209">
        <f>IF(项目基本情况!B9="市场价格","——",项目基本情况!E9)</f>
        <v>0</v>
      </c>
      <c r="B8" s="3210"/>
      <c r="C8" s="3210"/>
      <c r="D8" s="3210"/>
      <c r="E8" s="3210"/>
      <c r="F8" s="3210"/>
      <c r="G8" s="3210"/>
      <c r="H8" s="3210"/>
      <c r="I8" s="3210"/>
      <c r="J8" s="3210"/>
      <c r="K8" s="3210"/>
      <c r="L8" s="3210"/>
      <c r="M8" s="3210"/>
      <c r="N8" s="3210"/>
      <c r="O8" s="3210"/>
      <c r="P8" s="3210"/>
      <c r="Q8" s="3211"/>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8" t="s">
        <v>2065</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2066</v>
      </c>
      <c r="B5" s="3217"/>
      <c r="C5" s="3217"/>
      <c r="D5" s="3217"/>
    </row>
    <row r="6" spans="1:4">
      <c r="A6" s="3218" t="s">
        <v>2044</v>
      </c>
      <c r="B6" s="3218"/>
      <c r="C6" s="3218"/>
      <c r="D6" s="3218"/>
    </row>
    <row r="7" spans="1:4" ht="33" customHeight="1">
      <c r="A7" s="3218" t="s">
        <v>2575</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17" t="s">
        <v>2068</v>
      </c>
      <c r="B12" s="3217"/>
      <c r="C12" s="3217"/>
      <c r="D12" s="3217"/>
    </row>
    <row r="13" spans="1:4">
      <c r="A13" s="3221" t="s">
        <v>2746</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2702</v>
      </c>
      <c r="B17" s="3218"/>
      <c r="C17" s="3218"/>
      <c r="D17" s="3218"/>
    </row>
    <row r="18" spans="1:4">
      <c r="A18" s="3218" t="s">
        <v>2694</v>
      </c>
      <c r="B18" s="3218"/>
      <c r="C18" s="3218"/>
      <c r="D18" s="3218"/>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218" t="s">
        <v>2699</v>
      </c>
      <c r="B23" s="3218"/>
      <c r="C23" s="3218"/>
      <c r="D23" s="3218"/>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9" t="s">
        <v>53</v>
      </c>
      <c r="B15" s="3230" t="s">
        <v>846</v>
      </c>
      <c r="C15" s="3226"/>
    </row>
    <row r="16" spans="1:7" ht="14.25">
      <c r="A16" s="3229"/>
      <c r="B16" s="3227" t="s">
        <v>54</v>
      </c>
      <c r="C16" s="1167" t="s">
        <v>53</v>
      </c>
    </row>
    <row r="17" spans="1:3" ht="14.25">
      <c r="A17" s="3229"/>
      <c r="B17" s="3227"/>
      <c r="C17" s="1167" t="s">
        <v>55</v>
      </c>
    </row>
    <row r="18" spans="1:3" ht="14.25">
      <c r="A18" s="3229"/>
      <c r="B18" s="3227"/>
      <c r="C18" s="1167" t="s">
        <v>56</v>
      </c>
    </row>
    <row r="19" spans="1:3" ht="14.25">
      <c r="A19" s="3229"/>
      <c r="B19" s="3225" t="s">
        <v>57</v>
      </c>
      <c r="C19" s="3226"/>
    </row>
    <row r="20" spans="1:3" ht="14.25">
      <c r="A20" s="1168" t="s">
        <v>58</v>
      </c>
      <c r="B20" s="1169"/>
      <c r="C20" s="1170"/>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1" t="s">
        <v>837</v>
      </c>
    </row>
    <row r="25" spans="1:3" ht="14.25">
      <c r="A25" s="3228"/>
      <c r="B25" s="3232"/>
      <c r="C25" s="1171" t="s">
        <v>838</v>
      </c>
    </row>
    <row r="26" spans="1:3" ht="14.25">
      <c r="A26" s="3228"/>
      <c r="B26" s="3232"/>
      <c r="C26" s="1171" t="s">
        <v>839</v>
      </c>
    </row>
    <row r="27" spans="1:3" ht="14.25">
      <c r="A27" s="3228"/>
      <c r="B27" s="3232"/>
      <c r="C27" s="1171" t="s">
        <v>840</v>
      </c>
    </row>
    <row r="28" spans="1:3" ht="14.25">
      <c r="A28" s="3228"/>
      <c r="B28" s="3232"/>
      <c r="C28" s="1171" t="s">
        <v>841</v>
      </c>
    </row>
    <row r="29" spans="1:3" ht="14.25">
      <c r="A29" s="3228"/>
      <c r="B29" s="3232"/>
      <c r="C29" s="1171" t="s">
        <v>842</v>
      </c>
    </row>
    <row r="30" spans="1:3" ht="14.25">
      <c r="A30" s="3228"/>
      <c r="B30" s="3232"/>
      <c r="C30" s="1171" t="s">
        <v>843</v>
      </c>
    </row>
    <row r="31" spans="1:3" ht="14.25">
      <c r="A31" s="3228"/>
      <c r="B31" s="3232"/>
      <c r="C31" s="1171" t="s">
        <v>844</v>
      </c>
    </row>
    <row r="32" spans="1:3" ht="14.25">
      <c r="A32" s="3228"/>
      <c r="B32" s="3232"/>
      <c r="C32" s="1171" t="s">
        <v>1646</v>
      </c>
    </row>
    <row r="33" spans="1:3" ht="14.25">
      <c r="A33" s="3228"/>
      <c r="B33" s="3222" t="s">
        <v>1652</v>
      </c>
      <c r="C33" s="1171" t="s">
        <v>1647</v>
      </c>
    </row>
    <row r="34" spans="1:3" ht="14.25">
      <c r="A34" s="3228"/>
      <c r="B34" s="3223"/>
      <c r="C34" s="1176" t="s">
        <v>1648</v>
      </c>
    </row>
    <row r="35" spans="1:3" ht="14.25">
      <c r="A35" s="3228"/>
      <c r="B35" s="3223"/>
      <c r="C35" s="1177" t="s">
        <v>1649</v>
      </c>
    </row>
    <row r="36" spans="1:3" ht="14.25">
      <c r="A36" s="3228"/>
      <c r="B36" s="3223"/>
      <c r="C36" s="1177" t="s">
        <v>1650</v>
      </c>
    </row>
    <row r="37" spans="1:3" ht="14.25">
      <c r="A37" s="3228"/>
      <c r="B37" s="3224"/>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43783</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f ca="1">IF(C4&lt;B2,"已过期",1119970066)</f>
        <v>1119970066</v>
      </c>
      <c r="C4" s="3126">
        <v>43849</v>
      </c>
      <c r="D4" s="3124" t="s">
        <v>1914</v>
      </c>
      <c r="E4" s="3124">
        <f ca="1">IF(F4&lt;B2,"已过期",96010014)</f>
        <v>96010014</v>
      </c>
      <c r="F4" s="3127">
        <v>47118</v>
      </c>
    </row>
    <row r="5" spans="1:6" ht="20.25" customHeight="1">
      <c r="A5" s="3124" t="s">
        <v>1915</v>
      </c>
      <c r="B5" s="3124">
        <f ca="1">IF(C5&lt;B2,"已过期",1119970074)</f>
        <v>1119970074</v>
      </c>
      <c r="C5" s="3126">
        <v>43849</v>
      </c>
      <c r="D5" s="3124" t="s">
        <v>1915</v>
      </c>
      <c r="E5" s="3124">
        <f ca="1">IF(F5&lt;B2,"已过期",2002110027)</f>
        <v>2002110027</v>
      </c>
      <c r="F5" s="3127">
        <v>46752</v>
      </c>
    </row>
    <row r="6" spans="1:6" ht="20.25" customHeight="1">
      <c r="A6" s="3124" t="s">
        <v>1916</v>
      </c>
      <c r="B6" s="3124">
        <f ca="1">IF(C6&lt;B2,"已过期",1119970111)</f>
        <v>1119970111</v>
      </c>
      <c r="C6" s="3126">
        <v>43849</v>
      </c>
      <c r="D6" s="3124" t="s">
        <v>1916</v>
      </c>
      <c r="E6" s="3124">
        <f ca="1">IF(F6&lt;B2,"已过期",94010078)</f>
        <v>94010078</v>
      </c>
      <c r="F6" s="3127">
        <v>46387</v>
      </c>
    </row>
    <row r="7" spans="1:6" ht="20.25" customHeight="1">
      <c r="A7" s="3124" t="s">
        <v>1917</v>
      </c>
      <c r="B7" s="3124">
        <f ca="1">IF(C7&lt;B2,"已过期",1120050019)</f>
        <v>1120050019</v>
      </c>
      <c r="C7" s="3126">
        <v>44395</v>
      </c>
      <c r="D7" s="3124" t="s">
        <v>1917</v>
      </c>
      <c r="E7" s="3124">
        <f ca="1">IF(F7&lt;B2,"已过期",2002110030)</f>
        <v>2002110030</v>
      </c>
      <c r="F7" s="3127">
        <v>46387</v>
      </c>
    </row>
    <row r="8" spans="1:6" ht="20.25" customHeight="1">
      <c r="A8" s="3124" t="s">
        <v>1918</v>
      </c>
      <c r="B8" s="3124">
        <f ca="1">IF(C8&lt;B2,"已过期",1120000080)</f>
        <v>1120000080</v>
      </c>
      <c r="C8" s="3126">
        <v>43849</v>
      </c>
      <c r="D8" s="3124" t="s">
        <v>1918</v>
      </c>
      <c r="E8" s="3124">
        <f ca="1">IF(F8&lt;B2,"已过期",2000110082)</f>
        <v>2000110082</v>
      </c>
      <c r="F8" s="3127">
        <v>46387</v>
      </c>
    </row>
    <row r="9" spans="1:6" ht="20.25" customHeight="1">
      <c r="A9" s="3124" t="s">
        <v>1919</v>
      </c>
      <c r="B9" s="3124">
        <f ca="1">IF(C9&lt;B2,"已过期",1419970001)</f>
        <v>1419970001</v>
      </c>
      <c r="C9" s="3126">
        <v>43867</v>
      </c>
      <c r="D9" s="3124" t="s">
        <v>1919</v>
      </c>
      <c r="E9" s="3124">
        <f ca="1">IF(F9&lt;B2,"已过期",2002110125)</f>
        <v>2002110125</v>
      </c>
      <c r="F9" s="3127">
        <v>47118</v>
      </c>
    </row>
    <row r="10" spans="1:6" ht="20.25" customHeight="1">
      <c r="A10" s="3124" t="s">
        <v>1920</v>
      </c>
      <c r="B10" s="3124">
        <f ca="1">IF(C10&lt;B2,"已过期",1120060040)</f>
        <v>1120060040</v>
      </c>
      <c r="C10" s="3126">
        <v>44554</v>
      </c>
      <c r="D10" s="3124" t="s">
        <v>1920</v>
      </c>
      <c r="E10" s="3124">
        <f ca="1">IF(F10&lt;B2,"已过期",2004110096)</f>
        <v>2004110096</v>
      </c>
      <c r="F10" s="3127">
        <v>47118</v>
      </c>
    </row>
    <row r="11" spans="1:6" ht="20.25" customHeight="1">
      <c r="A11" s="3124" t="s">
        <v>1921</v>
      </c>
      <c r="B11" s="3124">
        <f ca="1">IF(C11&lt;B2,"已过期",1120100036)</f>
        <v>1120100036</v>
      </c>
      <c r="C11" s="3126">
        <v>44675</v>
      </c>
      <c r="D11" s="3124" t="s">
        <v>1921</v>
      </c>
      <c r="E11" s="3124">
        <f ca="1">IF(F11&lt;B2,"已过期",2010110070)</f>
        <v>2010110070</v>
      </c>
      <c r="F11" s="3127">
        <v>47907</v>
      </c>
    </row>
    <row r="12" spans="1:6" ht="20.25" customHeight="1">
      <c r="A12" s="3124"/>
      <c r="B12" s="3124"/>
      <c r="C12" s="3126"/>
      <c r="D12" s="3124"/>
      <c r="E12" s="3124"/>
      <c r="F12" s="3127"/>
    </row>
    <row r="13" spans="1:6" ht="20.25" customHeight="1">
      <c r="A13" s="3124" t="s">
        <v>1922</v>
      </c>
      <c r="B13" s="3124">
        <f ca="1">IF(C13&lt;B2,"已过期",1120070131)</f>
        <v>1120070131</v>
      </c>
      <c r="C13" s="3126">
        <v>43814</v>
      </c>
      <c r="D13" s="3124" t="s">
        <v>1922</v>
      </c>
      <c r="E13" s="3124">
        <f ca="1">IF(F13&lt;B2,"已过期",2014110011)</f>
        <v>2014110011</v>
      </c>
      <c r="F13" s="3127">
        <v>49302</v>
      </c>
    </row>
    <row r="14" spans="1:6" ht="20.25" customHeight="1">
      <c r="A14" s="3124" t="s">
        <v>2978</v>
      </c>
      <c r="B14" s="3124">
        <f ca="1">IF(C14&lt;B2,"已过期",1120040230)</f>
        <v>1120040230</v>
      </c>
      <c r="C14" s="3128">
        <v>43835</v>
      </c>
      <c r="D14" s="3129" t="s">
        <v>2979</v>
      </c>
      <c r="E14" s="3124">
        <f ca="1">IF(F14&lt;B2,"已过期",98030020)</f>
        <v>98030020</v>
      </c>
      <c r="F14" s="3127">
        <v>47118</v>
      </c>
    </row>
    <row r="15" spans="1:6" ht="20.25" customHeight="1">
      <c r="A15" s="3124" t="s">
        <v>2574</v>
      </c>
      <c r="B15" s="3124">
        <f ca="1">IF(C15&lt;B2,"已过期",1120070085)</f>
        <v>1120070085</v>
      </c>
      <c r="C15" s="3128">
        <v>43814</v>
      </c>
      <c r="D15" s="3124" t="s">
        <v>2980</v>
      </c>
      <c r="E15" s="3124">
        <f ca="1">IF(F15&lt;B2,"已过期",2004110128)</f>
        <v>2004110128</v>
      </c>
      <c r="F15" s="3130">
        <v>47118</v>
      </c>
    </row>
    <row r="16" spans="1:6" ht="20.25" customHeight="1">
      <c r="A16" s="3124" t="s">
        <v>1923</v>
      </c>
      <c r="B16" s="3124">
        <f ca="1">IF(C16&lt;B2,"已过期",1120140022)</f>
        <v>1120140022</v>
      </c>
      <c r="C16" s="3126">
        <v>44029</v>
      </c>
      <c r="D16" s="3124" t="s">
        <v>2981</v>
      </c>
      <c r="E16" s="3124">
        <f ca="1">IF(F16&lt;B2,"已过期",2008110059)</f>
        <v>2008110059</v>
      </c>
      <c r="F16" s="3127">
        <v>47177</v>
      </c>
    </row>
    <row r="17" spans="1:7" ht="20.25" customHeight="1">
      <c r="A17" s="3124"/>
      <c r="B17" s="3124"/>
      <c r="C17" s="3126"/>
      <c r="D17" s="3129" t="s">
        <v>2982</v>
      </c>
      <c r="E17" s="3124">
        <f ca="1">IF(F17&lt;B2,"已过期",2014110076)</f>
        <v>2014110076</v>
      </c>
      <c r="F17" s="3127">
        <v>49302</v>
      </c>
    </row>
    <row r="18" spans="1:7" ht="20.25" customHeight="1">
      <c r="A18" s="3124" t="s">
        <v>2995</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1924</v>
      </c>
      <c r="E21" s="3124">
        <f ca="1">IF(F21&lt;B2,"已过期",2011110090)</f>
        <v>2011110090</v>
      </c>
      <c r="F21" s="3127">
        <v>48302</v>
      </c>
    </row>
    <row r="22" spans="1:7" ht="20.25" customHeight="1">
      <c r="A22" s="3124" t="s">
        <v>1925</v>
      </c>
      <c r="B22" s="3124">
        <f ca="1">IF(C22&lt;B2,"已过期",1120020033)</f>
        <v>1120020033</v>
      </c>
      <c r="C22" s="3126">
        <v>44339</v>
      </c>
      <c r="D22" s="3124" t="s">
        <v>1925</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2053</v>
      </c>
      <c r="B24" s="3123" t="s">
        <v>2053</v>
      </c>
      <c r="C24" s="3126"/>
      <c r="D24" s="3131" t="s">
        <v>2053</v>
      </c>
      <c r="E24" s="3123" t="s">
        <v>2053</v>
      </c>
      <c r="F24" s="3130"/>
    </row>
    <row r="25" spans="1:7" ht="20.25" customHeight="1">
      <c r="A25" s="3233" t="s">
        <v>1926</v>
      </c>
      <c r="B25" s="3233"/>
      <c r="C25" s="3233"/>
      <c r="D25" s="3233"/>
      <c r="E25" s="3233"/>
      <c r="F25" s="3233"/>
      <c r="G25" s="3233"/>
    </row>
    <row r="26" spans="1:7" ht="20.25" customHeight="1">
      <c r="A26" s="3234" t="s">
        <v>1927</v>
      </c>
      <c r="B26" s="3234"/>
      <c r="C26" s="3234"/>
      <c r="D26" s="3234" t="s">
        <v>1928</v>
      </c>
      <c r="E26" s="3234"/>
      <c r="F26" s="3234"/>
    </row>
    <row r="27" spans="1:7" s="3119" customFormat="1" ht="20.25" customHeight="1">
      <c r="A27" s="3133" t="s">
        <v>1929</v>
      </c>
      <c r="B27" s="3134" t="s">
        <v>1930</v>
      </c>
      <c r="C27" s="3134" t="s">
        <v>1931</v>
      </c>
      <c r="D27" s="3124" t="s">
        <v>1929</v>
      </c>
      <c r="E27" s="3134" t="s">
        <v>1930</v>
      </c>
      <c r="F27" s="3134" t="s">
        <v>1931</v>
      </c>
    </row>
    <row r="28" spans="1:7" s="3119" customFormat="1" ht="20.25" customHeight="1">
      <c r="A28" s="3135" t="s">
        <v>1932</v>
      </c>
      <c r="B28" s="3135" t="s">
        <v>1933</v>
      </c>
      <c r="C28" s="3127">
        <v>44820</v>
      </c>
      <c r="D28" s="3135" t="s">
        <v>1934</v>
      </c>
      <c r="E28" s="3135" t="s">
        <v>1935</v>
      </c>
      <c r="F28" s="3136">
        <v>44377</v>
      </c>
    </row>
    <row r="29" spans="1:7" s="3119" customFormat="1" ht="20.25" customHeight="1">
      <c r="A29" s="3135"/>
      <c r="B29" s="3135"/>
      <c r="C29" s="3137"/>
      <c r="D29" s="3135" t="s">
        <v>1936</v>
      </c>
      <c r="E29" s="3135" t="s">
        <v>2996</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7" t="s">
        <v>2952</v>
      </c>
      <c r="C18" s="1539"/>
    </row>
    <row r="19" spans="1:3">
      <c r="A19" s="8" t="s">
        <v>120</v>
      </c>
      <c r="B19" s="3057" t="s">
        <v>2960</v>
      </c>
      <c r="C19" s="1539"/>
    </row>
    <row r="20" spans="1:3">
      <c r="A20" s="8" t="s">
        <v>121</v>
      </c>
      <c r="B20" s="1144" t="s">
        <v>3109</v>
      </c>
      <c r="C20" s="1539"/>
    </row>
    <row r="21" spans="1:3">
      <c r="A21" s="8" t="s">
        <v>122</v>
      </c>
      <c r="B21" s="1144" t="s">
        <v>3159</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汕尾市区中轴西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35"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13日，在规划利用条件下、设定土地开发程度为红线外“七通”、宗地内场地，设定用途为住宅、住宿餐饮、批发零售，剩余土地使用年限为的出让国有建设用地使用权价格。</v>
      </c>
      <c r="D53" s="1751"/>
      <c r="E53" s="1751"/>
    </row>
    <row r="54" spans="1:5">
      <c r="A54" s="3235"/>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5"/>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5"/>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5"/>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不动产收益法公寓</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Sheet3</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2019-11-14T07:48:09Z</dcterms:modified>
</cp:coreProperties>
</file>