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sheet1"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N6" i="1" l="1"/>
  <c r="C88" i="9" l="1"/>
  <c r="I91" i="9"/>
  <c r="I33" i="15"/>
  <c r="J52" i="15"/>
  <c r="E66" i="40" l="1"/>
  <c r="F66" i="40" s="1"/>
  <c r="G66" i="40" s="1"/>
  <c r="H66" i="40" s="1"/>
  <c r="I66" i="40" s="1"/>
  <c r="J66" i="40" s="1"/>
  <c r="K66" i="40" s="1"/>
  <c r="L66" i="40" s="1"/>
  <c r="M66" i="40" s="1"/>
  <c r="I41" i="40"/>
  <c r="I34" i="40"/>
  <c r="I5" i="40"/>
  <c r="I7" i="40"/>
  <c r="G41" i="40"/>
  <c r="E41" i="40"/>
  <c r="G34" i="40"/>
  <c r="E34" i="40"/>
  <c r="G7" i="40"/>
  <c r="E7" i="40"/>
  <c r="G5" i="40"/>
  <c r="E5" i="40"/>
  <c r="C34" i="40"/>
  <c r="D109" i="40"/>
  <c r="E109" i="40" s="1"/>
  <c r="F109" i="40" s="1"/>
  <c r="Y6" i="1"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D29" i="77"/>
  <c r="E23" i="77"/>
  <c r="D26" i="77"/>
  <c r="C29" i="77"/>
  <c r="R35" i="77"/>
  <c r="U34" i="77" s="1"/>
  <c r="AH6" i="71"/>
  <c r="AG6" i="71"/>
  <c r="AE6" i="71"/>
  <c r="AF6" i="71" s="1"/>
  <c r="AD6" i="71"/>
  <c r="Q6" i="71"/>
  <c r="P6" i="71"/>
  <c r="O6" i="71"/>
  <c r="N6" i="71"/>
  <c r="D32" i="77" l="1"/>
  <c r="R25" i="77"/>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F20" i="71" s="1"/>
  <c r="F19" i="71" s="1"/>
  <c r="P21" i="71"/>
  <c r="E21" i="71" s="1"/>
  <c r="E20" i="71" s="1"/>
  <c r="E19" i="71" s="1"/>
  <c r="O21" i="7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B60" i="72" s="1"/>
  <c r="A13" i="62"/>
  <c r="B59" i="72" s="1"/>
  <c r="A19" i="62"/>
  <c r="B65" i="72" s="1"/>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E9" i="43"/>
  <c r="AE12" i="43" s="1"/>
  <c r="AD9" i="43"/>
  <c r="AD10" i="43" s="1"/>
  <c r="AC9" i="43"/>
  <c r="AC12" i="43" s="1"/>
  <c r="AB9" i="43"/>
  <c r="AB12" i="43" s="1"/>
  <c r="AA9" i="43"/>
  <c r="AA12" i="43" s="1"/>
  <c r="Z9" i="43"/>
  <c r="AJ10" i="43"/>
  <c r="K49" i="9"/>
  <c r="E107" i="9"/>
  <c r="A122" i="9" s="1"/>
  <c r="A8" i="52" s="1"/>
  <c r="B54" i="72" s="1"/>
  <c r="E111" i="9"/>
  <c r="A126" i="9" s="1"/>
  <c r="E109" i="9"/>
  <c r="A124" i="9" s="1"/>
  <c r="A10" i="52" s="1"/>
  <c r="B55" i="72" s="1"/>
  <c r="B44" i="72"/>
  <c r="B42" i="72"/>
  <c r="B69" i="72"/>
  <c r="B68" i="72"/>
  <c r="B63" i="72"/>
  <c r="B62"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Q71" i="71"/>
  <c r="P71" i="71"/>
  <c r="O71" i="71"/>
  <c r="N71" i="71"/>
  <c r="Q70" i="71"/>
  <c r="P70" i="71"/>
  <c r="O70" i="71"/>
  <c r="N70" i="71"/>
  <c r="D70" i="71"/>
  <c r="Q69" i="71"/>
  <c r="P69" i="71"/>
  <c r="O69" i="71"/>
  <c r="N69" i="71"/>
  <c r="F69" i="71"/>
  <c r="F68" i="71" s="1"/>
  <c r="F67" i="71" s="1"/>
  <c r="V69" i="71"/>
  <c r="E69" i="71"/>
  <c r="U69" i="71" s="1"/>
  <c r="C69" i="71"/>
  <c r="B69" i="71"/>
  <c r="B68" i="71" s="1"/>
  <c r="B67" i="71" s="1"/>
  <c r="Q68" i="71"/>
  <c r="P68" i="71"/>
  <c r="O68" i="71"/>
  <c r="N68" i="71"/>
  <c r="Q67" i="71"/>
  <c r="P67" i="71"/>
  <c r="O67" i="71"/>
  <c r="N67" i="71"/>
  <c r="Q66" i="71"/>
  <c r="P66" i="71"/>
  <c r="O66" i="71"/>
  <c r="N66" i="71"/>
  <c r="D66" i="71"/>
  <c r="F65" i="71"/>
  <c r="V65" i="71" s="1"/>
  <c r="E65" i="71"/>
  <c r="P65" i="71" s="1"/>
  <c r="C65" i="71"/>
  <c r="T65" i="71" s="1"/>
  <c r="B65" i="71"/>
  <c r="B64" i="71" s="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E48"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B44"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AA36" i="71" s="1"/>
  <c r="O36" i="71"/>
  <c r="Y36" i="71" s="1"/>
  <c r="Z36" i="71" s="1"/>
  <c r="N36" i="71"/>
  <c r="X36" i="71" s="1"/>
  <c r="Q35" i="71"/>
  <c r="P35" i="71"/>
  <c r="O35" i="71"/>
  <c r="N35" i="71"/>
  <c r="Q34" i="71"/>
  <c r="F35" i="71" s="1"/>
  <c r="P34" i="71"/>
  <c r="O34" i="71"/>
  <c r="C35" i="71" s="1"/>
  <c r="D35" i="71" s="1"/>
  <c r="N34" i="71"/>
  <c r="B35" i="71" s="1"/>
  <c r="B36" i="71" s="1"/>
  <c r="B37" i="71" s="1"/>
  <c r="S37" i="71" s="1"/>
  <c r="D34" i="71"/>
  <c r="Q33" i="71"/>
  <c r="P33" i="71"/>
  <c r="O33" i="71"/>
  <c r="N33" i="71"/>
  <c r="Q32" i="71"/>
  <c r="P32" i="71"/>
  <c r="O32" i="71"/>
  <c r="N32" i="71"/>
  <c r="Q31" i="71"/>
  <c r="P31" i="71"/>
  <c r="O31" i="71"/>
  <c r="N31" i="71"/>
  <c r="Q30" i="71"/>
  <c r="F31" i="71" s="1"/>
  <c r="P30" i="71"/>
  <c r="E31" i="71" s="1"/>
  <c r="O30" i="71"/>
  <c r="N30" i="71"/>
  <c r="B31" i="71" s="1"/>
  <c r="D30" i="71"/>
  <c r="Q29" i="71"/>
  <c r="P29" i="71"/>
  <c r="O29" i="71"/>
  <c r="N29" i="71"/>
  <c r="Q28" i="71"/>
  <c r="P28" i="71"/>
  <c r="O28" i="71"/>
  <c r="N28" i="71"/>
  <c r="Q27" i="71"/>
  <c r="P27" i="71"/>
  <c r="O27" i="71"/>
  <c r="N27" i="71"/>
  <c r="Q26" i="71"/>
  <c r="F27" i="71" s="1"/>
  <c r="P26" i="71"/>
  <c r="O26" i="71"/>
  <c r="C27" i="71" s="1"/>
  <c r="D27" i="71" s="1"/>
  <c r="N26" i="71"/>
  <c r="B27" i="71" s="1"/>
  <c r="D26" i="71"/>
  <c r="O25" i="71"/>
  <c r="C25" i="71" s="1"/>
  <c r="N25" i="71"/>
  <c r="B25" i="71" s="1"/>
  <c r="S25" i="71" s="1"/>
  <c r="C31" i="71"/>
  <c r="D31" i="71" s="1"/>
  <c r="P25" i="71"/>
  <c r="Q25" i="71"/>
  <c r="C68" i="71"/>
  <c r="C72" i="71"/>
  <c r="D72" i="71" s="1"/>
  <c r="D73" i="71"/>
  <c r="C76" i="71"/>
  <c r="D76" i="71" s="1"/>
  <c r="D77" i="71"/>
  <c r="E25" i="71"/>
  <c r="C75" i="71"/>
  <c r="D7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c r="A6" i="70"/>
  <c r="Q25" i="40"/>
  <c r="Z25" i="40" s="1"/>
  <c r="D94" i="40"/>
  <c r="E94" i="40" s="1"/>
  <c r="F94" i="40" s="1"/>
  <c r="G94" i="40" s="1"/>
  <c r="F25" i="40"/>
  <c r="S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s="1"/>
  <c r="H19" i="21"/>
  <c r="D83" i="21"/>
  <c r="F21" i="21"/>
  <c r="AA21" i="21" s="1"/>
  <c r="D81" i="21"/>
  <c r="G20" i="20"/>
  <c r="C25" i="40" s="1"/>
  <c r="C22" i="20"/>
  <c r="B75" i="43" s="1"/>
  <c r="C29" i="39"/>
  <c r="H25" i="40"/>
  <c r="AB25" i="40" s="1"/>
  <c r="J25" i="40"/>
  <c r="AC25" i="40" s="1"/>
  <c r="H29" i="39"/>
  <c r="J29" i="39"/>
  <c r="AC29" i="39" s="1"/>
  <c r="J18" i="36"/>
  <c r="AC18" i="36" s="1"/>
  <c r="H18" i="35"/>
  <c r="AB18" i="35" s="1"/>
  <c r="J18" i="35"/>
  <c r="AC18" i="35" s="1"/>
  <c r="H21" i="37"/>
  <c r="F21" i="37"/>
  <c r="H21" i="34"/>
  <c r="AB21" i="34" s="1"/>
  <c r="H21" i="33"/>
  <c r="U21" i="33" s="1"/>
  <c r="F21" i="33"/>
  <c r="AA21" i="33" s="1"/>
  <c r="E83" i="21"/>
  <c r="F83" i="21" s="1"/>
  <c r="G83" i="21" s="1"/>
  <c r="H1" i="69"/>
  <c r="J21" i="37"/>
  <c r="AC21" i="37" s="1"/>
  <c r="J21" i="34"/>
  <c r="AC21" i="34" s="1"/>
  <c r="J21" i="33"/>
  <c r="H21" i="21"/>
  <c r="F38" i="69"/>
  <c r="E37" i="69"/>
  <c r="F36" i="69"/>
  <c r="F35" i="69"/>
  <c r="F21" i="69"/>
  <c r="F40" i="69" s="1"/>
  <c r="F20" i="69"/>
  <c r="F39" i="69" s="1"/>
  <c r="E10" i="69"/>
  <c r="E9" i="69"/>
  <c r="J21" i="21"/>
  <c r="AC21" i="21" s="1"/>
  <c r="F38" i="68"/>
  <c r="E37" i="68"/>
  <c r="F36" i="68"/>
  <c r="F35" i="68"/>
  <c r="F21" i="68"/>
  <c r="F20" i="68"/>
  <c r="F39" i="68" s="1"/>
  <c r="E10" i="68"/>
  <c r="E9" i="68"/>
  <c r="Q72" i="67"/>
  <c r="Q59" i="67"/>
  <c r="Q58" i="67"/>
  <c r="Q51" i="67"/>
  <c r="J50" i="67"/>
  <c r="M47" i="67"/>
  <c r="D46" i="67"/>
  <c r="F33" i="67"/>
  <c r="F61" i="67" s="1"/>
  <c r="F23" i="67"/>
  <c r="F21" i="67"/>
  <c r="F20" i="67"/>
  <c r="M19" i="67"/>
  <c r="F18" i="67"/>
  <c r="F17" i="67"/>
  <c r="F15" i="67"/>
  <c r="S2" i="4"/>
  <c r="C51" i="10" s="1"/>
  <c r="A13" i="51" s="1"/>
  <c r="B11" i="72" s="1"/>
  <c r="S1" i="4"/>
  <c r="B1" i="4"/>
  <c r="D1" i="43"/>
  <c r="F113" i="43"/>
  <c r="N99" i="43"/>
  <c r="N108" i="43" s="1"/>
  <c r="D99" i="43"/>
  <c r="E99" i="43"/>
  <c r="E108" i="43" s="1"/>
  <c r="F99" i="43"/>
  <c r="F108" i="43" s="1"/>
  <c r="G99" i="43"/>
  <c r="G100" i="43" s="1"/>
  <c r="H99" i="43"/>
  <c r="H108" i="43" s="1"/>
  <c r="I99" i="43"/>
  <c r="J99" i="43"/>
  <c r="J108" i="43" s="1"/>
  <c r="K99" i="43"/>
  <c r="K108" i="43" s="1"/>
  <c r="L99" i="43"/>
  <c r="L100" i="43" s="1"/>
  <c r="M99" i="43"/>
  <c r="M100" i="43" s="1"/>
  <c r="C99" i="43"/>
  <c r="C108" i="43"/>
  <c r="E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s="1"/>
  <c r="D78" i="43"/>
  <c r="M77" i="43"/>
  <c r="N77" i="43" s="1"/>
  <c r="K77" i="43"/>
  <c r="J77" i="43"/>
  <c r="D77" i="43"/>
  <c r="M76" i="43"/>
  <c r="N76" i="43" s="1"/>
  <c r="K76" i="43"/>
  <c r="J76" i="43"/>
  <c r="D76" i="43"/>
  <c r="M75" i="43"/>
  <c r="N75" i="43"/>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c r="K66" i="43"/>
  <c r="J66" i="43" s="1"/>
  <c r="M65" i="43"/>
  <c r="N65" i="43" s="1"/>
  <c r="K65" i="43"/>
  <c r="J65" i="43" s="1"/>
  <c r="M64" i="43"/>
  <c r="N64" i="43" s="1"/>
  <c r="K64" i="43"/>
  <c r="J64" i="43" s="1"/>
  <c r="M63" i="43"/>
  <c r="N63" i="43" s="1"/>
  <c r="K63" i="43"/>
  <c r="J63" i="43" s="1"/>
  <c r="M62" i="43"/>
  <c r="N62" i="43" s="1"/>
  <c r="K62" i="43"/>
  <c r="J62" i="43" s="1"/>
  <c r="M61" i="43"/>
  <c r="N61" i="43" s="1"/>
  <c r="K61" i="43"/>
  <c r="J61" i="43"/>
  <c r="M60" i="43"/>
  <c r="N60" i="43" s="1"/>
  <c r="K60" i="43"/>
  <c r="J60" i="43" s="1"/>
  <c r="M59" i="43"/>
  <c r="N59" i="43" s="1"/>
  <c r="K59" i="43"/>
  <c r="J59" i="43" s="1"/>
  <c r="M56" i="43"/>
  <c r="N56" i="43" s="1"/>
  <c r="K56" i="43"/>
  <c r="J56" i="43"/>
  <c r="D56" i="43"/>
  <c r="M55" i="43"/>
  <c r="N55" i="43" s="1"/>
  <c r="K55" i="43"/>
  <c r="J55" i="43"/>
  <c r="D55" i="43"/>
  <c r="M54" i="43"/>
  <c r="N54" i="43" s="1"/>
  <c r="K54" i="43"/>
  <c r="J54" i="43" s="1"/>
  <c r="D54" i="43"/>
  <c r="M53" i="43"/>
  <c r="N53" i="43"/>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A507" i="3" s="1"/>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L527" i="3" s="1"/>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A542" i="3" s="1"/>
  <c r="BI542" i="3"/>
  <c r="BJ542" i="3"/>
  <c r="BK542" i="3"/>
  <c r="BM542" i="3"/>
  <c r="BN542" i="3"/>
  <c r="BO542" i="3"/>
  <c r="BP542" i="3"/>
  <c r="BL542" i="3" s="1"/>
  <c r="BQ542" i="3"/>
  <c r="BR542" i="3"/>
  <c r="BS542" i="3"/>
  <c r="BT542" i="3"/>
  <c r="H543" i="3"/>
  <c r="G543" i="3" s="1"/>
  <c r="AC543" i="3"/>
  <c r="BB543" i="3"/>
  <c r="BC543" i="3"/>
  <c r="BD543" i="3"/>
  <c r="BE543" i="3"/>
  <c r="BF543" i="3"/>
  <c r="BG543" i="3"/>
  <c r="BA543" i="3" s="1"/>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A545" i="3" s="1"/>
  <c r="BJ545" i="3"/>
  <c r="BK545" i="3"/>
  <c r="BM545" i="3"/>
  <c r="BN545" i="3"/>
  <c r="BO545" i="3"/>
  <c r="BP545" i="3"/>
  <c r="BR545" i="3"/>
  <c r="BS545" i="3"/>
  <c r="BT545" i="3"/>
  <c r="H546" i="3"/>
  <c r="AC546" i="3"/>
  <c r="G546" i="3" s="1"/>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A547" i="3" s="1"/>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A548" i="3" s="1"/>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L568" i="3" s="1"/>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A572" i="3" s="1"/>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L573" i="3" s="1"/>
  <c r="BS573" i="3"/>
  <c r="BT573" i="3"/>
  <c r="H574" i="3"/>
  <c r="AC574" i="3"/>
  <c r="G574" i="3" s="1"/>
  <c r="BB574" i="3"/>
  <c r="BC574" i="3"/>
  <c r="BD574" i="3"/>
  <c r="BE574" i="3"/>
  <c r="BF574" i="3"/>
  <c r="BG574" i="3"/>
  <c r="BH574" i="3"/>
  <c r="BI574" i="3"/>
  <c r="BA574" i="3" s="1"/>
  <c r="BJ574" i="3"/>
  <c r="BK574" i="3"/>
  <c r="BM574" i="3"/>
  <c r="BN574" i="3"/>
  <c r="BO574" i="3"/>
  <c r="BP574" i="3"/>
  <c r="BQ574" i="3"/>
  <c r="BL574" i="3" s="1"/>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A576" i="3" s="1"/>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A584" i="3" s="1"/>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H30" i="36"/>
  <c r="F30" i="36"/>
  <c r="AA30" i="36" s="1"/>
  <c r="C26" i="35"/>
  <c r="J31" i="35"/>
  <c r="AC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U39" i="40" s="1"/>
  <c r="B116" i="40"/>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AC33" i="40" s="1"/>
  <c r="W33" i="40"/>
  <c r="B103" i="40"/>
  <c r="J32" i="40" s="1"/>
  <c r="W32" i="40" s="1"/>
  <c r="B101" i="40"/>
  <c r="D100" i="40"/>
  <c r="E100" i="40" s="1"/>
  <c r="F100" i="40" s="1"/>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D90" i="40"/>
  <c r="E90" i="40" s="1"/>
  <c r="F90" i="40" s="1"/>
  <c r="G90" i="40" s="1"/>
  <c r="D88" i="40"/>
  <c r="E88" i="40" s="1"/>
  <c r="F88" i="40" s="1"/>
  <c r="G88" i="40" s="1"/>
  <c r="D86" i="40"/>
  <c r="E86" i="40" s="1"/>
  <c r="F86" i="40" s="1"/>
  <c r="G86" i="40" s="1"/>
  <c r="D84" i="40"/>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c r="Q36" i="40"/>
  <c r="Z36" i="40" s="1"/>
  <c r="Q35" i="40"/>
  <c r="Z35" i="40" s="1"/>
  <c r="Q34" i="40"/>
  <c r="Z34" i="40"/>
  <c r="J34" i="40"/>
  <c r="AC34" i="40" s="1"/>
  <c r="H34" i="40"/>
  <c r="F34" i="40"/>
  <c r="AA34" i="40" s="1"/>
  <c r="Q33" i="40"/>
  <c r="Z33" i="40" s="1"/>
  <c r="Q32" i="40"/>
  <c r="Z32" i="40" s="1"/>
  <c r="Q31" i="40"/>
  <c r="Z31" i="40"/>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D73" i="37"/>
  <c r="E73" i="37" s="1"/>
  <c r="F73" i="37" s="1"/>
  <c r="G73" i="37" s="1"/>
  <c r="D71" i="37"/>
  <c r="H15" i="37"/>
  <c r="AB15" i="37" s="1"/>
  <c r="B68" i="37"/>
  <c r="B66" i="37"/>
  <c r="H13" i="37" s="1"/>
  <c r="B64" i="37"/>
  <c r="J12" i="37" s="1"/>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c r="F8" i="37"/>
  <c r="S8" i="37" s="1"/>
  <c r="J31" i="36"/>
  <c r="AC31" i="36" s="1"/>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c r="AA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F54" i="36"/>
  <c r="G54" i="36" s="1"/>
  <c r="H54" i="36" s="1"/>
  <c r="I54" i="36" s="1"/>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AA9" i="36"/>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H34" i="35" s="1"/>
  <c r="B77" i="35"/>
  <c r="B75" i="35"/>
  <c r="J24" i="35" s="1"/>
  <c r="AC24" i="35" s="1"/>
  <c r="B73" i="35"/>
  <c r="B57" i="35"/>
  <c r="B61" i="35"/>
  <c r="F13" i="35" s="1"/>
  <c r="B59" i="35"/>
  <c r="F12" i="35" s="1"/>
  <c r="B131" i="34"/>
  <c r="B129" i="34"/>
  <c r="B127" i="34"/>
  <c r="H45" i="34" s="1"/>
  <c r="U45" i="34" s="1"/>
  <c r="B99" i="34"/>
  <c r="F32" i="34" s="1"/>
  <c r="AA32" i="34" s="1"/>
  <c r="B97" i="34"/>
  <c r="H31" i="34" s="1"/>
  <c r="AB31" i="34" s="1"/>
  <c r="B95" i="34"/>
  <c r="H30" i="34" s="1"/>
  <c r="B93" i="34"/>
  <c r="B75" i="34"/>
  <c r="J14" i="34" s="1"/>
  <c r="W14" i="34" s="1"/>
  <c r="B73" i="34"/>
  <c r="B71" i="34"/>
  <c r="B130" i="33"/>
  <c r="B128" i="33"/>
  <c r="B126" i="33"/>
  <c r="B98" i="33"/>
  <c r="J31" i="33" s="1"/>
  <c r="B96" i="33"/>
  <c r="J30" i="33" s="1"/>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W34" i="35" s="1"/>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S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J8" i="34"/>
  <c r="AC8" i="34" s="1"/>
  <c r="H8" i="34"/>
  <c r="U8" i="34" s="1"/>
  <c r="F8" i="34"/>
  <c r="D121" i="33"/>
  <c r="E121" i="33" s="1"/>
  <c r="F109" i="33"/>
  <c r="E109" i="33"/>
  <c r="D109" i="33"/>
  <c r="C109" i="33"/>
  <c r="D91" i="33"/>
  <c r="E91" i="33" s="1"/>
  <c r="B88" i="33"/>
  <c r="H26" i="33" s="1"/>
  <c r="U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F27" i="33" s="1"/>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F54" i="33"/>
  <c r="P49" i="33"/>
  <c r="P48" i="33"/>
  <c r="V47" i="33"/>
  <c r="T47" i="33"/>
  <c r="R47" i="33"/>
  <c r="P47" i="33"/>
  <c r="Q46" i="33"/>
  <c r="Z46" i="33" s="1"/>
  <c r="Q45" i="33"/>
  <c r="Z45" i="33" s="1"/>
  <c r="Q44" i="33"/>
  <c r="Z44" i="33" s="1"/>
  <c r="Q43" i="33"/>
  <c r="Z43" i="33"/>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C24" i="20"/>
  <c r="B73" i="43" s="1"/>
  <c r="C21" i="20"/>
  <c r="C20" i="20"/>
  <c r="B77" i="43" s="1"/>
  <c r="C18" i="20"/>
  <c r="C17" i="20"/>
  <c r="B59" i="43" s="1"/>
  <c r="C16" i="20"/>
  <c r="C17" i="39" s="1"/>
  <c r="C15" i="20"/>
  <c r="C15" i="39" s="1"/>
  <c r="E54" i="21"/>
  <c r="F54" i="21" s="1"/>
  <c r="I54" i="21"/>
  <c r="J54" i="21" s="1"/>
  <c r="G54" i="21"/>
  <c r="H54" i="21" s="1"/>
  <c r="D125" i="21"/>
  <c r="E125" i="2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F46" i="21" s="1"/>
  <c r="B128" i="21"/>
  <c r="J45" i="21" s="1"/>
  <c r="W45" i="21" s="1"/>
  <c r="B126" i="21"/>
  <c r="H44" i="21" s="1"/>
  <c r="U44" i="21" s="1"/>
  <c r="B98" i="21"/>
  <c r="J31" i="21" s="1"/>
  <c r="B96" i="21"/>
  <c r="J30" i="21" s="1"/>
  <c r="B94" i="21"/>
  <c r="F29" i="21" s="1"/>
  <c r="J29" i="21"/>
  <c r="AC29" i="21" s="1"/>
  <c r="B92" i="21"/>
  <c r="J28" i="21" s="1"/>
  <c r="B90" i="21"/>
  <c r="J27" i="21" s="1"/>
  <c r="W27" i="21" s="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H586" i="3"/>
  <c r="H587" i="3"/>
  <c r="G587" i="3" s="1"/>
  <c r="F5" i="3"/>
  <c r="F34" i="21"/>
  <c r="H34" i="21"/>
  <c r="AB34" i="21" s="1"/>
  <c r="F43" i="21"/>
  <c r="H38" i="21"/>
  <c r="U38" i="21" s="1"/>
  <c r="H43" i="21"/>
  <c r="AB43" i="21" s="1"/>
  <c r="F38" i="21"/>
  <c r="S38" i="21" s="1"/>
  <c r="F36" i="21"/>
  <c r="S36" i="21" s="1"/>
  <c r="F39" i="21"/>
  <c r="AA39" i="21" s="1"/>
  <c r="J40" i="21"/>
  <c r="W40" i="21" s="1"/>
  <c r="H35" i="21"/>
  <c r="AB35" i="21" s="1"/>
  <c r="J8" i="21"/>
  <c r="AC8" i="21" s="1"/>
  <c r="H8" i="21"/>
  <c r="U8" i="21" s="1"/>
  <c r="H10" i="21"/>
  <c r="AB10" i="21"/>
  <c r="H39" i="21"/>
  <c r="J34" i="21"/>
  <c r="W34" i="21" s="1"/>
  <c r="H36" i="21"/>
  <c r="U36" i="21" s="1"/>
  <c r="F35" i="21"/>
  <c r="AA35" i="21" s="1"/>
  <c r="J10" i="21"/>
  <c r="AC10" i="21" s="1"/>
  <c r="H26" i="21"/>
  <c r="AB26" i="21" s="1"/>
  <c r="AB19" i="21"/>
  <c r="J19" i="21"/>
  <c r="W19" i="21" s="1"/>
  <c r="J12" i="21"/>
  <c r="AC12" i="21" s="1"/>
  <c r="H12" i="21"/>
  <c r="AB12" i="21" s="1"/>
  <c r="J26" i="21"/>
  <c r="W26" i="21" s="1"/>
  <c r="F26" i="21"/>
  <c r="AB41" i="21"/>
  <c r="F35" i="39"/>
  <c r="J36" i="39"/>
  <c r="W36" i="39" s="1"/>
  <c r="U30" i="37"/>
  <c r="F103" i="37"/>
  <c r="G103" i="37" s="1"/>
  <c r="H103" i="37" s="1"/>
  <c r="I103" i="37" s="1"/>
  <c r="J103" i="37" s="1"/>
  <c r="K103" i="37" s="1"/>
  <c r="L103" i="37" s="1"/>
  <c r="M103" i="37" s="1"/>
  <c r="F29" i="36"/>
  <c r="F16" i="36"/>
  <c r="AA16" i="36" s="1"/>
  <c r="W31" i="36"/>
  <c r="H22" i="35"/>
  <c r="AB22" i="35" s="1"/>
  <c r="U31" i="35"/>
  <c r="F36" i="34"/>
  <c r="J35" i="34"/>
  <c r="H39" i="33"/>
  <c r="AB39" i="33" s="1"/>
  <c r="H39" i="37"/>
  <c r="S27" i="35"/>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H42" i="39"/>
  <c r="AB42" i="39" s="1"/>
  <c r="J34" i="39"/>
  <c r="AC34" i="39" s="1"/>
  <c r="J31" i="39"/>
  <c r="H27" i="39"/>
  <c r="U27" i="39" s="1"/>
  <c r="J19" i="39"/>
  <c r="AC19" i="39" s="1"/>
  <c r="J17" i="39"/>
  <c r="J27" i="39"/>
  <c r="AC27" i="39" s="1"/>
  <c r="F27" i="39"/>
  <c r="AA27" i="39" s="1"/>
  <c r="F11" i="21"/>
  <c r="S11" i="21"/>
  <c r="H11" i="39"/>
  <c r="U11" i="39" s="1"/>
  <c r="S40" i="39"/>
  <c r="H32" i="33"/>
  <c r="AB32" i="33" s="1"/>
  <c r="H11" i="21"/>
  <c r="U11" i="21" s="1"/>
  <c r="J11" i="21"/>
  <c r="W11" i="21" s="1"/>
  <c r="H37" i="40"/>
  <c r="U37" i="40" s="1"/>
  <c r="H36" i="40"/>
  <c r="AB36" i="40" s="1"/>
  <c r="F35" i="40"/>
  <c r="AA35" i="40" s="1"/>
  <c r="H17" i="40"/>
  <c r="U17" i="40" s="1"/>
  <c r="F37" i="39"/>
  <c r="AA37" i="39"/>
  <c r="U30" i="36"/>
  <c r="J30" i="35"/>
  <c r="W30" i="35" s="1"/>
  <c r="H30" i="35"/>
  <c r="AB30" i="35"/>
  <c r="F22" i="35"/>
  <c r="AA22" i="35" s="1"/>
  <c r="H10" i="35"/>
  <c r="U10" i="35" s="1"/>
  <c r="W30" i="36"/>
  <c r="H16" i="36"/>
  <c r="AB16" i="36" s="1"/>
  <c r="J29" i="36"/>
  <c r="AC29" i="36" s="1"/>
  <c r="F24" i="36"/>
  <c r="AA24" i="36" s="1"/>
  <c r="S8" i="36"/>
  <c r="F14" i="35"/>
  <c r="AA14" i="35" s="1"/>
  <c r="J32" i="35"/>
  <c r="AC32" i="35" s="1"/>
  <c r="J16" i="35"/>
  <c r="AC16" i="35" s="1"/>
  <c r="H16" i="35"/>
  <c r="U16" i="35" s="1"/>
  <c r="F16" i="35"/>
  <c r="S16" i="35" s="1"/>
  <c r="H14" i="35"/>
  <c r="AB14" i="35" s="1"/>
  <c r="J29" i="35"/>
  <c r="H33" i="35"/>
  <c r="AB33" i="35" s="1"/>
  <c r="J20" i="35"/>
  <c r="W20" i="35" s="1"/>
  <c r="F35" i="37"/>
  <c r="S35" i="37" s="1"/>
  <c r="J34" i="37"/>
  <c r="AB34" i="37"/>
  <c r="J33" i="37"/>
  <c r="AC33" i="37" s="1"/>
  <c r="U42" i="34"/>
  <c r="H40" i="34"/>
  <c r="U40" i="34" s="1"/>
  <c r="E114" i="34"/>
  <c r="F114" i="34" s="1"/>
  <c r="G114" i="34" s="1"/>
  <c r="H36" i="34"/>
  <c r="U36" i="34" s="1"/>
  <c r="F37" i="34"/>
  <c r="AA37" i="34" s="1"/>
  <c r="F27" i="34"/>
  <c r="AA27" i="34" s="1"/>
  <c r="F25" i="34"/>
  <c r="S25" i="34" s="1"/>
  <c r="H23" i="34"/>
  <c r="U23" i="34" s="1"/>
  <c r="J23" i="34"/>
  <c r="AC23" i="34" s="1"/>
  <c r="F19" i="34"/>
  <c r="H17" i="34"/>
  <c r="U17" i="34" s="1"/>
  <c r="F15" i="34"/>
  <c r="AA15" i="34" s="1"/>
  <c r="J15" i="34"/>
  <c r="AC15" i="34" s="1"/>
  <c r="H15" i="34"/>
  <c r="AB15" i="34" s="1"/>
  <c r="S9" i="34"/>
  <c r="F41" i="33"/>
  <c r="AA41" i="33" s="1"/>
  <c r="E113" i="33"/>
  <c r="F113" i="33" s="1"/>
  <c r="G113" i="33" s="1"/>
  <c r="H113" i="33" s="1"/>
  <c r="I113" i="33" s="1"/>
  <c r="J113" i="33" s="1"/>
  <c r="K113" i="33" s="1"/>
  <c r="L113" i="33" s="1"/>
  <c r="M113" i="33" s="1"/>
  <c r="F32" i="33"/>
  <c r="AA32" i="33" s="1"/>
  <c r="J19" i="33"/>
  <c r="AC19" i="33" s="1"/>
  <c r="J15" i="33"/>
  <c r="W15" i="33" s="1"/>
  <c r="AC15" i="33"/>
  <c r="F11" i="33"/>
  <c r="AA11" i="33" s="1"/>
  <c r="U40" i="33"/>
  <c r="W40" i="33"/>
  <c r="F37" i="40"/>
  <c r="AA37" i="40" s="1"/>
  <c r="F36" i="40"/>
  <c r="AA36" i="40" s="1"/>
  <c r="H28" i="40"/>
  <c r="U28" i="40" s="1"/>
  <c r="F23" i="40"/>
  <c r="S23" i="40" s="1"/>
  <c r="F17" i="40"/>
  <c r="AA17" i="40" s="1"/>
  <c r="J17" i="40"/>
  <c r="W17" i="40" s="1"/>
  <c r="F15" i="40"/>
  <c r="S15" i="40" s="1"/>
  <c r="H15" i="40"/>
  <c r="AB15" i="40" s="1"/>
  <c r="AB30" i="36"/>
  <c r="U30" i="35"/>
  <c r="F29" i="35"/>
  <c r="S29" i="35"/>
  <c r="H29" i="35"/>
  <c r="AB29" i="35" s="1"/>
  <c r="H33" i="37"/>
  <c r="AB33" i="37" s="1"/>
  <c r="F33" i="37"/>
  <c r="AA33" i="37" s="1"/>
  <c r="U34" i="37"/>
  <c r="J43" i="34"/>
  <c r="AC43" i="34" s="1"/>
  <c r="AB42" i="34"/>
  <c r="J40" i="34"/>
  <c r="H114" i="34"/>
  <c r="I114" i="34" s="1"/>
  <c r="J114" i="34" s="1"/>
  <c r="K114" i="34" s="1"/>
  <c r="L114" i="34" s="1"/>
  <c r="M114" i="34" s="1"/>
  <c r="H38" i="34"/>
  <c r="U38" i="34" s="1"/>
  <c r="J36" i="34"/>
  <c r="H37" i="34"/>
  <c r="U37" i="34" s="1"/>
  <c r="H25" i="34"/>
  <c r="AB25" i="34" s="1"/>
  <c r="J25" i="34"/>
  <c r="AC25" i="34" s="1"/>
  <c r="F23" i="34"/>
  <c r="AA23" i="34" s="1"/>
  <c r="J19" i="34"/>
  <c r="AC19" i="34" s="1"/>
  <c r="F17" i="34"/>
  <c r="AA17" i="34" s="1"/>
  <c r="J17" i="34"/>
  <c r="W17" i="34" s="1"/>
  <c r="H37" i="33"/>
  <c r="AB37" i="33" s="1"/>
  <c r="H15" i="33"/>
  <c r="AB15" i="33" s="1"/>
  <c r="H11" i="33"/>
  <c r="U11" i="33" s="1"/>
  <c r="F28" i="40"/>
  <c r="AA28" i="40" s="1"/>
  <c r="AA29" i="35"/>
  <c r="J37" i="34"/>
  <c r="AC37" i="34" s="1"/>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W28" i="21"/>
  <c r="H46" i="21"/>
  <c r="AA46" i="21"/>
  <c r="E119" i="21"/>
  <c r="F119" i="21" s="1"/>
  <c r="G119" i="21" s="1"/>
  <c r="H119" i="21" s="1"/>
  <c r="I119" i="21" s="1"/>
  <c r="J119" i="21" s="1"/>
  <c r="K119" i="21" s="1"/>
  <c r="L119" i="21" s="1"/>
  <c r="M119" i="21" s="1"/>
  <c r="H28" i="33"/>
  <c r="U28" i="33" s="1"/>
  <c r="F33" i="35"/>
  <c r="S33" i="35"/>
  <c r="J33" i="35"/>
  <c r="AC33" i="35" s="1"/>
  <c r="F30" i="35"/>
  <c r="S30" i="35" s="1"/>
  <c r="H10" i="36"/>
  <c r="AB10" i="36" s="1"/>
  <c r="J14" i="36"/>
  <c r="H14" i="36"/>
  <c r="U14" i="36" s="1"/>
  <c r="F28" i="36"/>
  <c r="AA28" i="36" s="1"/>
  <c r="J13" i="21"/>
  <c r="AC13" i="21"/>
  <c r="H27" i="21"/>
  <c r="AB27" i="21" s="1"/>
  <c r="F27" i="21"/>
  <c r="F31" i="21"/>
  <c r="S31" i="21" s="1"/>
  <c r="J13" i="33"/>
  <c r="AC13" i="33" s="1"/>
  <c r="H13" i="33"/>
  <c r="F13" i="33"/>
  <c r="H31" i="33"/>
  <c r="AB31" i="33" s="1"/>
  <c r="F31" i="33"/>
  <c r="H45" i="33"/>
  <c r="AB45" i="33" s="1"/>
  <c r="J45" i="33"/>
  <c r="F45" i="33"/>
  <c r="AA45" i="33" s="1"/>
  <c r="H14" i="34"/>
  <c r="U14" i="34" s="1"/>
  <c r="F30" i="34"/>
  <c r="J30" i="34"/>
  <c r="AC30" i="34" s="1"/>
  <c r="H46" i="34"/>
  <c r="AB46" i="34" s="1"/>
  <c r="F46" i="34"/>
  <c r="S46" i="34" s="1"/>
  <c r="J46" i="34"/>
  <c r="AC46" i="34" s="1"/>
  <c r="H11" i="35"/>
  <c r="AB11" i="35" s="1"/>
  <c r="J11" i="35"/>
  <c r="W11" i="35" s="1"/>
  <c r="F11" i="35"/>
  <c r="J26" i="36"/>
  <c r="W26" i="36" s="1"/>
  <c r="H28" i="36"/>
  <c r="AB28" i="36" s="1"/>
  <c r="U28" i="36"/>
  <c r="H32" i="36"/>
  <c r="AB32" i="36" s="1"/>
  <c r="J32" i="36"/>
  <c r="W32" i="36" s="1"/>
  <c r="J11" i="36"/>
  <c r="J29" i="37"/>
  <c r="W29" i="37" s="1"/>
  <c r="F29" i="37"/>
  <c r="S29" i="37" s="1"/>
  <c r="H36" i="37"/>
  <c r="AB36" i="37" s="1"/>
  <c r="J37" i="37"/>
  <c r="AC37" i="37" s="1"/>
  <c r="H37" i="37"/>
  <c r="U37" i="37" s="1"/>
  <c r="H40" i="37"/>
  <c r="U40" i="37" s="1"/>
  <c r="J40" i="37"/>
  <c r="AC40" i="37"/>
  <c r="F40" i="37"/>
  <c r="AA40" i="37" s="1"/>
  <c r="AC12" i="40"/>
  <c r="W12" i="40"/>
  <c r="H14" i="33"/>
  <c r="U14" i="33" s="1"/>
  <c r="F14" i="33"/>
  <c r="AA14" i="33" s="1"/>
  <c r="J14" i="33"/>
  <c r="AC14" i="33" s="1"/>
  <c r="F30" i="33"/>
  <c r="S30" i="33" s="1"/>
  <c r="H44" i="33"/>
  <c r="U44" i="33" s="1"/>
  <c r="J44" i="33"/>
  <c r="AC44" i="33" s="1"/>
  <c r="F44" i="33"/>
  <c r="AA44" i="33" s="1"/>
  <c r="J46" i="33"/>
  <c r="AC46" i="33" s="1"/>
  <c r="F46" i="33"/>
  <c r="AA46" i="33" s="1"/>
  <c r="H46" i="33"/>
  <c r="AB46" i="33" s="1"/>
  <c r="J29" i="34"/>
  <c r="W29" i="34" s="1"/>
  <c r="F29" i="34"/>
  <c r="S29" i="34"/>
  <c r="H29" i="34"/>
  <c r="AB29" i="34" s="1"/>
  <c r="J31" i="34"/>
  <c r="AC31" i="34" s="1"/>
  <c r="J45" i="34"/>
  <c r="W45" i="34" s="1"/>
  <c r="H47" i="34"/>
  <c r="U47" i="34" s="1"/>
  <c r="F47" i="34"/>
  <c r="S47" i="34" s="1"/>
  <c r="J47" i="34"/>
  <c r="W47" i="34" s="1"/>
  <c r="J13" i="35"/>
  <c r="AC13" i="35" s="1"/>
  <c r="H13" i="35"/>
  <c r="U13" i="35" s="1"/>
  <c r="J25" i="35"/>
  <c r="W25" i="35" s="1"/>
  <c r="F25" i="35"/>
  <c r="S25" i="35" s="1"/>
  <c r="H25" i="35"/>
  <c r="AB25" i="35" s="1"/>
  <c r="J25" i="36"/>
  <c r="W25" i="36" s="1"/>
  <c r="F25" i="36"/>
  <c r="S25" i="36" s="1"/>
  <c r="H25" i="36"/>
  <c r="U25" i="36" s="1"/>
  <c r="AB13" i="37"/>
  <c r="F13" i="37"/>
  <c r="S13" i="37" s="1"/>
  <c r="J13" i="37"/>
  <c r="F28" i="37"/>
  <c r="AA28" i="37" s="1"/>
  <c r="J28" i="37"/>
  <c r="AC28" i="37" s="1"/>
  <c r="H28" i="37"/>
  <c r="U28" i="37" s="1"/>
  <c r="H38" i="37"/>
  <c r="AB38" i="37" s="1"/>
  <c r="J38" i="37"/>
  <c r="AC38" i="37" s="1"/>
  <c r="F38" i="37"/>
  <c r="S38" i="37" s="1"/>
  <c r="F12" i="40"/>
  <c r="H12" i="40"/>
  <c r="U12" i="40" s="1"/>
  <c r="H30" i="40"/>
  <c r="AB30" i="40" s="1"/>
  <c r="J35" i="40"/>
  <c r="AC35" i="40" s="1"/>
  <c r="J37" i="40"/>
  <c r="AC37" i="40" s="1"/>
  <c r="F14" i="37"/>
  <c r="S14" i="37" s="1"/>
  <c r="F27" i="37"/>
  <c r="F13" i="39"/>
  <c r="J13" i="39"/>
  <c r="W13" i="39" s="1"/>
  <c r="H13" i="39"/>
  <c r="AB13" i="39" s="1"/>
  <c r="J27" i="37"/>
  <c r="AC27" i="37"/>
  <c r="J36" i="37"/>
  <c r="J10" i="36"/>
  <c r="AC10" i="36" s="1"/>
  <c r="S11" i="36"/>
  <c r="AC28" i="21"/>
  <c r="F17" i="21"/>
  <c r="AA17" i="21" s="1"/>
  <c r="H17" i="21"/>
  <c r="AB17" i="21" s="1"/>
  <c r="F15" i="21"/>
  <c r="S15" i="21" s="1"/>
  <c r="J41" i="39"/>
  <c r="W41" i="39" s="1"/>
  <c r="G544" i="3"/>
  <c r="G540" i="3"/>
  <c r="G532" i="3"/>
  <c r="G531" i="3"/>
  <c r="G523" i="3"/>
  <c r="G518" i="3"/>
  <c r="G510" i="3"/>
  <c r="G508" i="3"/>
  <c r="G500" i="3"/>
  <c r="G576" i="3"/>
  <c r="G554" i="3"/>
  <c r="G550" i="3"/>
  <c r="BL526" i="3"/>
  <c r="BL566" i="3"/>
  <c r="G533" i="3"/>
  <c r="G529" i="3"/>
  <c r="BL524" i="3"/>
  <c r="BA498" i="3"/>
  <c r="BA575" i="3"/>
  <c r="BA571" i="3"/>
  <c r="BA567" i="3"/>
  <c r="BA501" i="3"/>
  <c r="G577" i="3"/>
  <c r="G573" i="3"/>
  <c r="G571" i="3"/>
  <c r="G569" i="3"/>
  <c r="G565" i="3"/>
  <c r="G561" i="3"/>
  <c r="AC557" i="3"/>
  <c r="G557" i="3" s="1"/>
  <c r="BQ557" i="3"/>
  <c r="BQ583" i="3"/>
  <c r="BQ581" i="3"/>
  <c r="BQ579" i="3"/>
  <c r="BQ577" i="3"/>
  <c r="BL577" i="3" s="1"/>
  <c r="BQ575" i="3"/>
  <c r="BQ573" i="3"/>
  <c r="BQ571" i="3"/>
  <c r="BL571" i="3" s="1"/>
  <c r="BQ569" i="3"/>
  <c r="BQ567" i="3"/>
  <c r="BQ565" i="3"/>
  <c r="BQ563" i="3"/>
  <c r="BQ561" i="3"/>
  <c r="BQ559" i="3"/>
  <c r="G555" i="3"/>
  <c r="G553" i="3"/>
  <c r="G549" i="3"/>
  <c r="G547" i="3"/>
  <c r="G545" i="3"/>
  <c r="G541" i="3"/>
  <c r="G537" i="3"/>
  <c r="BQ555" i="3"/>
  <c r="BQ553" i="3"/>
  <c r="BL553" i="3" s="1"/>
  <c r="BQ551" i="3"/>
  <c r="BQ549" i="3"/>
  <c r="BQ547" i="3"/>
  <c r="BQ545" i="3"/>
  <c r="BQ543" i="3"/>
  <c r="BQ541" i="3"/>
  <c r="BQ539" i="3"/>
  <c r="BQ537" i="3"/>
  <c r="BQ535" i="3"/>
  <c r="BQ533" i="3"/>
  <c r="BQ531" i="3"/>
  <c r="BQ529" i="3"/>
  <c r="BQ527" i="3"/>
  <c r="BQ525" i="3"/>
  <c r="BQ523" i="3"/>
  <c r="AC521" i="3"/>
  <c r="G521" i="3" s="1"/>
  <c r="BQ521" i="3"/>
  <c r="G519" i="3"/>
  <c r="G515" i="3"/>
  <c r="G513" i="3"/>
  <c r="G511" i="3"/>
  <c r="BQ519" i="3"/>
  <c r="BL519" i="3" s="1"/>
  <c r="BQ517" i="3"/>
  <c r="BQ515" i="3"/>
  <c r="BQ513" i="3"/>
  <c r="BQ511" i="3"/>
  <c r="BL511" i="3" s="1"/>
  <c r="AC509" i="3"/>
  <c r="G509" i="3" s="1"/>
  <c r="BQ509" i="3"/>
  <c r="G505" i="3"/>
  <c r="G503" i="3"/>
  <c r="G497"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F42" i="33"/>
  <c r="AA42" i="33" s="1"/>
  <c r="F14" i="36"/>
  <c r="AA14" i="36" s="1"/>
  <c r="F22" i="36"/>
  <c r="S22" i="36" s="1"/>
  <c r="F26" i="36"/>
  <c r="H27" i="34"/>
  <c r="AB27" i="34" s="1"/>
  <c r="H35" i="34"/>
  <c r="AB35" i="34" s="1"/>
  <c r="F41" i="34"/>
  <c r="S41" i="34" s="1"/>
  <c r="H41" i="34"/>
  <c r="U41" i="34" s="1"/>
  <c r="J41" i="34"/>
  <c r="AC41" i="34" s="1"/>
  <c r="F10" i="35"/>
  <c r="AA10" i="35" s="1"/>
  <c r="F24" i="35"/>
  <c r="AA24" i="35" s="1"/>
  <c r="H23" i="37"/>
  <c r="AB23" i="37" s="1"/>
  <c r="J32" i="37"/>
  <c r="F36" i="37"/>
  <c r="AA36" i="37" s="1"/>
  <c r="F37" i="37"/>
  <c r="AA37" i="37" s="1"/>
  <c r="F31" i="40"/>
  <c r="AA31" i="40" s="1"/>
  <c r="F32" i="40"/>
  <c r="S32" i="40" s="1"/>
  <c r="H32" i="40"/>
  <c r="U32" i="40" s="1"/>
  <c r="J36" i="40"/>
  <c r="W36" i="40" s="1"/>
  <c r="AA41" i="34"/>
  <c r="H19" i="37"/>
  <c r="AB19" i="37" s="1"/>
  <c r="H42" i="33"/>
  <c r="AB42" i="33" s="1"/>
  <c r="J43" i="33"/>
  <c r="AC43" i="33"/>
  <c r="S28" i="31"/>
  <c r="S27" i="31"/>
  <c r="S26" i="31"/>
  <c r="AA12" i="35"/>
  <c r="AB28" i="37"/>
  <c r="AC8" i="37"/>
  <c r="W44" i="33"/>
  <c r="U19" i="21"/>
  <c r="U26" i="21"/>
  <c r="U12" i="21"/>
  <c r="AB38" i="21"/>
  <c r="F43" i="33"/>
  <c r="AA43" i="33" s="1"/>
  <c r="W15" i="34"/>
  <c r="W40" i="37"/>
  <c r="H37" i="21"/>
  <c r="U37" i="21"/>
  <c r="S42" i="21"/>
  <c r="H19" i="34"/>
  <c r="AB19" i="34" s="1"/>
  <c r="F36" i="35"/>
  <c r="S36" i="35" s="1"/>
  <c r="J9" i="37"/>
  <c r="W9" i="37" s="1"/>
  <c r="H9" i="37"/>
  <c r="AB9" i="37"/>
  <c r="F9" i="37"/>
  <c r="AA9" i="37" s="1"/>
  <c r="S9" i="37"/>
  <c r="E71" i="37"/>
  <c r="F15" i="37"/>
  <c r="AA15" i="37" s="1"/>
  <c r="E94" i="37"/>
  <c r="F94" i="37" s="1"/>
  <c r="G94" i="37" s="1"/>
  <c r="H94" i="37" s="1"/>
  <c r="I94" i="37" s="1"/>
  <c r="J94" i="37" s="1"/>
  <c r="K94" i="37" s="1"/>
  <c r="L94" i="37" s="1"/>
  <c r="M94" i="37" s="1"/>
  <c r="F31" i="37"/>
  <c r="S31" i="37" s="1"/>
  <c r="F12" i="39"/>
  <c r="S12" i="39" s="1"/>
  <c r="J42" i="39"/>
  <c r="AC42" i="39" s="1"/>
  <c r="H21" i="40"/>
  <c r="AB21" i="40" s="1"/>
  <c r="H31" i="37"/>
  <c r="AB31" i="37" s="1"/>
  <c r="U31" i="37"/>
  <c r="F71" i="37"/>
  <c r="G71" i="37" s="1"/>
  <c r="J15" i="37"/>
  <c r="W15" i="37" s="1"/>
  <c r="AT6" i="3"/>
  <c r="C12" i="43"/>
  <c r="W23"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S42" i="39"/>
  <c r="W9" i="39"/>
  <c r="W8" i="39"/>
  <c r="J50" i="40"/>
  <c r="H103" i="9"/>
  <c r="D8" i="53" s="1"/>
  <c r="B16" i="53"/>
  <c r="B33" i="72" s="1"/>
  <c r="A118" i="9"/>
  <c r="A4" i="52"/>
  <c r="B41" i="72" s="1"/>
  <c r="J11" i="39"/>
  <c r="F11" i="39"/>
  <c r="S11" i="39" s="1"/>
  <c r="A12" i="52"/>
  <c r="B56" i="72" s="1"/>
  <c r="G4" i="4"/>
  <c r="I4" i="4"/>
  <c r="A2" i="9"/>
  <c r="F59" i="43"/>
  <c r="H65" i="43" s="1"/>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6"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48" i="3"/>
  <c r="G502" i="3"/>
  <c r="G17" i="3"/>
  <c r="BA17" i="3"/>
  <c r="AZ17" i="3" s="1"/>
  <c r="U36" i="40"/>
  <c r="F36" i="43"/>
  <c r="F81" i="43"/>
  <c r="H84" i="43" s="1"/>
  <c r="H113" i="43"/>
  <c r="F48" i="43"/>
  <c r="H53" i="43" s="1"/>
  <c r="F70" i="43"/>
  <c r="H71" i="43" s="1"/>
  <c r="M11" i="43"/>
  <c r="D17" i="43"/>
  <c r="F39" i="43"/>
  <c r="I17" i="43"/>
  <c r="F35" i="43"/>
  <c r="J17" i="43"/>
  <c r="F6" i="1"/>
  <c r="G6" i="1" s="1"/>
  <c r="U17" i="39"/>
  <c r="S14" i="35"/>
  <c r="U43" i="21"/>
  <c r="U10" i="21"/>
  <c r="G8" i="1"/>
  <c r="G9" i="1"/>
  <c r="G10" i="1"/>
  <c r="W44" i="34"/>
  <c r="AC44" i="34"/>
  <c r="U13" i="37"/>
  <c r="J37" i="33"/>
  <c r="W37" i="33" s="1"/>
  <c r="J34" i="33"/>
  <c r="W34" i="33" s="1"/>
  <c r="F33" i="34"/>
  <c r="AA33" i="34" s="1"/>
  <c r="H20" i="36"/>
  <c r="U20" i="36" s="1"/>
  <c r="J20" i="36"/>
  <c r="J27" i="36"/>
  <c r="W27" i="36" s="1"/>
  <c r="H35" i="40"/>
  <c r="AB35" i="40" s="1"/>
  <c r="AC29" i="35"/>
  <c r="W29" i="35"/>
  <c r="H35" i="37"/>
  <c r="H20" i="35"/>
  <c r="U20" i="35" s="1"/>
  <c r="F20" i="35"/>
  <c r="AA20" i="35" s="1"/>
  <c r="AB29" i="36"/>
  <c r="U29" i="36"/>
  <c r="H32" i="37"/>
  <c r="F96" i="37"/>
  <c r="G96" i="37" s="1"/>
  <c r="H96" i="37" s="1"/>
  <c r="I96" i="37" s="1"/>
  <c r="J96" i="37" s="1"/>
  <c r="K96" i="37" s="1"/>
  <c r="L96" i="37" s="1"/>
  <c r="M96" i="37" s="1"/>
  <c r="H27" i="40"/>
  <c r="U27" i="40" s="1"/>
  <c r="J27" i="40"/>
  <c r="F27" i="40"/>
  <c r="AA27" i="40" s="1"/>
  <c r="J30" i="40"/>
  <c r="F30" i="40"/>
  <c r="AA30" i="40" s="1"/>
  <c r="E98" i="40"/>
  <c r="F98" i="40" s="1"/>
  <c r="G98" i="40" s="1"/>
  <c r="H98" i="40" s="1"/>
  <c r="I98" i="40" s="1"/>
  <c r="J98" i="40" s="1"/>
  <c r="K98" i="40" s="1"/>
  <c r="L98" i="40" s="1"/>
  <c r="M98" i="40" s="1"/>
  <c r="F10" i="33"/>
  <c r="S10" i="33" s="1"/>
  <c r="F34" i="33"/>
  <c r="AA34" i="33" s="1"/>
  <c r="H34" i="33"/>
  <c r="U34" i="33" s="1"/>
  <c r="F35" i="33"/>
  <c r="AA35" i="33" s="1"/>
  <c r="F39" i="34"/>
  <c r="S39" i="34" s="1"/>
  <c r="J39" i="34"/>
  <c r="W39" i="34" s="1"/>
  <c r="F40" i="34"/>
  <c r="S40" i="34"/>
  <c r="F43" i="34"/>
  <c r="S43" i="34" s="1"/>
  <c r="H44" i="34"/>
  <c r="F39" i="39"/>
  <c r="S39" i="39" s="1"/>
  <c r="J39" i="39"/>
  <c r="AC39" i="39" s="1"/>
  <c r="E96" i="39"/>
  <c r="F96" i="39" s="1"/>
  <c r="G96" i="39" s="1"/>
  <c r="C40" i="11"/>
  <c r="I20" i="43"/>
  <c r="F23" i="39"/>
  <c r="S23" i="39" s="1"/>
  <c r="AA23" i="39"/>
  <c r="H27" i="36"/>
  <c r="AB27" i="36" s="1"/>
  <c r="F27" i="36"/>
  <c r="AA27" i="36" s="1"/>
  <c r="H33" i="34"/>
  <c r="F32" i="37"/>
  <c r="AA32" i="37" s="1"/>
  <c r="F20" i="36"/>
  <c r="S20" i="36" s="1"/>
  <c r="J33" i="34"/>
  <c r="W33" i="34" s="1"/>
  <c r="H23" i="39"/>
  <c r="U23" i="39" s="1"/>
  <c r="K9" i="1"/>
  <c r="M9" i="1" s="1"/>
  <c r="AE9" i="1"/>
  <c r="D93" i="9"/>
  <c r="W27" i="34"/>
  <c r="AC27" i="34"/>
  <c r="AC12" i="39"/>
  <c r="W12" i="39"/>
  <c r="W12" i="33"/>
  <c r="AC12" i="33"/>
  <c r="BL14" i="3"/>
  <c r="AA47" i="34"/>
  <c r="S19" i="39"/>
  <c r="F12" i="33"/>
  <c r="S12" i="33" s="1"/>
  <c r="H12" i="39"/>
  <c r="F39" i="40"/>
  <c r="AA39" i="40" s="1"/>
  <c r="BA14" i="3"/>
  <c r="S12" i="1"/>
  <c r="AQ12" i="1" s="1"/>
  <c r="R12" i="1"/>
  <c r="B12" i="1"/>
  <c r="E12" i="1"/>
  <c r="S10" i="1"/>
  <c r="AQ10" i="1" s="1"/>
  <c r="R10" i="1"/>
  <c r="B10" i="1"/>
  <c r="E10" i="1" s="1"/>
  <c r="K12" i="1"/>
  <c r="M12" i="1" s="1"/>
  <c r="S13" i="1"/>
  <c r="AR13" i="1" s="1"/>
  <c r="R13" i="1"/>
  <c r="S11" i="1"/>
  <c r="AQ11" i="1" s="1"/>
  <c r="R11" i="1"/>
  <c r="S9" i="1"/>
  <c r="AR9" i="1" s="1"/>
  <c r="R9" i="1"/>
  <c r="J51" i="67"/>
  <c r="H100" i="43"/>
  <c r="AC34" i="33"/>
  <c r="B41" i="1"/>
  <c r="F53" i="9" s="1"/>
  <c r="J100" i="43"/>
  <c r="S28" i="40"/>
  <c r="U37" i="39"/>
  <c r="S37" i="39"/>
  <c r="F32" i="39"/>
  <c r="U25" i="39"/>
  <c r="AB27" i="39"/>
  <c r="J21" i="39"/>
  <c r="W21" i="39" s="1"/>
  <c r="F21" i="39"/>
  <c r="S21" i="39" s="1"/>
  <c r="H21" i="39"/>
  <c r="AB21" i="39" s="1"/>
  <c r="S17" i="39"/>
  <c r="S9" i="39"/>
  <c r="AA25" i="36"/>
  <c r="S24" i="36"/>
  <c r="U16" i="36"/>
  <c r="W24" i="35"/>
  <c r="AB13" i="35"/>
  <c r="U29" i="35"/>
  <c r="U28" i="35"/>
  <c r="AB27" i="35"/>
  <c r="U36" i="35"/>
  <c r="U32" i="35"/>
  <c r="AA33" i="35"/>
  <c r="S32" i="35"/>
  <c r="AB16" i="35"/>
  <c r="AC20" i="35"/>
  <c r="S22" i="35"/>
  <c r="U14" i="35"/>
  <c r="AC10" i="35"/>
  <c r="S8" i="35"/>
  <c r="AC9" i="35"/>
  <c r="W9" i="35"/>
  <c r="AC12" i="35"/>
  <c r="W13" i="35"/>
  <c r="F9" i="35"/>
  <c r="AA9" i="35" s="1"/>
  <c r="H9" i="35"/>
  <c r="U9" i="35" s="1"/>
  <c r="W27" i="37"/>
  <c r="AC29" i="37"/>
  <c r="U29" i="37"/>
  <c r="W30" i="37"/>
  <c r="AA38" i="37"/>
  <c r="AC35" i="37"/>
  <c r="W39" i="37"/>
  <c r="S30" i="37"/>
  <c r="S37" i="37"/>
  <c r="J17" i="37"/>
  <c r="W17" i="37" s="1"/>
  <c r="F17" i="37"/>
  <c r="S17" i="37" s="1"/>
  <c r="F75" i="37"/>
  <c r="G75" i="37" s="1"/>
  <c r="F19" i="37"/>
  <c r="S19" i="37" s="1"/>
  <c r="F23" i="37"/>
  <c r="U23" i="37"/>
  <c r="U9" i="37"/>
  <c r="H10" i="37"/>
  <c r="AB10" i="37" s="1"/>
  <c r="F63" i="37"/>
  <c r="G63" i="37" s="1"/>
  <c r="H63" i="37" s="1"/>
  <c r="I63" i="37" s="1"/>
  <c r="J63" i="37" s="1"/>
  <c r="K63" i="37" s="1"/>
  <c r="L63" i="37" s="1"/>
  <c r="M63" i="37" s="1"/>
  <c r="F11" i="37"/>
  <c r="S11" i="37" s="1"/>
  <c r="S27" i="34"/>
  <c r="AB8" i="34"/>
  <c r="U43" i="34"/>
  <c r="U39" i="34"/>
  <c r="AA25" i="34"/>
  <c r="AA29" i="34"/>
  <c r="S23" i="34"/>
  <c r="U15" i="34"/>
  <c r="H67" i="34"/>
  <c r="I67" i="34" s="1"/>
  <c r="H10" i="34"/>
  <c r="AB10" i="34" s="1"/>
  <c r="F11" i="34"/>
  <c r="AA11" i="34" s="1"/>
  <c r="F70" i="34"/>
  <c r="G70" i="34" s="1"/>
  <c r="H70" i="34" s="1"/>
  <c r="I70" i="34" s="1"/>
  <c r="J70" i="34" s="1"/>
  <c r="K70" i="34" s="1"/>
  <c r="L70" i="34" s="1"/>
  <c r="M70" i="34" s="1"/>
  <c r="S32" i="33"/>
  <c r="W38" i="33"/>
  <c r="H41" i="33"/>
  <c r="AB41" i="33" s="1"/>
  <c r="F121" i="33"/>
  <c r="G121" i="33" s="1"/>
  <c r="H121" i="33" s="1"/>
  <c r="I121" i="33" s="1"/>
  <c r="J121" i="33" s="1"/>
  <c r="K121" i="33" s="1"/>
  <c r="L121" i="33" s="1"/>
  <c r="M121" i="33" s="1"/>
  <c r="U42" i="33"/>
  <c r="S42" i="33"/>
  <c r="F36" i="33"/>
  <c r="S36"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U27" i="33" s="1"/>
  <c r="H25" i="33"/>
  <c r="AB25" i="33" s="1"/>
  <c r="F25" i="33"/>
  <c r="J23" i="33"/>
  <c r="AC23" i="33" s="1"/>
  <c r="F85" i="33"/>
  <c r="G85" i="33" s="1"/>
  <c r="H23" i="33"/>
  <c r="F19" i="33"/>
  <c r="S19" i="33"/>
  <c r="J17" i="33"/>
  <c r="W17" i="33" s="1"/>
  <c r="I66" i="33"/>
  <c r="J10" i="33"/>
  <c r="W10" i="33" s="1"/>
  <c r="H10" i="33"/>
  <c r="AA10" i="33"/>
  <c r="AB14" i="33"/>
  <c r="S39" i="21"/>
  <c r="AA38" i="21"/>
  <c r="AA36" i="21"/>
  <c r="AC40" i="21"/>
  <c r="J15" i="21"/>
  <c r="AC15" i="21" s="1"/>
  <c r="F23" i="21"/>
  <c r="AB8" i="21"/>
  <c r="S8" i="21"/>
  <c r="M3" i="43"/>
  <c r="M1" i="43"/>
  <c r="N8" i="43"/>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C17" i="43"/>
  <c r="F33" i="43"/>
  <c r="K17" i="43"/>
  <c r="F34" i="43"/>
  <c r="N6" i="43"/>
  <c r="N3" i="43"/>
  <c r="F38" i="43"/>
  <c r="F37" i="43"/>
  <c r="M9" i="43"/>
  <c r="N5" i="43"/>
  <c r="M12" i="43"/>
  <c r="B19" i="53"/>
  <c r="B37" i="72" s="1"/>
  <c r="T35" i="4"/>
  <c r="A19" i="51" s="1"/>
  <c r="B14" i="72" s="1"/>
  <c r="A4" i="51"/>
  <c r="B6" i="72" s="1"/>
  <c r="C4" i="12"/>
  <c r="H56" i="43"/>
  <c r="L20" i="6"/>
  <c r="B6" i="1"/>
  <c r="E6" i="1" s="1"/>
  <c r="S8" i="1"/>
  <c r="T8" i="1" s="1"/>
  <c r="K11" i="1"/>
  <c r="M11" i="1" s="1"/>
  <c r="O11" i="1" s="1"/>
  <c r="P11" i="1" s="1"/>
  <c r="AP6" i="1"/>
  <c r="B9" i="1"/>
  <c r="E9" i="1" s="1"/>
  <c r="K7" i="1"/>
  <c r="G1" i="15"/>
  <c r="G1" i="69"/>
  <c r="G1" i="67"/>
  <c r="S37" i="40"/>
  <c r="W28" i="40"/>
  <c r="S36" i="40"/>
  <c r="S31" i="40"/>
  <c r="U8" i="40"/>
  <c r="AC41" i="39"/>
  <c r="U42" i="39"/>
  <c r="AA13" i="39"/>
  <c r="S13" i="39"/>
  <c r="AB11" i="39"/>
  <c r="W31" i="39"/>
  <c r="AC31" i="39"/>
  <c r="U38" i="39"/>
  <c r="S8" i="39"/>
  <c r="S28" i="36"/>
  <c r="U32" i="36"/>
  <c r="W22" i="36"/>
  <c r="S9" i="36"/>
  <c r="U25" i="35"/>
  <c r="W33" i="35"/>
  <c r="AA30" i="35"/>
  <c r="W35" i="35"/>
  <c r="AA16" i="35"/>
  <c r="AA35" i="37"/>
  <c r="S28" i="37"/>
  <c r="S40" i="37"/>
  <c r="AA31" i="37"/>
  <c r="AA8" i="37"/>
  <c r="U8" i="37"/>
  <c r="AA40" i="34"/>
  <c r="W19" i="34"/>
  <c r="U25" i="34"/>
  <c r="AB36" i="34"/>
  <c r="W46" i="34"/>
  <c r="S32" i="34"/>
  <c r="U30" i="34"/>
  <c r="AB30" i="34"/>
  <c r="AC40" i="34"/>
  <c r="W40" i="34"/>
  <c r="AA36" i="34"/>
  <c r="S36" i="34"/>
  <c r="AA8" i="34"/>
  <c r="S8" i="34"/>
  <c r="AB14" i="34"/>
  <c r="W23" i="34"/>
  <c r="AC35" i="34"/>
  <c r="W35" i="34"/>
  <c r="AC37" i="33"/>
  <c r="W46" i="33"/>
  <c r="U38" i="33"/>
  <c r="S33" i="33"/>
  <c r="AC30" i="33"/>
  <c r="W30" i="33"/>
  <c r="S31" i="33"/>
  <c r="AA31" i="33"/>
  <c r="U15" i="33"/>
  <c r="S11" i="33"/>
  <c r="U37" i="33"/>
  <c r="W8" i="33"/>
  <c r="AA11" i="21"/>
  <c r="F33" i="21"/>
  <c r="S33" i="21" s="1"/>
  <c r="J33" i="21"/>
  <c r="AC33" i="21" s="1"/>
  <c r="H33" i="21"/>
  <c r="AB33" i="21" s="1"/>
  <c r="F37" i="21"/>
  <c r="AB14" i="21"/>
  <c r="U40" i="21"/>
  <c r="U13" i="21"/>
  <c r="AB13" i="21"/>
  <c r="AB37" i="21"/>
  <c r="J37" i="21"/>
  <c r="W37" i="21" s="1"/>
  <c r="H15" i="21"/>
  <c r="U15" i="21" s="1"/>
  <c r="J17" i="21"/>
  <c r="W17" i="21" s="1"/>
  <c r="W39" i="21"/>
  <c r="AC14" i="21"/>
  <c r="S46" i="21"/>
  <c r="H45" i="21"/>
  <c r="U45" i="21" s="1"/>
  <c r="F13" i="21"/>
  <c r="S13" i="21" s="1"/>
  <c r="AC38" i="21"/>
  <c r="H32" i="21"/>
  <c r="AB32" i="21" s="1"/>
  <c r="H9" i="21"/>
  <c r="AB9" i="21" s="1"/>
  <c r="J9" i="21"/>
  <c r="AC9" i="21" s="1"/>
  <c r="J32" i="21"/>
  <c r="W32" i="21" s="1"/>
  <c r="F32" i="21"/>
  <c r="S32" i="21" s="1"/>
  <c r="U17" i="21"/>
  <c r="W29" i="21"/>
  <c r="S19" i="21"/>
  <c r="S9" i="21"/>
  <c r="K141" i="21"/>
  <c r="K144" i="21"/>
  <c r="K143" i="21"/>
  <c r="AB44" i="21"/>
  <c r="W13" i="21"/>
  <c r="F10" i="21"/>
  <c r="AA10" i="21" s="1"/>
  <c r="K145" i="21"/>
  <c r="W25" i="21"/>
  <c r="S17" i="21"/>
  <c r="AA15" i="21"/>
  <c r="AC27" i="21"/>
  <c r="W10" i="21"/>
  <c r="W12" i="21"/>
  <c r="AB36" i="21"/>
  <c r="C23" i="40"/>
  <c r="C21" i="40"/>
  <c r="B54" i="43"/>
  <c r="B65" i="43"/>
  <c r="B49" i="43"/>
  <c r="B52" i="43"/>
  <c r="B56" i="43"/>
  <c r="B60" i="43"/>
  <c r="B63" i="43"/>
  <c r="B67" i="43"/>
  <c r="D23" i="15"/>
  <c r="D22" i="15"/>
  <c r="E4" i="4"/>
  <c r="B5" i="62" s="1"/>
  <c r="B73" i="72" s="1"/>
  <c r="C4" i="4"/>
  <c r="S7" i="1"/>
  <c r="AQ7" i="1" s="1"/>
  <c r="E7" i="70"/>
  <c r="S39" i="40"/>
  <c r="J32" i="39"/>
  <c r="H32" i="39"/>
  <c r="AB32" i="39" s="1"/>
  <c r="AA32" i="39"/>
  <c r="S32" i="39"/>
  <c r="J19" i="37"/>
  <c r="J23" i="37"/>
  <c r="W23" i="37" s="1"/>
  <c r="J10" i="37"/>
  <c r="W10" i="37" s="1"/>
  <c r="H11" i="37"/>
  <c r="AB11" i="37" s="1"/>
  <c r="H11" i="34"/>
  <c r="AB11" i="34" s="1"/>
  <c r="J10" i="34"/>
  <c r="W10" i="34" s="1"/>
  <c r="J36" i="33"/>
  <c r="W36" i="33" s="1"/>
  <c r="H36" i="33"/>
  <c r="U36" i="33" s="1"/>
  <c r="J27" i="33"/>
  <c r="AC27" i="33" s="1"/>
  <c r="S25" i="33"/>
  <c r="AA25" i="33"/>
  <c r="J25" i="33"/>
  <c r="AC25" i="33" s="1"/>
  <c r="AB23" i="33"/>
  <c r="U23" i="33"/>
  <c r="F23" i="33"/>
  <c r="AA23" i="33" s="1"/>
  <c r="AA19" i="33"/>
  <c r="H19" i="33"/>
  <c r="AB19" i="33" s="1"/>
  <c r="H17" i="33"/>
  <c r="U17" i="33" s="1"/>
  <c r="F17" i="33"/>
  <c r="AA17" i="33" s="1"/>
  <c r="U10" i="33"/>
  <c r="AB10" i="33"/>
  <c r="J23" i="21"/>
  <c r="W23" i="21" s="1"/>
  <c r="H23" i="21"/>
  <c r="AB23" i="21" s="1"/>
  <c r="AP7" i="1"/>
  <c r="W33" i="21"/>
  <c r="S10" i="21"/>
  <c r="J11" i="37"/>
  <c r="W11" i="37" s="1"/>
  <c r="AC10" i="34"/>
  <c r="J11" i="34"/>
  <c r="S17" i="33"/>
  <c r="AC23" i="21"/>
  <c r="R7" i="1"/>
  <c r="F34" i="11"/>
  <c r="F11" i="12"/>
  <c r="F34" i="68"/>
  <c r="R8" i="1"/>
  <c r="AE7" i="1"/>
  <c r="AE8" i="1"/>
  <c r="AG6" i="1"/>
  <c r="H109" i="9"/>
  <c r="D124" i="9" s="1"/>
  <c r="D125" i="9" s="1"/>
  <c r="D11" i="52" s="1"/>
  <c r="AD3" i="71"/>
  <c r="J1" i="73"/>
  <c r="H77" i="43"/>
  <c r="M4" i="43"/>
  <c r="M5" i="43"/>
  <c r="N12" i="43"/>
  <c r="N11" i="43"/>
  <c r="M10" i="43"/>
  <c r="M2" i="43"/>
  <c r="M7" i="43"/>
  <c r="N9" i="43"/>
  <c r="M8" i="43"/>
  <c r="N10" i="43"/>
  <c r="H48" i="43"/>
  <c r="H74" i="43"/>
  <c r="M6" i="43"/>
  <c r="N7" i="43"/>
  <c r="N4" i="43"/>
  <c r="N2" i="43"/>
  <c r="N17" i="43"/>
  <c r="L17" i="43"/>
  <c r="O17" i="43"/>
  <c r="M17" i="43"/>
  <c r="E17" i="43"/>
  <c r="AB19" i="71"/>
  <c r="X17" i="71"/>
  <c r="X16" i="71"/>
  <c r="AA17" i="71"/>
  <c r="AA16" i="71"/>
  <c r="X20" i="71"/>
  <c r="Y16" i="71"/>
  <c r="Z16" i="71" s="1"/>
  <c r="AB17" i="71"/>
  <c r="AB16" i="71"/>
  <c r="F18" i="71"/>
  <c r="F17" i="71" s="1"/>
  <c r="F16" i="71" s="1"/>
  <c r="F15" i="71" s="1"/>
  <c r="F14" i="71" s="1"/>
  <c r="Y17" i="71"/>
  <c r="Z17" i="71" s="1"/>
  <c r="X3" i="71"/>
  <c r="E18" i="71"/>
  <c r="E17" i="71" s="1"/>
  <c r="E16" i="71" s="1"/>
  <c r="E15" i="71" s="1"/>
  <c r="E14" i="71" s="1"/>
  <c r="E13" i="71" s="1"/>
  <c r="G20" i="43"/>
  <c r="D2" i="35"/>
  <c r="D2" i="36"/>
  <c r="F26" i="67"/>
  <c r="E11" i="76"/>
  <c r="AO11" i="1"/>
  <c r="F9" i="67"/>
  <c r="E9" i="76"/>
  <c r="D7" i="73"/>
  <c r="B8" i="76"/>
  <c r="E7" i="76"/>
  <c r="D2" i="34"/>
  <c r="M26" i="15"/>
  <c r="M9" i="67"/>
  <c r="M21" i="67"/>
  <c r="M8" i="67"/>
  <c r="F7" i="73"/>
  <c r="B13" i="76"/>
  <c r="F8" i="67"/>
  <c r="F42" i="67"/>
  <c r="M27" i="67"/>
  <c r="L48" i="67"/>
  <c r="AO8" i="1"/>
  <c r="D3" i="73"/>
  <c r="M24" i="67"/>
  <c r="M6" i="67"/>
  <c r="F5" i="73"/>
  <c r="F20" i="31"/>
  <c r="F6" i="73"/>
  <c r="L47" i="67"/>
  <c r="F13" i="67"/>
  <c r="M28" i="67"/>
  <c r="F16" i="67"/>
  <c r="B11" i="76"/>
  <c r="B12" i="76"/>
  <c r="D5" i="73"/>
  <c r="F3" i="73"/>
  <c r="M29" i="67"/>
  <c r="F4" i="73"/>
  <c r="F7" i="67"/>
  <c r="AO12" i="1"/>
  <c r="E8" i="76"/>
  <c r="D2" i="33"/>
  <c r="F41" i="67"/>
  <c r="J15" i="67"/>
  <c r="D2" i="21"/>
  <c r="E10" i="76"/>
  <c r="E2" i="69"/>
  <c r="B7" i="76"/>
  <c r="D2" i="37"/>
  <c r="F43" i="67"/>
  <c r="M23" i="67"/>
  <c r="AO10" i="1"/>
  <c r="F38" i="67"/>
  <c r="B9" i="76"/>
  <c r="B10" i="76"/>
  <c r="E2" i="68"/>
  <c r="AO13" i="1"/>
  <c r="AO7" i="1"/>
  <c r="E13" i="76"/>
  <c r="E12" i="76"/>
  <c r="AO9" i="1"/>
  <c r="C6" i="43" l="1"/>
  <c r="H81" i="43"/>
  <c r="H87" i="43"/>
  <c r="H85" i="43"/>
  <c r="H59" i="43"/>
  <c r="C7" i="39"/>
  <c r="C67" i="39" s="1"/>
  <c r="C7" i="35"/>
  <c r="C48" i="35" s="1"/>
  <c r="D48" i="35" s="1"/>
  <c r="C36" i="11"/>
  <c r="C7" i="36"/>
  <c r="C46" i="36" s="1"/>
  <c r="D46" i="36" s="1"/>
  <c r="E46" i="36" s="1"/>
  <c r="F46" i="36" s="1"/>
  <c r="G46" i="36" s="1"/>
  <c r="H46" i="36" s="1"/>
  <c r="I46" i="36" s="1"/>
  <c r="G19" i="43"/>
  <c r="O19" i="43" s="1"/>
  <c r="C19" i="43" s="1"/>
  <c r="C42" i="1"/>
  <c r="C7" i="34"/>
  <c r="C59" i="34" s="1"/>
  <c r="D59" i="34" s="1"/>
  <c r="E59" i="34" s="1"/>
  <c r="F59" i="34" s="1"/>
  <c r="G59" i="34" s="1"/>
  <c r="H59" i="34" s="1"/>
  <c r="I59" i="34" s="1"/>
  <c r="J59" i="34" s="1"/>
  <c r="M47" i="9"/>
  <c r="C7" i="37"/>
  <c r="C52" i="37" s="1"/>
  <c r="D52" i="37" s="1"/>
  <c r="C7" i="40"/>
  <c r="C63" i="40" s="1"/>
  <c r="C65" i="40" s="1"/>
  <c r="C7" i="21"/>
  <c r="C58" i="21" s="1"/>
  <c r="B81" i="43"/>
  <c r="C15" i="40"/>
  <c r="AA38" i="33"/>
  <c r="S38" i="33"/>
  <c r="J43" i="39"/>
  <c r="F43" i="39"/>
  <c r="H43" i="39"/>
  <c r="AB43" i="39" s="1"/>
  <c r="BA568" i="3"/>
  <c r="W19" i="37"/>
  <c r="AC19" i="37"/>
  <c r="AA37" i="21"/>
  <c r="S37" i="21"/>
  <c r="W15" i="21"/>
  <c r="U33" i="34"/>
  <c r="AB33" i="34"/>
  <c r="AB35" i="39"/>
  <c r="U35" i="39"/>
  <c r="BA579" i="3"/>
  <c r="BA577" i="3"/>
  <c r="AZ572" i="3"/>
  <c r="BA569" i="3"/>
  <c r="BA563" i="3"/>
  <c r="BA553" i="3"/>
  <c r="BL544" i="3"/>
  <c r="BA529" i="3"/>
  <c r="AA29" i="36"/>
  <c r="S29" i="36"/>
  <c r="AC26" i="37"/>
  <c r="W26" i="37"/>
  <c r="H14" i="39"/>
  <c r="J14" i="39"/>
  <c r="AC14" i="39" s="1"/>
  <c r="F14" i="39"/>
  <c r="W38" i="34"/>
  <c r="AC38" i="34"/>
  <c r="U33" i="21"/>
  <c r="AC29" i="33"/>
  <c r="W29" i="33"/>
  <c r="C79" i="35"/>
  <c r="F26" i="35" s="1"/>
  <c r="BL543" i="3"/>
  <c r="AB39" i="37"/>
  <c r="U39" i="37"/>
  <c r="AB26" i="36"/>
  <c r="U26" i="36"/>
  <c r="J26" i="35"/>
  <c r="W26" i="35" s="1"/>
  <c r="U46" i="21"/>
  <c r="AB46" i="21"/>
  <c r="U39" i="21"/>
  <c r="AB39" i="21"/>
  <c r="S43" i="21"/>
  <c r="AA43" i="21"/>
  <c r="AA27" i="37"/>
  <c r="S27" i="37"/>
  <c r="AA19" i="34"/>
  <c r="S19" i="34"/>
  <c r="W34" i="37"/>
  <c r="AC34" i="37"/>
  <c r="AA33" i="36"/>
  <c r="S33" i="36"/>
  <c r="H13" i="40"/>
  <c r="U13" i="40" s="1"/>
  <c r="J13" i="40"/>
  <c r="F13" i="40"/>
  <c r="G583" i="3"/>
  <c r="BL581" i="3"/>
  <c r="BA570" i="3"/>
  <c r="BA566" i="3"/>
  <c r="AZ566" i="3" s="1"/>
  <c r="BL562" i="3"/>
  <c r="BA557" i="3"/>
  <c r="BA555" i="3"/>
  <c r="BL554" i="3"/>
  <c r="AZ554" i="3" s="1"/>
  <c r="BL552" i="3"/>
  <c r="BA552" i="3"/>
  <c r="AZ552" i="3" s="1"/>
  <c r="BL549" i="3"/>
  <c r="AZ549" i="3" s="1"/>
  <c r="BA549" i="3"/>
  <c r="BL546" i="3"/>
  <c r="AZ546" i="3" s="1"/>
  <c r="BA544" i="3"/>
  <c r="BL541" i="3"/>
  <c r="BL538" i="3"/>
  <c r="BA534" i="3"/>
  <c r="BA528" i="3"/>
  <c r="BL522" i="3"/>
  <c r="BA520" i="3"/>
  <c r="BA518" i="3"/>
  <c r="BL514" i="3"/>
  <c r="G514" i="3"/>
  <c r="BA512" i="3"/>
  <c r="BA504" i="3"/>
  <c r="G501" i="3"/>
  <c r="BA499" i="3"/>
  <c r="G493" i="3"/>
  <c r="S26" i="21"/>
  <c r="AA26" i="21"/>
  <c r="AC14" i="36"/>
  <c r="W14" i="36"/>
  <c r="W17" i="39"/>
  <c r="AC17" i="39"/>
  <c r="S26" i="36"/>
  <c r="AA26" i="36"/>
  <c r="AC30" i="40"/>
  <c r="W30" i="40"/>
  <c r="AC32" i="37"/>
  <c r="W32" i="37"/>
  <c r="H13" i="34"/>
  <c r="U13" i="34" s="1"/>
  <c r="J13" i="34"/>
  <c r="W13" i="34" s="1"/>
  <c r="F13" i="34"/>
  <c r="G112" i="3"/>
  <c r="W37" i="34"/>
  <c r="BL501" i="3"/>
  <c r="BL545" i="3"/>
  <c r="F14" i="34"/>
  <c r="S14" i="34" s="1"/>
  <c r="AA34" i="37"/>
  <c r="H12" i="35"/>
  <c r="G414" i="3"/>
  <c r="G440" i="3"/>
  <c r="G351" i="3"/>
  <c r="G222" i="3"/>
  <c r="G270" i="3"/>
  <c r="BA145" i="3"/>
  <c r="G35" i="3"/>
  <c r="BL52" i="3"/>
  <c r="G60" i="3"/>
  <c r="G97" i="3"/>
  <c r="G110" i="3"/>
  <c r="C17" i="40"/>
  <c r="AB44" i="33"/>
  <c r="W34" i="39"/>
  <c r="U22" i="35"/>
  <c r="U10" i="36"/>
  <c r="H61" i="43"/>
  <c r="AA36" i="33"/>
  <c r="S9" i="35"/>
  <c r="AC45" i="21"/>
  <c r="AA29" i="37"/>
  <c r="AB39" i="39"/>
  <c r="S17" i="34"/>
  <c r="W28" i="37"/>
  <c r="AZ344" i="3"/>
  <c r="U26" i="37"/>
  <c r="H24" i="35"/>
  <c r="AB24" i="35" s="1"/>
  <c r="BL503" i="3"/>
  <c r="BL547" i="3"/>
  <c r="BL575" i="3"/>
  <c r="AA14" i="37"/>
  <c r="AB25" i="36"/>
  <c r="H30" i="33"/>
  <c r="F45" i="21"/>
  <c r="S42" i="34"/>
  <c r="U8" i="35"/>
  <c r="AC36" i="39"/>
  <c r="H33" i="36"/>
  <c r="G413" i="3"/>
  <c r="G374" i="3"/>
  <c r="BL214" i="3"/>
  <c r="G245" i="3"/>
  <c r="G257" i="3"/>
  <c r="G293" i="3"/>
  <c r="BA144" i="3"/>
  <c r="AZ144" i="3" s="1"/>
  <c r="G200" i="3"/>
  <c r="G84" i="3"/>
  <c r="BL517" i="3"/>
  <c r="AZ577" i="3"/>
  <c r="E5" i="6"/>
  <c r="D9" i="68" s="1"/>
  <c r="C9" i="68" s="1"/>
  <c r="G450" i="3"/>
  <c r="G349" i="3"/>
  <c r="G208" i="3"/>
  <c r="G292" i="3"/>
  <c r="G46" i="3"/>
  <c r="G58" i="3"/>
  <c r="G83" i="3"/>
  <c r="L108" i="43"/>
  <c r="W32" i="35"/>
  <c r="BL551" i="3"/>
  <c r="AZ498" i="3"/>
  <c r="H29" i="21"/>
  <c r="U29" i="21" s="1"/>
  <c r="G552" i="3"/>
  <c r="W9" i="21"/>
  <c r="U39" i="33"/>
  <c r="BL559" i="3"/>
  <c r="U34" i="21"/>
  <c r="J21" i="40"/>
  <c r="W21" i="40" s="1"/>
  <c r="J33" i="36"/>
  <c r="J35" i="39"/>
  <c r="AC35" i="39" s="1"/>
  <c r="G585" i="3"/>
  <c r="G70" i="3"/>
  <c r="AZ326" i="3"/>
  <c r="H70" i="43"/>
  <c r="AB45" i="21"/>
  <c r="U36" i="37"/>
  <c r="W41" i="34"/>
  <c r="S32" i="36"/>
  <c r="S33" i="34"/>
  <c r="U35" i="21"/>
  <c r="AZ394" i="3"/>
  <c r="AZ376" i="3"/>
  <c r="AB32" i="40"/>
  <c r="BL533" i="3"/>
  <c r="BL555" i="3"/>
  <c r="H33" i="40"/>
  <c r="U33" i="40" s="1"/>
  <c r="H35" i="35"/>
  <c r="F45" i="34"/>
  <c r="AB11" i="33"/>
  <c r="S40" i="21"/>
  <c r="F21" i="40"/>
  <c r="AA21" i="40" s="1"/>
  <c r="H36" i="39"/>
  <c r="H9" i="36"/>
  <c r="G422" i="3"/>
  <c r="G447" i="3"/>
  <c r="G382" i="3"/>
  <c r="BL386" i="3"/>
  <c r="G395" i="3"/>
  <c r="G217" i="3"/>
  <c r="G135" i="3"/>
  <c r="G172" i="3"/>
  <c r="G30" i="3"/>
  <c r="G68" i="3"/>
  <c r="BL108" i="3"/>
  <c r="AA35" i="71"/>
  <c r="B40" i="71"/>
  <c r="B41" i="71" s="1"/>
  <c r="S41" i="71" s="1"/>
  <c r="E56" i="71"/>
  <c r="E57" i="71" s="1"/>
  <c r="U57" i="71" s="1"/>
  <c r="BL535" i="3"/>
  <c r="BL583" i="3"/>
  <c r="J14" i="40"/>
  <c r="W14" i="40" s="1"/>
  <c r="F33" i="40"/>
  <c r="F35" i="35"/>
  <c r="S8" i="33"/>
  <c r="AB8" i="39"/>
  <c r="BL461" i="3"/>
  <c r="BL348" i="3"/>
  <c r="AZ372" i="3"/>
  <c r="AC26" i="21"/>
  <c r="W36" i="21"/>
  <c r="AC39" i="34"/>
  <c r="AB28" i="40"/>
  <c r="AC11" i="21"/>
  <c r="AZ322" i="3"/>
  <c r="AZ337" i="3"/>
  <c r="AZ306" i="3"/>
  <c r="AA11" i="39"/>
  <c r="U35" i="34"/>
  <c r="BL565" i="3"/>
  <c r="J32" i="34"/>
  <c r="F29" i="33"/>
  <c r="S34" i="40"/>
  <c r="S30" i="36"/>
  <c r="J44" i="39"/>
  <c r="AC44" i="39" s="1"/>
  <c r="J39" i="40"/>
  <c r="BL398" i="3"/>
  <c r="G433" i="3"/>
  <c r="G66" i="3"/>
  <c r="J51" i="15"/>
  <c r="W18" i="36"/>
  <c r="E49" i="71"/>
  <c r="U49" i="71" s="1"/>
  <c r="AZ356" i="3"/>
  <c r="AC36" i="33"/>
  <c r="AA17" i="37"/>
  <c r="AC14" i="35"/>
  <c r="BL539" i="3"/>
  <c r="BL567" i="3"/>
  <c r="F31" i="34"/>
  <c r="H32" i="34"/>
  <c r="H29" i="33"/>
  <c r="U29" i="33" s="1"/>
  <c r="AC16" i="36"/>
  <c r="W8" i="40"/>
  <c r="S41" i="21"/>
  <c r="F26" i="37"/>
  <c r="BL346" i="3"/>
  <c r="AZ346" i="3" s="1"/>
  <c r="W29" i="39"/>
  <c r="E32" i="71"/>
  <c r="E33" i="71" s="1"/>
  <c r="U33" i="71" s="1"/>
  <c r="H66" i="43"/>
  <c r="S10" i="34"/>
  <c r="W25" i="34"/>
  <c r="AC38" i="39"/>
  <c r="AZ336" i="3"/>
  <c r="AZ343" i="3"/>
  <c r="AZ304" i="3"/>
  <c r="U40" i="39"/>
  <c r="BL509" i="3"/>
  <c r="BL569" i="3"/>
  <c r="AZ569" i="3" s="1"/>
  <c r="J46" i="21"/>
  <c r="W46" i="21" s="1"/>
  <c r="S41" i="33"/>
  <c r="BL460" i="3"/>
  <c r="G366" i="3"/>
  <c r="G237" i="3"/>
  <c r="G249" i="3"/>
  <c r="BL276" i="3"/>
  <c r="G297" i="3"/>
  <c r="G192" i="3"/>
  <c r="G38" i="3"/>
  <c r="G76" i="3"/>
  <c r="G88" i="3"/>
  <c r="G100" i="3"/>
  <c r="W21" i="21"/>
  <c r="F32" i="71"/>
  <c r="AC30" i="21"/>
  <c r="W30" i="21"/>
  <c r="W31" i="21"/>
  <c r="AC31" i="21"/>
  <c r="W31" i="33"/>
  <c r="AC31" i="33"/>
  <c r="AB31" i="39"/>
  <c r="U31" i="39"/>
  <c r="AA27" i="33"/>
  <c r="S27" i="33"/>
  <c r="AA28" i="33"/>
  <c r="S28" i="33"/>
  <c r="AA13" i="35"/>
  <c r="S13" i="35"/>
  <c r="AA31" i="21"/>
  <c r="H78" i="43"/>
  <c r="AA14" i="21"/>
  <c r="S46" i="33"/>
  <c r="S16" i="36"/>
  <c r="W19" i="39"/>
  <c r="AA39" i="34"/>
  <c r="U27" i="36"/>
  <c r="AA43" i="34"/>
  <c r="AA36" i="39"/>
  <c r="U31" i="33"/>
  <c r="U46" i="34"/>
  <c r="U45" i="33"/>
  <c r="H28" i="21"/>
  <c r="S15" i="34"/>
  <c r="H31" i="21"/>
  <c r="W19" i="33"/>
  <c r="AC42" i="34"/>
  <c r="AA13" i="37"/>
  <c r="AB14" i="36"/>
  <c r="AZ380" i="3"/>
  <c r="AZ320" i="3"/>
  <c r="AC47" i="34"/>
  <c r="AB17" i="34"/>
  <c r="AB38" i="34"/>
  <c r="W41" i="21"/>
  <c r="F12" i="37"/>
  <c r="AZ501" i="3"/>
  <c r="AZ570" i="3"/>
  <c r="W35" i="39"/>
  <c r="BA541" i="3"/>
  <c r="BL540" i="3"/>
  <c r="BA540" i="3"/>
  <c r="AZ540" i="3" s="1"/>
  <c r="BA539" i="3"/>
  <c r="BA538" i="3"/>
  <c r="BA537" i="3"/>
  <c r="BL536" i="3"/>
  <c r="G536" i="3"/>
  <c r="BA535" i="3"/>
  <c r="AA19" i="37"/>
  <c r="AC19" i="21"/>
  <c r="W43" i="34"/>
  <c r="AA11" i="37"/>
  <c r="AC25" i="36"/>
  <c r="U43" i="39"/>
  <c r="S39" i="33"/>
  <c r="C25" i="39"/>
  <c r="U41" i="33"/>
  <c r="AB27" i="40"/>
  <c r="H76" i="43"/>
  <c r="U30" i="40"/>
  <c r="AC17" i="21"/>
  <c r="AB34" i="33"/>
  <c r="AB29" i="33"/>
  <c r="S36" i="37"/>
  <c r="AA32" i="40"/>
  <c r="AC33" i="34"/>
  <c r="AZ362" i="3"/>
  <c r="AZ379" i="3"/>
  <c r="AZ378" i="3"/>
  <c r="AZ360" i="3"/>
  <c r="H12" i="37"/>
  <c r="W30" i="34"/>
  <c r="S10" i="37"/>
  <c r="F39" i="37"/>
  <c r="BA587" i="3"/>
  <c r="U33" i="33"/>
  <c r="AB33" i="33"/>
  <c r="AC34" i="21"/>
  <c r="AB25" i="21"/>
  <c r="U11" i="37"/>
  <c r="AB45" i="34"/>
  <c r="U38" i="37"/>
  <c r="S24" i="35"/>
  <c r="AC11" i="33"/>
  <c r="S28" i="35"/>
  <c r="AA25" i="35"/>
  <c r="S27" i="36"/>
  <c r="S35" i="40"/>
  <c r="AZ361" i="3"/>
  <c r="AZ309" i="3"/>
  <c r="AZ542" i="3"/>
  <c r="S14" i="33"/>
  <c r="U33" i="35"/>
  <c r="W8" i="34"/>
  <c r="S35" i="34"/>
  <c r="W22" i="35"/>
  <c r="U10" i="34"/>
  <c r="AC37" i="21"/>
  <c r="AA13" i="21"/>
  <c r="S37" i="34"/>
  <c r="AB20" i="35"/>
  <c r="S32" i="37"/>
  <c r="S14" i="36"/>
  <c r="S35" i="33"/>
  <c r="AZ391" i="3"/>
  <c r="AZ390" i="3"/>
  <c r="J19" i="40"/>
  <c r="S10" i="35"/>
  <c r="AZ553" i="3"/>
  <c r="AC11" i="35"/>
  <c r="AC27" i="35"/>
  <c r="U9" i="39"/>
  <c r="AZ371" i="3"/>
  <c r="F19" i="40"/>
  <c r="AA19" i="40" s="1"/>
  <c r="J28" i="33"/>
  <c r="F30" i="21"/>
  <c r="W31" i="35"/>
  <c r="AB11" i="21"/>
  <c r="U31" i="34"/>
  <c r="AC30" i="35"/>
  <c r="S21" i="40"/>
  <c r="AB17" i="33"/>
  <c r="U10" i="37"/>
  <c r="C19" i="39"/>
  <c r="W13" i="33"/>
  <c r="U9" i="34"/>
  <c r="AB40" i="34"/>
  <c r="U13" i="39"/>
  <c r="H72" i="43"/>
  <c r="S11" i="34"/>
  <c r="AB41" i="34"/>
  <c r="AB20" i="36"/>
  <c r="AZ373" i="3"/>
  <c r="AZ325" i="3"/>
  <c r="H30" i="21"/>
  <c r="U30" i="21" s="1"/>
  <c r="W33" i="37"/>
  <c r="AC27" i="36"/>
  <c r="AC32" i="33"/>
  <c r="W8" i="21"/>
  <c r="AB28" i="33"/>
  <c r="AC25" i="39"/>
  <c r="AB10" i="35"/>
  <c r="S34" i="33"/>
  <c r="AZ338" i="3"/>
  <c r="AZ387" i="3"/>
  <c r="AZ329" i="3"/>
  <c r="AA41" i="39"/>
  <c r="H19" i="40"/>
  <c r="G407" i="3"/>
  <c r="BL410" i="3"/>
  <c r="G424" i="3"/>
  <c r="G467" i="3"/>
  <c r="BL473" i="3"/>
  <c r="G481" i="3"/>
  <c r="G318" i="3"/>
  <c r="G331" i="3"/>
  <c r="G343" i="3"/>
  <c r="G369" i="3"/>
  <c r="G232" i="3"/>
  <c r="G233" i="3"/>
  <c r="BL235" i="3"/>
  <c r="G246" i="3"/>
  <c r="G287" i="3"/>
  <c r="G288" i="3"/>
  <c r="BL114" i="3"/>
  <c r="G126" i="3"/>
  <c r="G138" i="3"/>
  <c r="G178" i="3"/>
  <c r="G191" i="3"/>
  <c r="G203" i="3"/>
  <c r="BA26" i="3"/>
  <c r="G39" i="3"/>
  <c r="G53" i="3"/>
  <c r="G92" i="3"/>
  <c r="BA96" i="3"/>
  <c r="G103" i="3"/>
  <c r="N65" i="71"/>
  <c r="BA585" i="3"/>
  <c r="J9" i="36"/>
  <c r="BA560" i="3"/>
  <c r="G542" i="3"/>
  <c r="G423" i="3"/>
  <c r="G451" i="3"/>
  <c r="BL454" i="3"/>
  <c r="BA456" i="3"/>
  <c r="G466" i="3"/>
  <c r="G218" i="3"/>
  <c r="G231" i="3"/>
  <c r="BL234" i="3"/>
  <c r="G244" i="3"/>
  <c r="G258" i="3"/>
  <c r="G271" i="3"/>
  <c r="BA279" i="3"/>
  <c r="BL280" i="3"/>
  <c r="G300" i="3"/>
  <c r="G151" i="3"/>
  <c r="G164" i="3"/>
  <c r="BA170" i="3"/>
  <c r="BA23" i="3"/>
  <c r="G37" i="3"/>
  <c r="G51" i="3"/>
  <c r="G65" i="3"/>
  <c r="G78" i="3"/>
  <c r="G90" i="3"/>
  <c r="G102" i="3"/>
  <c r="BL444" i="3"/>
  <c r="BA223" i="3"/>
  <c r="BL268" i="3"/>
  <c r="BL179" i="3"/>
  <c r="AZ179" i="3" s="1"/>
  <c r="BL181" i="3"/>
  <c r="BL54" i="3"/>
  <c r="BA85" i="3"/>
  <c r="AB33" i="71"/>
  <c r="G558" i="3"/>
  <c r="C18" i="9"/>
  <c r="D18" i="9" s="1"/>
  <c r="G404" i="3"/>
  <c r="BA427" i="3"/>
  <c r="BL438" i="3"/>
  <c r="BL439" i="3"/>
  <c r="BL452" i="3"/>
  <c r="BL453" i="3"/>
  <c r="G465" i="3"/>
  <c r="BL486" i="3"/>
  <c r="BL225" i="3"/>
  <c r="BL267" i="3"/>
  <c r="G150" i="3"/>
  <c r="G163" i="3"/>
  <c r="G64" i="3"/>
  <c r="BL66" i="3"/>
  <c r="BL67" i="3"/>
  <c r="G101" i="3"/>
  <c r="B66" i="43"/>
  <c r="AC10" i="43"/>
  <c r="G402" i="3"/>
  <c r="BA414" i="3"/>
  <c r="BA416" i="3"/>
  <c r="G418" i="3"/>
  <c r="BL426" i="3"/>
  <c r="BL441" i="3"/>
  <c r="G448" i="3"/>
  <c r="G460" i="3"/>
  <c r="G464" i="3"/>
  <c r="G477" i="3"/>
  <c r="G491" i="3"/>
  <c r="G327" i="3"/>
  <c r="G339" i="3"/>
  <c r="G283" i="3"/>
  <c r="G296" i="3"/>
  <c r="G148" i="3"/>
  <c r="BA168" i="3"/>
  <c r="AZ168" i="3" s="1"/>
  <c r="G186" i="3"/>
  <c r="G187" i="3"/>
  <c r="BA18" i="3"/>
  <c r="G22" i="3"/>
  <c r="BA28" i="3"/>
  <c r="G34" i="3"/>
  <c r="BL41" i="3"/>
  <c r="G48" i="3"/>
  <c r="G62" i="3"/>
  <c r="G63" i="3"/>
  <c r="BL73" i="3"/>
  <c r="U18" i="35"/>
  <c r="B55" i="43"/>
  <c r="B45" i="71"/>
  <c r="S45" i="71" s="1"/>
  <c r="G401" i="3"/>
  <c r="BL411" i="3"/>
  <c r="BL420" i="3"/>
  <c r="BA438" i="3"/>
  <c r="BA439" i="3"/>
  <c r="G446" i="3"/>
  <c r="G459" i="3"/>
  <c r="G490" i="3"/>
  <c r="G313" i="3"/>
  <c r="G364" i="3"/>
  <c r="G227" i="3"/>
  <c r="BA232" i="3"/>
  <c r="G254" i="3"/>
  <c r="BA259" i="3"/>
  <c r="BA260" i="3"/>
  <c r="G282" i="3"/>
  <c r="G294" i="3"/>
  <c r="BL298" i="3"/>
  <c r="G132" i="3"/>
  <c r="BL135" i="3"/>
  <c r="AZ135" i="3" s="1"/>
  <c r="G198" i="3"/>
  <c r="BL24" i="3"/>
  <c r="G61" i="3"/>
  <c r="BA91" i="3"/>
  <c r="K100" i="43"/>
  <c r="S21" i="33"/>
  <c r="S18" i="35"/>
  <c r="B52" i="71"/>
  <c r="B53" i="71" s="1"/>
  <c r="S53" i="71" s="1"/>
  <c r="BL478" i="3"/>
  <c r="BL269" i="3"/>
  <c r="BA37" i="3"/>
  <c r="BL38" i="3"/>
  <c r="E60" i="71"/>
  <c r="E61" i="71" s="1"/>
  <c r="U61" i="71" s="1"/>
  <c r="BA550" i="3"/>
  <c r="BL419" i="3"/>
  <c r="G430" i="3"/>
  <c r="BL470" i="3"/>
  <c r="BL477" i="3"/>
  <c r="BL330" i="3"/>
  <c r="AZ330" i="3" s="1"/>
  <c r="BL396" i="3"/>
  <c r="BL215" i="3"/>
  <c r="BA217" i="3"/>
  <c r="G265" i="3"/>
  <c r="G281" i="3"/>
  <c r="G59" i="3"/>
  <c r="C64" i="71"/>
  <c r="C63" i="71" s="1"/>
  <c r="X32" i="71"/>
  <c r="F44" i="71"/>
  <c r="F45" i="71" s="1"/>
  <c r="V45" i="71" s="1"/>
  <c r="E52" i="71"/>
  <c r="E53" i="71" s="1"/>
  <c r="U53" i="71" s="1"/>
  <c r="G562" i="3"/>
  <c r="BA419" i="3"/>
  <c r="G428" i="3"/>
  <c r="BL433" i="3"/>
  <c r="BL434" i="3"/>
  <c r="BA435" i="3"/>
  <c r="G456" i="3"/>
  <c r="BL467" i="3"/>
  <c r="BL469" i="3"/>
  <c r="BA474" i="3"/>
  <c r="G485" i="3"/>
  <c r="BL491" i="3"/>
  <c r="BL317" i="3"/>
  <c r="BA384" i="3"/>
  <c r="AZ384" i="3" s="1"/>
  <c r="BA396" i="3"/>
  <c r="AZ396" i="3" s="1"/>
  <c r="G224" i="3"/>
  <c r="G170" i="3"/>
  <c r="BL61" i="3"/>
  <c r="BL74" i="3"/>
  <c r="BA79" i="3"/>
  <c r="BL576" i="3"/>
  <c r="AZ576" i="3" s="1"/>
  <c r="BA398" i="3"/>
  <c r="AZ398" i="3" s="1"/>
  <c r="BA403" i="3"/>
  <c r="BL404" i="3"/>
  <c r="G410" i="3"/>
  <c r="G455" i="3"/>
  <c r="G472" i="3"/>
  <c r="BL490" i="3"/>
  <c r="BA353" i="3"/>
  <c r="BA358" i="3"/>
  <c r="AZ358" i="3" s="1"/>
  <c r="BL363" i="3"/>
  <c r="AZ363" i="3" s="1"/>
  <c r="BL375" i="3"/>
  <c r="AZ375" i="3" s="1"/>
  <c r="G384" i="3"/>
  <c r="G209" i="3"/>
  <c r="G223" i="3"/>
  <c r="BL246" i="3"/>
  <c r="G250" i="3"/>
  <c r="BL131" i="3"/>
  <c r="AZ131" i="3" s="1"/>
  <c r="BL145" i="3"/>
  <c r="AZ145" i="3" s="1"/>
  <c r="BA165" i="3"/>
  <c r="G194" i="3"/>
  <c r="G207" i="3"/>
  <c r="G18" i="3"/>
  <c r="BL20" i="3"/>
  <c r="G42" i="3"/>
  <c r="BL47" i="3"/>
  <c r="G56" i="3"/>
  <c r="BL59" i="3"/>
  <c r="G71" i="3"/>
  <c r="G94" i="3"/>
  <c r="G106" i="3"/>
  <c r="G107" i="3"/>
  <c r="K13" i="1"/>
  <c r="M13" i="1" s="1"/>
  <c r="O13" i="1" s="1"/>
  <c r="M108" i="43"/>
  <c r="BL534" i="3"/>
  <c r="BA533" i="3"/>
  <c r="AZ533" i="3" s="1"/>
  <c r="BL532" i="3"/>
  <c r="BA532" i="3"/>
  <c r="AZ532" i="3" s="1"/>
  <c r="BL531" i="3"/>
  <c r="AZ531" i="3" s="1"/>
  <c r="BA531" i="3"/>
  <c r="BA530" i="3"/>
  <c r="AZ530" i="3" s="1"/>
  <c r="BL529" i="3"/>
  <c r="BL528" i="3"/>
  <c r="AZ528" i="3" s="1"/>
  <c r="G528" i="3"/>
  <c r="BA527" i="3"/>
  <c r="AZ527" i="3" s="1"/>
  <c r="BA526" i="3"/>
  <c r="AZ526" i="3" s="1"/>
  <c r="BA524" i="3"/>
  <c r="AZ524" i="3" s="1"/>
  <c r="BA523" i="3"/>
  <c r="BA522" i="3"/>
  <c r="AZ522" i="3" s="1"/>
  <c r="BA521" i="3"/>
  <c r="BL520" i="3"/>
  <c r="AZ520" i="3" s="1"/>
  <c r="G520" i="3"/>
  <c r="BA519" i="3"/>
  <c r="AZ519" i="3" s="1"/>
  <c r="BL518" i="3"/>
  <c r="BA517" i="3"/>
  <c r="BL516" i="3"/>
  <c r="BA516" i="3"/>
  <c r="AZ516" i="3" s="1"/>
  <c r="BA515" i="3"/>
  <c r="BA514" i="3"/>
  <c r="AZ514" i="3" s="1"/>
  <c r="BA513" i="3"/>
  <c r="BL512" i="3"/>
  <c r="AZ512" i="3" s="1"/>
  <c r="G512" i="3"/>
  <c r="BA511" i="3"/>
  <c r="AZ511" i="3" s="1"/>
  <c r="BL510" i="3"/>
  <c r="BA510" i="3"/>
  <c r="BK5" i="3"/>
  <c r="BL508" i="3"/>
  <c r="BA508" i="3"/>
  <c r="BL507" i="3"/>
  <c r="AZ507" i="3" s="1"/>
  <c r="G507" i="3"/>
  <c r="BA506" i="3"/>
  <c r="AZ506" i="3" s="1"/>
  <c r="BA505" i="3"/>
  <c r="BL504" i="3"/>
  <c r="AZ504" i="3" s="1"/>
  <c r="BA503" i="3"/>
  <c r="AZ503" i="3" s="1"/>
  <c r="BL502" i="3"/>
  <c r="AZ502" i="3" s="1"/>
  <c r="BA502" i="3"/>
  <c r="BL500" i="3"/>
  <c r="BA500" i="3"/>
  <c r="G499" i="3"/>
  <c r="BR5" i="3"/>
  <c r="BD5" i="3"/>
  <c r="BL496" i="3"/>
  <c r="AZ496" i="3" s="1"/>
  <c r="G496" i="3"/>
  <c r="BA495" i="3"/>
  <c r="BL494" i="3"/>
  <c r="BA494" i="3"/>
  <c r="AZ494" i="3" s="1"/>
  <c r="G409" i="3"/>
  <c r="BA423" i="3"/>
  <c r="G426" i="3"/>
  <c r="BA434" i="3"/>
  <c r="G441" i="3"/>
  <c r="G471" i="3"/>
  <c r="BA352" i="3"/>
  <c r="AZ352" i="3" s="1"/>
  <c r="BL228" i="3"/>
  <c r="BL240" i="3"/>
  <c r="BL252" i="3"/>
  <c r="BA254" i="3"/>
  <c r="G261" i="3"/>
  <c r="G274" i="3"/>
  <c r="G277" i="3"/>
  <c r="BA285" i="3"/>
  <c r="BL293" i="3"/>
  <c r="BA294" i="3"/>
  <c r="G127" i="3"/>
  <c r="G140" i="3"/>
  <c r="BA172" i="3"/>
  <c r="AZ172" i="3" s="1"/>
  <c r="BL174" i="3"/>
  <c r="G180" i="3"/>
  <c r="BL183" i="3"/>
  <c r="AZ183" i="3" s="1"/>
  <c r="BA61" i="3"/>
  <c r="AZ61" i="3" s="1"/>
  <c r="G93" i="3"/>
  <c r="G105" i="3"/>
  <c r="C69" i="39"/>
  <c r="D67" i="39"/>
  <c r="D69" i="39" s="1"/>
  <c r="AZ534" i="3"/>
  <c r="AA28" i="34"/>
  <c r="S28" i="34"/>
  <c r="BF5" i="3"/>
  <c r="H14" i="40"/>
  <c r="W23" i="33"/>
  <c r="U25" i="33"/>
  <c r="AC26" i="35"/>
  <c r="AA12" i="33"/>
  <c r="AB37" i="37"/>
  <c r="W37" i="40"/>
  <c r="BM5" i="3"/>
  <c r="J24" i="36"/>
  <c r="H24" i="36"/>
  <c r="AC32" i="40"/>
  <c r="H23" i="35"/>
  <c r="J23" i="35"/>
  <c r="AZ541" i="3"/>
  <c r="AZ567" i="3"/>
  <c r="AB34" i="40"/>
  <c r="U34" i="40"/>
  <c r="AC10" i="33"/>
  <c r="W35" i="33"/>
  <c r="AC29" i="34"/>
  <c r="S20" i="35"/>
  <c r="AC13" i="34"/>
  <c r="AZ347" i="3"/>
  <c r="U43" i="33"/>
  <c r="BL505" i="3"/>
  <c r="AZ574" i="3"/>
  <c r="U19" i="34"/>
  <c r="S27" i="39"/>
  <c r="W42" i="33"/>
  <c r="S30" i="40"/>
  <c r="AC46" i="21"/>
  <c r="H28" i="34"/>
  <c r="BA509" i="3"/>
  <c r="AZ509" i="3" s="1"/>
  <c r="F44" i="21"/>
  <c r="U8" i="36"/>
  <c r="AB8" i="36"/>
  <c r="AC32" i="21"/>
  <c r="U24" i="35"/>
  <c r="U27" i="34"/>
  <c r="BS5" i="3"/>
  <c r="AB42" i="21"/>
  <c r="U41" i="39"/>
  <c r="AB9" i="35"/>
  <c r="S43" i="33"/>
  <c r="AC15" i="37"/>
  <c r="AB33" i="40"/>
  <c r="U33" i="37"/>
  <c r="BL521" i="3"/>
  <c r="U46" i="33"/>
  <c r="J44" i="21"/>
  <c r="W44" i="21" s="1"/>
  <c r="F23" i="35"/>
  <c r="W33" i="33"/>
  <c r="AA35" i="39"/>
  <c r="S35" i="39"/>
  <c r="E92" i="40"/>
  <c r="F92" i="40" s="1"/>
  <c r="G92" i="40" s="1"/>
  <c r="J23" i="40"/>
  <c r="AC23" i="40" s="1"/>
  <c r="H23" i="40"/>
  <c r="AB23" i="40" s="1"/>
  <c r="W29" i="36"/>
  <c r="AC14" i="40"/>
  <c r="U11" i="34"/>
  <c r="U32" i="21"/>
  <c r="AC14" i="34"/>
  <c r="S23" i="33"/>
  <c r="AC10" i="37"/>
  <c r="AC17" i="33"/>
  <c r="AB27" i="33"/>
  <c r="AA46" i="34"/>
  <c r="AC25" i="35"/>
  <c r="W43" i="21"/>
  <c r="U15" i="37"/>
  <c r="AC9" i="37"/>
  <c r="U22" i="36"/>
  <c r="AC35" i="21"/>
  <c r="BL513" i="3"/>
  <c r="AZ543" i="3"/>
  <c r="B74" i="43"/>
  <c r="C27" i="39"/>
  <c r="H9" i="33"/>
  <c r="AC39" i="33"/>
  <c r="W39" i="33"/>
  <c r="U12" i="35"/>
  <c r="AB12" i="35"/>
  <c r="W25" i="33"/>
  <c r="S28" i="21"/>
  <c r="W42" i="21"/>
  <c r="W14" i="33"/>
  <c r="AA39" i="39"/>
  <c r="W34" i="34"/>
  <c r="AC13" i="39"/>
  <c r="AC36" i="40"/>
  <c r="AC17" i="34"/>
  <c r="AZ318" i="3"/>
  <c r="S19" i="40"/>
  <c r="BL515" i="3"/>
  <c r="AZ515" i="3" s="1"/>
  <c r="AZ545" i="3"/>
  <c r="S44" i="33"/>
  <c r="AA38" i="34"/>
  <c r="AC8" i="35"/>
  <c r="S34" i="34"/>
  <c r="J9" i="33"/>
  <c r="H34" i="36"/>
  <c r="F34" i="36"/>
  <c r="W27" i="33"/>
  <c r="U21" i="39"/>
  <c r="AB29" i="21"/>
  <c r="S35" i="21"/>
  <c r="D120" i="9"/>
  <c r="AA36" i="35"/>
  <c r="AZ14" i="3"/>
  <c r="AZ355" i="3"/>
  <c r="W35" i="40"/>
  <c r="AZ495" i="3"/>
  <c r="AA44" i="34"/>
  <c r="S44" i="34"/>
  <c r="AC34" i="36"/>
  <c r="H45" i="39"/>
  <c r="J45" i="39"/>
  <c r="AB40" i="37"/>
  <c r="W10" i="36"/>
  <c r="AA22" i="36"/>
  <c r="AB37" i="40"/>
  <c r="S31" i="39"/>
  <c r="AZ369" i="3"/>
  <c r="AZ357" i="3"/>
  <c r="W16" i="35"/>
  <c r="BL497" i="3"/>
  <c r="BL523" i="3"/>
  <c r="BA497" i="3"/>
  <c r="AA14" i="34"/>
  <c r="J28" i="34"/>
  <c r="S10" i="36"/>
  <c r="BO5" i="3"/>
  <c r="AZ518" i="3"/>
  <c r="S33" i="37"/>
  <c r="AB36" i="33"/>
  <c r="U9" i="21"/>
  <c r="AA30" i="33"/>
  <c r="AB47" i="34"/>
  <c r="U19" i="37"/>
  <c r="AA45" i="39"/>
  <c r="AB13" i="40"/>
  <c r="C23" i="12"/>
  <c r="AB15" i="21"/>
  <c r="W38" i="37"/>
  <c r="AC26" i="36"/>
  <c r="S15" i="39"/>
  <c r="AZ382" i="3"/>
  <c r="AB37" i="34"/>
  <c r="AC32" i="36"/>
  <c r="U32" i="33"/>
  <c r="BL499" i="3"/>
  <c r="AZ499" i="3" s="1"/>
  <c r="BL525" i="3"/>
  <c r="AZ525" i="3" s="1"/>
  <c r="BL537" i="3"/>
  <c r="H11" i="36"/>
  <c r="U11" i="35"/>
  <c r="AC40" i="39"/>
  <c r="W40" i="39"/>
  <c r="U27" i="21"/>
  <c r="AC45" i="34"/>
  <c r="AB17" i="37"/>
  <c r="U19" i="39"/>
  <c r="W37" i="37"/>
  <c r="AZ364" i="3"/>
  <c r="AZ345" i="3"/>
  <c r="AZ536" i="3"/>
  <c r="W31" i="34"/>
  <c r="B70" i="43"/>
  <c r="AC41" i="33"/>
  <c r="AB34" i="34"/>
  <c r="U34" i="34"/>
  <c r="AC28" i="35"/>
  <c r="W28" i="35"/>
  <c r="F34" i="35"/>
  <c r="W31" i="37"/>
  <c r="AC31" i="37"/>
  <c r="E84" i="40"/>
  <c r="F84" i="40" s="1"/>
  <c r="G84" i="40" s="1"/>
  <c r="J15" i="40"/>
  <c r="W15" i="40" s="1"/>
  <c r="BL550" i="3"/>
  <c r="AZ550" i="3" s="1"/>
  <c r="BL548" i="3"/>
  <c r="AZ439" i="3"/>
  <c r="AB39" i="40"/>
  <c r="G582" i="3"/>
  <c r="G566" i="3"/>
  <c r="BL399" i="3"/>
  <c r="BA401" i="3"/>
  <c r="BA402" i="3"/>
  <c r="BA404" i="3"/>
  <c r="AZ404" i="3" s="1"/>
  <c r="G417" i="3"/>
  <c r="G425" i="3"/>
  <c r="BA432" i="3"/>
  <c r="BA433" i="3"/>
  <c r="AZ433" i="3" s="1"/>
  <c r="BL436" i="3"/>
  <c r="BA441" i="3"/>
  <c r="BA447" i="3"/>
  <c r="BL462" i="3"/>
  <c r="G473" i="3"/>
  <c r="G474" i="3"/>
  <c r="BA489" i="3"/>
  <c r="BA339" i="3"/>
  <c r="AZ339" i="3" s="1"/>
  <c r="G210" i="3"/>
  <c r="BL213" i="3"/>
  <c r="BL216" i="3"/>
  <c r="AZ216" i="3" s="1"/>
  <c r="BL229" i="3"/>
  <c r="BA231" i="3"/>
  <c r="BL142" i="3"/>
  <c r="BA24" i="3"/>
  <c r="AZ24" i="3" s="1"/>
  <c r="BA39" i="3"/>
  <c r="C56" i="71"/>
  <c r="D55" i="71"/>
  <c r="BA412" i="3"/>
  <c r="AZ434" i="3"/>
  <c r="BA436" i="3"/>
  <c r="BL458" i="3"/>
  <c r="BA466" i="3"/>
  <c r="AZ466" i="3" s="1"/>
  <c r="BL466" i="3"/>
  <c r="BA469" i="3"/>
  <c r="AZ469" i="3" s="1"/>
  <c r="BA482" i="3"/>
  <c r="BL354" i="3"/>
  <c r="BA210" i="3"/>
  <c r="BL292" i="3"/>
  <c r="BL400" i="3"/>
  <c r="G408" i="3"/>
  <c r="BA424" i="3"/>
  <c r="BL427" i="3"/>
  <c r="AZ427" i="3" s="1"/>
  <c r="BL429" i="3"/>
  <c r="BL431" i="3"/>
  <c r="BL440" i="3"/>
  <c r="BA462" i="3"/>
  <c r="BA481" i="3"/>
  <c r="BA483" i="3"/>
  <c r="BA348" i="3"/>
  <c r="AZ348" i="3" s="1"/>
  <c r="G358" i="3"/>
  <c r="BA374" i="3"/>
  <c r="AZ374" i="3" s="1"/>
  <c r="BA213" i="3"/>
  <c r="BA258" i="3"/>
  <c r="BL113" i="3"/>
  <c r="BL127" i="3"/>
  <c r="AZ127" i="3" s="1"/>
  <c r="BA137" i="3"/>
  <c r="BA142" i="3"/>
  <c r="BA184" i="3"/>
  <c r="AZ184" i="3" s="1"/>
  <c r="BL195" i="3"/>
  <c r="AZ195" i="3" s="1"/>
  <c r="BA197" i="3"/>
  <c r="BL19" i="3"/>
  <c r="BL34" i="3"/>
  <c r="BA54" i="3"/>
  <c r="BA70" i="3"/>
  <c r="BA95" i="3"/>
  <c r="F40" i="40"/>
  <c r="G556" i="3"/>
  <c r="BA400" i="3"/>
  <c r="BA415" i="3"/>
  <c r="BL425" i="3"/>
  <c r="BL428" i="3"/>
  <c r="BA429" i="3"/>
  <c r="BA431" i="3"/>
  <c r="BA440" i="3"/>
  <c r="BA452" i="3"/>
  <c r="AZ452" i="3" s="1"/>
  <c r="BA458" i="3"/>
  <c r="BA470" i="3"/>
  <c r="AZ470" i="3" s="1"/>
  <c r="BL474" i="3"/>
  <c r="BA477" i="3"/>
  <c r="AZ477" i="3" s="1"/>
  <c r="BL359" i="3"/>
  <c r="AZ359" i="3" s="1"/>
  <c r="BL210" i="3"/>
  <c r="BA212" i="3"/>
  <c r="BL273" i="3"/>
  <c r="BA275" i="3"/>
  <c r="BA291" i="3"/>
  <c r="BA128" i="3"/>
  <c r="AZ128" i="3" s="1"/>
  <c r="BL139" i="3"/>
  <c r="AZ139" i="3" s="1"/>
  <c r="BL141" i="3"/>
  <c r="BA196" i="3"/>
  <c r="AZ196" i="3" s="1"/>
  <c r="BA64" i="3"/>
  <c r="BA66" i="3"/>
  <c r="AZ66" i="3" s="1"/>
  <c r="BA68" i="3"/>
  <c r="BL91" i="3"/>
  <c r="BL93" i="3"/>
  <c r="BL102" i="3"/>
  <c r="BA104" i="3"/>
  <c r="G405" i="3"/>
  <c r="BL416" i="3"/>
  <c r="BA418" i="3"/>
  <c r="BL418" i="3"/>
  <c r="BL424" i="3"/>
  <c r="BA428" i="3"/>
  <c r="G437" i="3"/>
  <c r="BL448" i="3"/>
  <c r="BA451" i="3"/>
  <c r="G458" i="3"/>
  <c r="BA476" i="3"/>
  <c r="G484" i="3"/>
  <c r="BA323" i="3"/>
  <c r="AZ323" i="3" s="1"/>
  <c r="BA333" i="3"/>
  <c r="BA385" i="3"/>
  <c r="AZ385" i="3" s="1"/>
  <c r="BA386" i="3"/>
  <c r="AZ386" i="3" s="1"/>
  <c r="BL223" i="3"/>
  <c r="AZ223" i="3" s="1"/>
  <c r="G251" i="3"/>
  <c r="BA261" i="3"/>
  <c r="BL154" i="3"/>
  <c r="BL205" i="3"/>
  <c r="G570" i="3"/>
  <c r="G551" i="3"/>
  <c r="A15" i="62"/>
  <c r="B61" i="72" s="1"/>
  <c r="BL413" i="3"/>
  <c r="BL414" i="3"/>
  <c r="AZ414" i="3" s="1"/>
  <c r="BL415" i="3"/>
  <c r="BL422" i="3"/>
  <c r="BL423" i="3"/>
  <c r="AZ423" i="3" s="1"/>
  <c r="BA473" i="3"/>
  <c r="AZ473" i="3" s="1"/>
  <c r="BL489" i="3"/>
  <c r="BA239" i="3"/>
  <c r="BL165" i="3"/>
  <c r="AZ165" i="3" s="1"/>
  <c r="BA194" i="3"/>
  <c r="BA102" i="3"/>
  <c r="AZ102" i="3" s="1"/>
  <c r="BL405" i="3"/>
  <c r="BL407" i="3"/>
  <c r="BA409" i="3"/>
  <c r="BL409" i="3"/>
  <c r="BL412" i="3"/>
  <c r="BA426" i="3"/>
  <c r="AZ426" i="3" s="1"/>
  <c r="BA430" i="3"/>
  <c r="G436" i="3"/>
  <c r="BL445" i="3"/>
  <c r="BA448" i="3"/>
  <c r="BL449" i="3"/>
  <c r="BA457" i="3"/>
  <c r="BA490" i="3"/>
  <c r="AZ490" i="3" s="1"/>
  <c r="BA307" i="3"/>
  <c r="AZ307" i="3" s="1"/>
  <c r="BA317" i="3"/>
  <c r="BL265" i="3"/>
  <c r="S40" i="33"/>
  <c r="H12" i="33"/>
  <c r="F44" i="39"/>
  <c r="BA399" i="3"/>
  <c r="BL406" i="3"/>
  <c r="BA407" i="3"/>
  <c r="BA410" i="3"/>
  <c r="AZ410" i="3" s="1"/>
  <c r="BL417" i="3"/>
  <c r="BA420" i="3"/>
  <c r="AZ420" i="3" s="1"/>
  <c r="G435" i="3"/>
  <c r="BL437" i="3"/>
  <c r="BA449" i="3"/>
  <c r="BL465" i="3"/>
  <c r="BA479" i="3"/>
  <c r="BL484" i="3"/>
  <c r="BA209" i="3"/>
  <c r="G248" i="3"/>
  <c r="BA287" i="3"/>
  <c r="BL290" i="3"/>
  <c r="BL297" i="3"/>
  <c r="BL123" i="3"/>
  <c r="AZ123" i="3" s="1"/>
  <c r="BA124" i="3"/>
  <c r="AZ124" i="3" s="1"/>
  <c r="BA126" i="3"/>
  <c r="BL149" i="3"/>
  <c r="BL189" i="3"/>
  <c r="BA31" i="3"/>
  <c r="O63" i="71"/>
  <c r="D63" i="71"/>
  <c r="O62" i="71"/>
  <c r="BL587" i="3"/>
  <c r="AZ587" i="3" s="1"/>
  <c r="BL585" i="3"/>
  <c r="BL16" i="3"/>
  <c r="AZ16" i="3" s="1"/>
  <c r="G400" i="3"/>
  <c r="BA405" i="3"/>
  <c r="BA411" i="3"/>
  <c r="AZ411" i="3" s="1"/>
  <c r="BA417" i="3"/>
  <c r="BA421" i="3"/>
  <c r="G431" i="3"/>
  <c r="G454" i="3"/>
  <c r="BL457" i="3"/>
  <c r="BL459" i="3"/>
  <c r="BA460" i="3"/>
  <c r="AZ460" i="3" s="1"/>
  <c r="BA461" i="3"/>
  <c r="AZ461" i="3" s="1"/>
  <c r="BL218" i="3"/>
  <c r="BL233" i="3"/>
  <c r="BA253" i="3"/>
  <c r="BA299" i="3"/>
  <c r="BA136" i="3"/>
  <c r="AZ136" i="3" s="1"/>
  <c r="BL89" i="3"/>
  <c r="BL584" i="3"/>
  <c r="AZ584" i="3" s="1"/>
  <c r="BA583" i="3"/>
  <c r="AZ583" i="3" s="1"/>
  <c r="BA582" i="3"/>
  <c r="BA581" i="3"/>
  <c r="AZ581" i="3" s="1"/>
  <c r="BL580" i="3"/>
  <c r="BA580" i="3"/>
  <c r="BL579" i="3"/>
  <c r="G579" i="3"/>
  <c r="BA578" i="3"/>
  <c r="AZ578" i="3" s="1"/>
  <c r="BA565" i="3"/>
  <c r="BL564" i="3"/>
  <c r="BA564" i="3"/>
  <c r="BL563" i="3"/>
  <c r="AZ563" i="3" s="1"/>
  <c r="AC5" i="3"/>
  <c r="BL560" i="3"/>
  <c r="G560" i="3"/>
  <c r="BL558" i="3"/>
  <c r="BA558" i="3"/>
  <c r="BL557" i="3"/>
  <c r="BL556" i="3"/>
  <c r="BA556" i="3"/>
  <c r="G399" i="3"/>
  <c r="BL403" i="3"/>
  <c r="BA406" i="3"/>
  <c r="BL408" i="3"/>
  <c r="BA413" i="3"/>
  <c r="BA422" i="3"/>
  <c r="BL435" i="3"/>
  <c r="AZ435" i="3" s="1"/>
  <c r="BA443" i="3"/>
  <c r="BA444" i="3"/>
  <c r="AZ444" i="3" s="1"/>
  <c r="BL456" i="3"/>
  <c r="AZ456" i="3" s="1"/>
  <c r="BA465" i="3"/>
  <c r="AZ465" i="3" s="1"/>
  <c r="BL471" i="3"/>
  <c r="BL482" i="3"/>
  <c r="BA486" i="3"/>
  <c r="AZ486" i="3" s="1"/>
  <c r="G362" i="3"/>
  <c r="BL365" i="3"/>
  <c r="AZ365" i="3" s="1"/>
  <c r="G213" i="3"/>
  <c r="BA215" i="3"/>
  <c r="AZ215" i="3" s="1"/>
  <c r="BL217" i="3"/>
  <c r="AZ217" i="3" s="1"/>
  <c r="BA219" i="3"/>
  <c r="G228" i="3"/>
  <c r="G229" i="3"/>
  <c r="BA266" i="3"/>
  <c r="AZ266" i="3" s="1"/>
  <c r="BA277" i="3"/>
  <c r="BL294" i="3"/>
  <c r="AZ294" i="3" s="1"/>
  <c r="BL296" i="3"/>
  <c r="BA116" i="3"/>
  <c r="AZ116" i="3" s="1"/>
  <c r="BA134" i="3"/>
  <c r="G184" i="3"/>
  <c r="G21" i="3"/>
  <c r="BA30" i="3"/>
  <c r="BA58" i="3"/>
  <c r="BL87" i="3"/>
  <c r="BL96" i="3"/>
  <c r="AZ96" i="3" s="1"/>
  <c r="BL110" i="3"/>
  <c r="F3" i="35"/>
  <c r="BA586" i="3"/>
  <c r="G398" i="3"/>
  <c r="BL401" i="3"/>
  <c r="BL402" i="3"/>
  <c r="AZ402" i="3" s="1"/>
  <c r="BA408" i="3"/>
  <c r="BL421" i="3"/>
  <c r="BA425" i="3"/>
  <c r="G427" i="3"/>
  <c r="G429" i="3"/>
  <c r="BL432" i="3"/>
  <c r="BA437" i="3"/>
  <c r="AZ437" i="3" s="1"/>
  <c r="G452" i="3"/>
  <c r="BA475" i="3"/>
  <c r="BL492" i="3"/>
  <c r="BL312" i="3"/>
  <c r="AZ312" i="3" s="1"/>
  <c r="G212" i="3"/>
  <c r="BA218" i="3"/>
  <c r="BA229" i="3"/>
  <c r="AZ229" i="3" s="1"/>
  <c r="BA233" i="3"/>
  <c r="BA241" i="3"/>
  <c r="BA250" i="3"/>
  <c r="BL260" i="3"/>
  <c r="AZ260" i="3" s="1"/>
  <c r="BL186" i="3"/>
  <c r="W21" i="37"/>
  <c r="B86" i="43"/>
  <c r="C71" i="71"/>
  <c r="D71" i="71" s="1"/>
  <c r="E64" i="71"/>
  <c r="AB30" i="71"/>
  <c r="AA31" i="71"/>
  <c r="E40" i="71"/>
  <c r="E41" i="71" s="1"/>
  <c r="U41" i="71" s="1"/>
  <c r="B56" i="71"/>
  <c r="B57" i="71" s="1"/>
  <c r="S57" i="71" s="1"/>
  <c r="AH10" i="43"/>
  <c r="X18" i="71"/>
  <c r="X10" i="71"/>
  <c r="G478" i="3"/>
  <c r="BA478" i="3"/>
  <c r="AZ478" i="3" s="1"/>
  <c r="G480" i="3"/>
  <c r="BL483" i="3"/>
  <c r="BA485" i="3"/>
  <c r="BA488" i="3"/>
  <c r="BA332" i="3"/>
  <c r="BL368" i="3"/>
  <c r="G378" i="3"/>
  <c r="BL381" i="3"/>
  <c r="AZ381" i="3" s="1"/>
  <c r="G392" i="3"/>
  <c r="BL395" i="3"/>
  <c r="BL397" i="3"/>
  <c r="BL208" i="3"/>
  <c r="BL209" i="3"/>
  <c r="BL211" i="3"/>
  <c r="G221" i="3"/>
  <c r="BL226" i="3"/>
  <c r="BL227" i="3"/>
  <c r="G240" i="3"/>
  <c r="G241" i="3"/>
  <c r="BA251" i="3"/>
  <c r="BL255" i="3"/>
  <c r="G259" i="3"/>
  <c r="G260" i="3"/>
  <c r="BL264" i="3"/>
  <c r="BL266" i="3"/>
  <c r="BA121" i="3"/>
  <c r="BL137" i="3"/>
  <c r="G156" i="3"/>
  <c r="BL161" i="3"/>
  <c r="G174" i="3"/>
  <c r="G176" i="3"/>
  <c r="G199" i="3"/>
  <c r="BL203" i="3"/>
  <c r="AZ203" i="3" s="1"/>
  <c r="BL40" i="3"/>
  <c r="BA46" i="3"/>
  <c r="BL65" i="3"/>
  <c r="BL69" i="3"/>
  <c r="BA76" i="3"/>
  <c r="G82" i="3"/>
  <c r="BA93" i="3"/>
  <c r="BA110" i="3"/>
  <c r="N100" i="43"/>
  <c r="S21" i="21"/>
  <c r="E72" i="71"/>
  <c r="E71" i="71" s="1"/>
  <c r="U65" i="71"/>
  <c r="C32" i="71"/>
  <c r="F40" i="71"/>
  <c r="F41" i="71" s="1"/>
  <c r="V41" i="71" s="1"/>
  <c r="F60" i="71"/>
  <c r="F61" i="71" s="1"/>
  <c r="V61" i="71" s="1"/>
  <c r="S69" i="71"/>
  <c r="AB10" i="43"/>
  <c r="P74" i="67"/>
  <c r="BL314" i="3"/>
  <c r="AZ314" i="3" s="1"/>
  <c r="BL328" i="3"/>
  <c r="AZ328" i="3" s="1"/>
  <c r="BL367" i="3"/>
  <c r="BA228" i="3"/>
  <c r="AZ228" i="3" s="1"/>
  <c r="BL243" i="3"/>
  <c r="BA247" i="3"/>
  <c r="BA265" i="3"/>
  <c r="AZ265" i="3" s="1"/>
  <c r="BL286" i="3"/>
  <c r="BA129" i="3"/>
  <c r="BL138" i="3"/>
  <c r="BA50" i="3"/>
  <c r="BL63" i="3"/>
  <c r="BA67" i="3"/>
  <c r="AZ67" i="3" s="1"/>
  <c r="BA69" i="3"/>
  <c r="AZ69" i="3" s="1"/>
  <c r="BL86" i="3"/>
  <c r="BL88" i="3"/>
  <c r="BA89" i="3"/>
  <c r="BA107" i="3"/>
  <c r="BA108" i="3"/>
  <c r="AZ108" i="3" s="1"/>
  <c r="BL109" i="3"/>
  <c r="D64" i="71"/>
  <c r="AI10" i="43"/>
  <c r="G442" i="3"/>
  <c r="BA445" i="3"/>
  <c r="BA453" i="3"/>
  <c r="AZ453" i="3" s="1"/>
  <c r="G475" i="3"/>
  <c r="BL481" i="3"/>
  <c r="BA492" i="3"/>
  <c r="G307" i="3"/>
  <c r="BA316" i="3"/>
  <c r="G347" i="3"/>
  <c r="BL393" i="3"/>
  <c r="AZ393" i="3" s="1"/>
  <c r="BA208" i="3"/>
  <c r="G219" i="3"/>
  <c r="BL224" i="3"/>
  <c r="BA227" i="3"/>
  <c r="G238" i="3"/>
  <c r="BA245" i="3"/>
  <c r="G256" i="3"/>
  <c r="BL261" i="3"/>
  <c r="BA269" i="3"/>
  <c r="AZ269" i="3" s="1"/>
  <c r="BL271" i="3"/>
  <c r="G279" i="3"/>
  <c r="BL285" i="3"/>
  <c r="AZ285" i="3" s="1"/>
  <c r="G302" i="3"/>
  <c r="BA302" i="3"/>
  <c r="G154" i="3"/>
  <c r="BL162" i="3"/>
  <c r="G171" i="3"/>
  <c r="BA182" i="3"/>
  <c r="G196" i="3"/>
  <c r="G28" i="3"/>
  <c r="G29" i="3"/>
  <c r="BA40" i="3"/>
  <c r="BL64" i="3"/>
  <c r="G79" i="3"/>
  <c r="G80" i="3"/>
  <c r="BL85" i="3"/>
  <c r="AZ85" i="3" s="1"/>
  <c r="BA88" i="3"/>
  <c r="BA92" i="3"/>
  <c r="G99" i="3"/>
  <c r="BL103" i="3"/>
  <c r="BL104" i="3"/>
  <c r="BA109" i="3"/>
  <c r="O64" i="71"/>
  <c r="E68" i="71"/>
  <c r="E67" i="71" s="1"/>
  <c r="F48" i="71"/>
  <c r="F49" i="71" s="1"/>
  <c r="V49" i="71" s="1"/>
  <c r="S65" i="71"/>
  <c r="AE10" i="43"/>
  <c r="AA30" i="71"/>
  <c r="X33" i="71"/>
  <c r="BA224" i="3"/>
  <c r="BL258" i="3"/>
  <c r="BL259" i="3"/>
  <c r="AZ259" i="3" s="1"/>
  <c r="G278" i="3"/>
  <c r="BA283" i="3"/>
  <c r="BA284" i="3"/>
  <c r="BA286" i="3"/>
  <c r="BA301" i="3"/>
  <c r="BL122" i="3"/>
  <c r="BL129" i="3"/>
  <c r="G152" i="3"/>
  <c r="BA153" i="3"/>
  <c r="BA157" i="3"/>
  <c r="BA158" i="3"/>
  <c r="BA164" i="3"/>
  <c r="AZ164" i="3" s="1"/>
  <c r="G168" i="3"/>
  <c r="BL199" i="3"/>
  <c r="AZ199" i="3" s="1"/>
  <c r="BL32" i="3"/>
  <c r="BA34" i="3"/>
  <c r="BA35" i="3"/>
  <c r="BA36" i="3"/>
  <c r="BA42" i="3"/>
  <c r="BA48" i="3"/>
  <c r="G54" i="3"/>
  <c r="G55" i="3"/>
  <c r="G73" i="3"/>
  <c r="G74" i="3"/>
  <c r="BA83" i="3"/>
  <c r="BA84" i="3"/>
  <c r="G95" i="3"/>
  <c r="G96" i="3"/>
  <c r="BL100" i="3"/>
  <c r="BL105" i="3"/>
  <c r="AB18" i="36"/>
  <c r="AB32" i="71"/>
  <c r="BA388" i="3"/>
  <c r="AZ388" i="3" s="1"/>
  <c r="BA392" i="3"/>
  <c r="AZ392" i="3" s="1"/>
  <c r="G214" i="3"/>
  <c r="G215" i="3"/>
  <c r="BL219" i="3"/>
  <c r="AZ219" i="3" s="1"/>
  <c r="BA240" i="3"/>
  <c r="AZ240" i="3" s="1"/>
  <c r="BA248" i="3"/>
  <c r="G252" i="3"/>
  <c r="G253" i="3"/>
  <c r="G273" i="3"/>
  <c r="BA282" i="3"/>
  <c r="BL115" i="3"/>
  <c r="AZ115" i="3" s="1"/>
  <c r="BL126" i="3"/>
  <c r="BL130" i="3"/>
  <c r="G142" i="3"/>
  <c r="G143" i="3"/>
  <c r="BL155" i="3"/>
  <c r="AZ155" i="3" s="1"/>
  <c r="BA156" i="3"/>
  <c r="AZ156" i="3" s="1"/>
  <c r="BL173" i="3"/>
  <c r="BA177" i="3"/>
  <c r="BL197" i="3"/>
  <c r="G20" i="3"/>
  <c r="G23" i="3"/>
  <c r="BL29" i="3"/>
  <c r="BA33" i="3"/>
  <c r="BA60" i="3"/>
  <c r="BL60" i="3"/>
  <c r="BL80" i="3"/>
  <c r="BL101" i="3"/>
  <c r="E59" i="43"/>
  <c r="B57" i="43" s="1"/>
  <c r="C84" i="71"/>
  <c r="D65" i="71"/>
  <c r="E44" i="71"/>
  <c r="E45" i="71" s="1"/>
  <c r="U45" i="71" s="1"/>
  <c r="F56" i="71"/>
  <c r="F57" i="71" s="1"/>
  <c r="V57" i="71" s="1"/>
  <c r="BA280" i="3"/>
  <c r="AZ280" i="3" s="1"/>
  <c r="BA289" i="3"/>
  <c r="BA114" i="3"/>
  <c r="AZ114" i="3" s="1"/>
  <c r="BL118" i="3"/>
  <c r="BL125" i="3"/>
  <c r="BL157" i="3"/>
  <c r="BL191" i="3"/>
  <c r="AZ191" i="3" s="1"/>
  <c r="BL198" i="3"/>
  <c r="G19" i="3"/>
  <c r="BL42" i="3"/>
  <c r="G47" i="3"/>
  <c r="G50" i="3"/>
  <c r="BL56" i="3"/>
  <c r="BA63" i="3"/>
  <c r="BA65" i="3"/>
  <c r="G72" i="3"/>
  <c r="BL76" i="3"/>
  <c r="AZ76" i="3" s="1"/>
  <c r="BL78" i="3"/>
  <c r="BL79" i="3"/>
  <c r="AZ79" i="3" s="1"/>
  <c r="BL81" i="3"/>
  <c r="BL83" i="3"/>
  <c r="G91" i="3"/>
  <c r="G111" i="3"/>
  <c r="C80" i="71"/>
  <c r="D80" i="71" s="1"/>
  <c r="O65" i="71"/>
  <c r="U21" i="34"/>
  <c r="B60" i="71"/>
  <c r="B61" i="71" s="1"/>
  <c r="S61" i="71" s="1"/>
  <c r="F72" i="71"/>
  <c r="F71" i="71" s="1"/>
  <c r="B76" i="71"/>
  <c r="B75" i="71" s="1"/>
  <c r="BL253" i="3"/>
  <c r="BL254" i="3"/>
  <c r="AZ254" i="3" s="1"/>
  <c r="BA256" i="3"/>
  <c r="G264" i="3"/>
  <c r="G267" i="3"/>
  <c r="G268" i="3"/>
  <c r="G269" i="3"/>
  <c r="BL274" i="3"/>
  <c r="BA288" i="3"/>
  <c r="G289" i="3"/>
  <c r="BL295" i="3"/>
  <c r="BA296" i="3"/>
  <c r="AZ296" i="3" s="1"/>
  <c r="G119" i="3"/>
  <c r="G139" i="3"/>
  <c r="BA154" i="3"/>
  <c r="AZ154" i="3" s="1"/>
  <c r="G162" i="3"/>
  <c r="BL169" i="3"/>
  <c r="BL171" i="3"/>
  <c r="AZ171" i="3" s="1"/>
  <c r="BL182" i="3"/>
  <c r="BL185" i="3"/>
  <c r="BL187" i="3"/>
  <c r="AZ187" i="3" s="1"/>
  <c r="BL190" i="3"/>
  <c r="G204" i="3"/>
  <c r="G205" i="3"/>
  <c r="G41" i="3"/>
  <c r="BA41" i="3"/>
  <c r="AZ41" i="3" s="1"/>
  <c r="G43" i="3"/>
  <c r="BL51" i="3"/>
  <c r="BA55" i="3"/>
  <c r="BA78" i="3"/>
  <c r="G89" i="3"/>
  <c r="BA100" i="3"/>
  <c r="E76" i="71"/>
  <c r="E75" i="71" s="1"/>
  <c r="B28" i="71"/>
  <c r="B29" i="71" s="1"/>
  <c r="S29" i="71" s="1"/>
  <c r="F33" i="71"/>
  <c r="V33" i="71" s="1"/>
  <c r="AA32" i="71"/>
  <c r="F52" i="71"/>
  <c r="F53" i="71" s="1"/>
  <c r="V53" i="71" s="1"/>
  <c r="F76" i="71"/>
  <c r="F75" i="71" s="1"/>
  <c r="BA59" i="3"/>
  <c r="AZ59" i="3" s="1"/>
  <c r="BA73" i="3"/>
  <c r="AZ73" i="3" s="1"/>
  <c r="BL75" i="3"/>
  <c r="BA82" i="3"/>
  <c r="BL98" i="3"/>
  <c r="G11" i="1"/>
  <c r="BL455" i="3"/>
  <c r="BA464" i="3"/>
  <c r="BL464" i="3"/>
  <c r="BA468" i="3"/>
  <c r="G482" i="3"/>
  <c r="G483" i="3"/>
  <c r="BL485" i="3"/>
  <c r="G311" i="3"/>
  <c r="BL333" i="3"/>
  <c r="BA368" i="3"/>
  <c r="G380" i="3"/>
  <c r="BL383" i="3"/>
  <c r="AZ383" i="3" s="1"/>
  <c r="BA214" i="3"/>
  <c r="AZ214" i="3" s="1"/>
  <c r="BA216" i="3"/>
  <c r="BA234" i="3"/>
  <c r="AZ234" i="3" s="1"/>
  <c r="BL236" i="3"/>
  <c r="BL241" i="3"/>
  <c r="G243" i="3"/>
  <c r="BL248" i="3"/>
  <c r="BL250" i="3"/>
  <c r="G262" i="3"/>
  <c r="BL270" i="3"/>
  <c r="BL272" i="3"/>
  <c r="G134" i="3"/>
  <c r="BL143" i="3"/>
  <c r="AZ143" i="3" s="1"/>
  <c r="BL147" i="3"/>
  <c r="AZ147" i="3" s="1"/>
  <c r="BA150" i="3"/>
  <c r="G159" i="3"/>
  <c r="BA185" i="3"/>
  <c r="AZ185" i="3" s="1"/>
  <c r="BA186" i="3"/>
  <c r="BA189" i="3"/>
  <c r="BA192" i="3"/>
  <c r="AZ192" i="3" s="1"/>
  <c r="G202" i="3"/>
  <c r="G36" i="3"/>
  <c r="BL68" i="3"/>
  <c r="BA72" i="3"/>
  <c r="BA75" i="3"/>
  <c r="G85" i="3"/>
  <c r="G86" i="3"/>
  <c r="BA98" i="3"/>
  <c r="G104" i="3"/>
  <c r="P27" i="6"/>
  <c r="B48" i="71"/>
  <c r="B49" i="71" s="1"/>
  <c r="S49" i="71" s="1"/>
  <c r="BA13" i="3"/>
  <c r="AZ13" i="3" s="1"/>
  <c r="S8" i="40"/>
  <c r="AA25" i="40"/>
  <c r="U25" i="40"/>
  <c r="W25" i="40"/>
  <c r="AA23" i="40"/>
  <c r="AC21" i="40"/>
  <c r="U21" i="40"/>
  <c r="AB17" i="40"/>
  <c r="AC17" i="40"/>
  <c r="S17" i="40"/>
  <c r="U15" i="40"/>
  <c r="AA15" i="40"/>
  <c r="W34" i="40"/>
  <c r="U9" i="40"/>
  <c r="AC9" i="40"/>
  <c r="AA9" i="40"/>
  <c r="H75" i="43"/>
  <c r="H55" i="43"/>
  <c r="H51" i="43"/>
  <c r="H54" i="43"/>
  <c r="H49" i="43"/>
  <c r="H60" i="43"/>
  <c r="H67" i="43"/>
  <c r="H64" i="43"/>
  <c r="P61" i="15"/>
  <c r="C94" i="9"/>
  <c r="C92" i="9"/>
  <c r="F28" i="15"/>
  <c r="C28" i="15" s="1"/>
  <c r="M18" i="15"/>
  <c r="F32" i="15"/>
  <c r="F60" i="15" s="1"/>
  <c r="F30" i="69"/>
  <c r="F48" i="69" s="1"/>
  <c r="D68" i="9"/>
  <c r="M18" i="67"/>
  <c r="F54" i="9"/>
  <c r="F32" i="67"/>
  <c r="F60" i="67" s="1"/>
  <c r="F52" i="9"/>
  <c r="F31" i="12"/>
  <c r="C31" i="12" s="1"/>
  <c r="F30" i="11"/>
  <c r="F30" i="68"/>
  <c r="C48" i="68" s="1"/>
  <c r="C40" i="69"/>
  <c r="C21" i="69"/>
  <c r="C5" i="11"/>
  <c r="BA15" i="3"/>
  <c r="BB5" i="3"/>
  <c r="AQ13" i="1"/>
  <c r="T10" i="1"/>
  <c r="BL15" i="3"/>
  <c r="C36" i="69"/>
  <c r="AR11" i="1"/>
  <c r="T9" i="1"/>
  <c r="AQ9" i="1"/>
  <c r="L27" i="6"/>
  <c r="O9" i="1"/>
  <c r="P9" i="1" s="1"/>
  <c r="M7" i="1"/>
  <c r="O7" i="1" s="1"/>
  <c r="P7" i="1" s="1"/>
  <c r="T7" i="1"/>
  <c r="AQ8" i="1"/>
  <c r="AR8" i="1"/>
  <c r="D9" i="69"/>
  <c r="C9" i="69" s="1"/>
  <c r="P13" i="1"/>
  <c r="T11" i="1"/>
  <c r="D9" i="11"/>
  <c r="C9" i="11" s="1"/>
  <c r="T13" i="1"/>
  <c r="AR12" i="1"/>
  <c r="F101" i="43"/>
  <c r="F109" i="43" s="1"/>
  <c r="AG11" i="43"/>
  <c r="AG13" i="43" s="1"/>
  <c r="N101" i="43"/>
  <c r="AJ11" i="43"/>
  <c r="AJ13" i="43" s="1"/>
  <c r="AE11" i="43"/>
  <c r="AE13" i="43" s="1"/>
  <c r="E22" i="43"/>
  <c r="AH11" i="43"/>
  <c r="AH13" i="43" s="1"/>
  <c r="AC11" i="43"/>
  <c r="AC13" i="43" s="1"/>
  <c r="G101" i="43"/>
  <c r="H22" i="43"/>
  <c r="AF11" i="43"/>
  <c r="AA11" i="43"/>
  <c r="AA13" i="43" s="1"/>
  <c r="C101" i="43"/>
  <c r="L101" i="43"/>
  <c r="AD11" i="43"/>
  <c r="H101" i="43"/>
  <c r="AB11" i="43"/>
  <c r="AB13" i="43" s="1"/>
  <c r="Y11" i="43"/>
  <c r="Y13" i="43" s="1"/>
  <c r="D101" i="43"/>
  <c r="J101" i="43"/>
  <c r="M101" i="43"/>
  <c r="Z11" i="43"/>
  <c r="J22" i="43"/>
  <c r="Z7" i="43"/>
  <c r="I101" i="43"/>
  <c r="F22" i="43"/>
  <c r="N104" i="46"/>
  <c r="B113" i="43"/>
  <c r="E101" i="43"/>
  <c r="AI11" i="43"/>
  <c r="AI13" i="43" s="1"/>
  <c r="K101" i="43"/>
  <c r="K107" i="43" s="1"/>
  <c r="G22" i="43"/>
  <c r="H110" i="9"/>
  <c r="D18" i="53" s="1"/>
  <c r="B35" i="72" s="1"/>
  <c r="C77" i="9"/>
  <c r="C74" i="9" s="1"/>
  <c r="C20" i="43"/>
  <c r="S22" i="31"/>
  <c r="R22" i="31" s="1"/>
  <c r="V17" i="71"/>
  <c r="E12" i="71"/>
  <c r="E11" i="71" s="1"/>
  <c r="E10" i="71" s="1"/>
  <c r="E9" i="71" s="1"/>
  <c r="V13" i="71"/>
  <c r="U23" i="21"/>
  <c r="W45" i="33"/>
  <c r="AC45" i="33"/>
  <c r="AC11" i="37"/>
  <c r="AC32" i="39"/>
  <c r="W32" i="39"/>
  <c r="AA32" i="21"/>
  <c r="AC27" i="40"/>
  <c r="W27" i="40"/>
  <c r="U35" i="37"/>
  <c r="AB35" i="37"/>
  <c r="AC11" i="34"/>
  <c r="W11" i="34"/>
  <c r="H14" i="74"/>
  <c r="B7" i="74" s="1"/>
  <c r="D16" i="53"/>
  <c r="S23" i="37"/>
  <c r="AA23" i="37"/>
  <c r="E41" i="43"/>
  <c r="C41" i="43" s="1"/>
  <c r="D10" i="52"/>
  <c r="O12" i="1"/>
  <c r="P12" i="1" s="1"/>
  <c r="AC20" i="36"/>
  <c r="W20" i="36"/>
  <c r="AR7" i="1"/>
  <c r="S13" i="33"/>
  <c r="AA13" i="33"/>
  <c r="AA27" i="21"/>
  <c r="S27" i="21"/>
  <c r="U19" i="33"/>
  <c r="AC23" i="37"/>
  <c r="W11" i="39"/>
  <c r="AC11" i="39"/>
  <c r="J12" i="36"/>
  <c r="H12" i="36"/>
  <c r="F12" i="36"/>
  <c r="S31" i="36"/>
  <c r="AA31" i="36"/>
  <c r="AA21" i="39"/>
  <c r="O6" i="1"/>
  <c r="P6" i="1" s="1"/>
  <c r="S23" i="21"/>
  <c r="AA23" i="21"/>
  <c r="AA29" i="21"/>
  <c r="S29" i="21"/>
  <c r="BQ5" i="3"/>
  <c r="F28" i="6" s="1"/>
  <c r="BL493" i="3"/>
  <c r="AZ493" i="3" s="1"/>
  <c r="W36" i="37"/>
  <c r="AC36" i="37"/>
  <c r="T12" i="1"/>
  <c r="S27" i="40"/>
  <c r="AZ377" i="3"/>
  <c r="G563" i="3"/>
  <c r="AZ547" i="3"/>
  <c r="AC36" i="34"/>
  <c r="W36" i="34"/>
  <c r="AZ327" i="3"/>
  <c r="AC44" i="21"/>
  <c r="AA25" i="21"/>
  <c r="S25" i="21"/>
  <c r="W13" i="37"/>
  <c r="AC13" i="37"/>
  <c r="AA31" i="35"/>
  <c r="S31" i="35"/>
  <c r="H5" i="3"/>
  <c r="G584" i="3"/>
  <c r="BL582" i="3"/>
  <c r="AZ582" i="3" s="1"/>
  <c r="BP5" i="3"/>
  <c r="AZ580" i="3"/>
  <c r="BI5" i="3"/>
  <c r="BA562" i="3"/>
  <c r="AZ562" i="3" s="1"/>
  <c r="BA561" i="3"/>
  <c r="BE5" i="3"/>
  <c r="BN5" i="3"/>
  <c r="BA559" i="3"/>
  <c r="AZ559" i="3" s="1"/>
  <c r="BH5" i="3"/>
  <c r="AZ556" i="3"/>
  <c r="U29" i="34"/>
  <c r="BJ5" i="3"/>
  <c r="J31" i="40"/>
  <c r="H31" i="40"/>
  <c r="AA33" i="21"/>
  <c r="F48" i="9"/>
  <c r="O52" i="9" s="1"/>
  <c r="F28" i="67"/>
  <c r="C28" i="67" s="1"/>
  <c r="H73" i="43"/>
  <c r="AZ351" i="3"/>
  <c r="H63" i="43"/>
  <c r="H62" i="43"/>
  <c r="AB13" i="33"/>
  <c r="U13" i="33"/>
  <c r="AC28" i="36"/>
  <c r="W28" i="36"/>
  <c r="H13" i="36"/>
  <c r="J13" i="36"/>
  <c r="F13" i="36"/>
  <c r="U33" i="36"/>
  <c r="AB33" i="36"/>
  <c r="U32" i="39"/>
  <c r="AB32" i="37"/>
  <c r="U32" i="37"/>
  <c r="H88" i="43"/>
  <c r="AA12" i="39"/>
  <c r="AA20" i="36"/>
  <c r="S15" i="37"/>
  <c r="H52" i="43"/>
  <c r="H50" i="43"/>
  <c r="BT5" i="3"/>
  <c r="G28" i="6" s="1"/>
  <c r="AZ571" i="3"/>
  <c r="AZ568" i="3"/>
  <c r="S11" i="35"/>
  <c r="AA11" i="35"/>
  <c r="AB35" i="33"/>
  <c r="U35" i="33"/>
  <c r="AC17" i="37"/>
  <c r="W12" i="37"/>
  <c r="AC12" i="37"/>
  <c r="AZ539" i="3"/>
  <c r="AZ573" i="3"/>
  <c r="AB12" i="40"/>
  <c r="AA30" i="34"/>
  <c r="S30" i="34"/>
  <c r="H86" i="43"/>
  <c r="H82" i="43"/>
  <c r="H83" i="43"/>
  <c r="AB19" i="40"/>
  <c r="U19" i="40"/>
  <c r="U44" i="34"/>
  <c r="AB44" i="34"/>
  <c r="BC5" i="3"/>
  <c r="AZ321" i="3"/>
  <c r="AZ557" i="3"/>
  <c r="AA12" i="40"/>
  <c r="S12" i="40"/>
  <c r="U11" i="36"/>
  <c r="AB11" i="36"/>
  <c r="AB8" i="33"/>
  <c r="U8" i="33"/>
  <c r="AA15" i="33"/>
  <c r="S15" i="33"/>
  <c r="AR10" i="1"/>
  <c r="U12" i="39"/>
  <c r="AB12" i="39"/>
  <c r="BG5" i="3"/>
  <c r="BL561" i="3"/>
  <c r="AZ579" i="3"/>
  <c r="U35" i="35"/>
  <c r="AB35" i="35"/>
  <c r="AC11" i="36"/>
  <c r="W11" i="36"/>
  <c r="AZ585" i="3"/>
  <c r="C21" i="39"/>
  <c r="B71" i="43"/>
  <c r="AZ575" i="3"/>
  <c r="AZ548" i="3"/>
  <c r="BL586" i="3"/>
  <c r="AZ586" i="3" s="1"/>
  <c r="H12" i="34"/>
  <c r="J12" i="34"/>
  <c r="F12" i="34"/>
  <c r="S40" i="40"/>
  <c r="AA40" i="40"/>
  <c r="K5" i="4"/>
  <c r="B47" i="48" s="1"/>
  <c r="AZ529" i="3"/>
  <c r="AZ555" i="3"/>
  <c r="AB30" i="21"/>
  <c r="AB23" i="34"/>
  <c r="S34" i="21"/>
  <c r="AA34" i="21"/>
  <c r="S9" i="33"/>
  <c r="AA9" i="33"/>
  <c r="W40" i="40"/>
  <c r="AC40" i="40"/>
  <c r="AB26" i="33"/>
  <c r="AB13" i="34"/>
  <c r="S45" i="33"/>
  <c r="AA34" i="39"/>
  <c r="S34" i="39"/>
  <c r="U35" i="40"/>
  <c r="S14" i="40"/>
  <c r="AZ537" i="3"/>
  <c r="G586" i="3"/>
  <c r="AB34" i="35"/>
  <c r="U34" i="35"/>
  <c r="J14" i="37"/>
  <c r="H14" i="37"/>
  <c r="AC9" i="34"/>
  <c r="W9" i="34"/>
  <c r="AC34" i="35"/>
  <c r="H38" i="40"/>
  <c r="F38" i="40"/>
  <c r="BA551" i="3"/>
  <c r="AZ551" i="3" s="1"/>
  <c r="F23" i="36"/>
  <c r="J23" i="36"/>
  <c r="H23" i="36"/>
  <c r="J38" i="40"/>
  <c r="J26" i="33"/>
  <c r="F26" i="33"/>
  <c r="J36" i="35"/>
  <c r="AC8" i="36"/>
  <c r="W8" i="36"/>
  <c r="J25" i="37"/>
  <c r="F25" i="37"/>
  <c r="H25" i="37"/>
  <c r="O8" i="1"/>
  <c r="P8" i="1" s="1"/>
  <c r="AZ421" i="3"/>
  <c r="AZ413" i="3"/>
  <c r="AZ416" i="3"/>
  <c r="AZ438" i="3"/>
  <c r="BA459" i="3"/>
  <c r="BA472" i="3"/>
  <c r="BA350" i="3"/>
  <c r="BA370" i="3"/>
  <c r="AZ370" i="3" s="1"/>
  <c r="BA211" i="3"/>
  <c r="AZ211" i="3" s="1"/>
  <c r="G220" i="3"/>
  <c r="BL244" i="3"/>
  <c r="BL245" i="3"/>
  <c r="AZ245" i="3" s="1"/>
  <c r="BA249" i="3"/>
  <c r="AZ249" i="3" s="1"/>
  <c r="BA255" i="3"/>
  <c r="AZ255" i="3" s="1"/>
  <c r="BA117" i="3"/>
  <c r="BA471" i="3"/>
  <c r="AZ471" i="3" s="1"/>
  <c r="BA484" i="3"/>
  <c r="AZ484" i="3" s="1"/>
  <c r="BA349" i="3"/>
  <c r="AZ349" i="3" s="1"/>
  <c r="BA354" i="3"/>
  <c r="AZ354" i="3" s="1"/>
  <c r="BA367" i="3"/>
  <c r="BA395" i="3"/>
  <c r="AZ395" i="3" s="1"/>
  <c r="BA397" i="3"/>
  <c r="AZ208" i="3"/>
  <c r="BA226" i="3"/>
  <c r="BA230" i="3"/>
  <c r="BL230" i="3"/>
  <c r="BL249" i="3"/>
  <c r="BA278" i="3"/>
  <c r="BL278" i="3"/>
  <c r="BL316" i="3"/>
  <c r="AZ316" i="3" s="1"/>
  <c r="BA366" i="3"/>
  <c r="AZ366" i="3" s="1"/>
  <c r="BL221" i="3"/>
  <c r="BL222" i="3"/>
  <c r="BA235" i="3"/>
  <c r="AZ235" i="3" s="1"/>
  <c r="BA244" i="3"/>
  <c r="AZ244" i="3" s="1"/>
  <c r="BL446" i="3"/>
  <c r="BA454" i="3"/>
  <c r="AZ454" i="3" s="1"/>
  <c r="BL468" i="3"/>
  <c r="BL475" i="3"/>
  <c r="AZ475" i="3" s="1"/>
  <c r="BL476" i="3"/>
  <c r="AZ476" i="3" s="1"/>
  <c r="BL487" i="3"/>
  <c r="BL488" i="3"/>
  <c r="BA319" i="3"/>
  <c r="AZ319" i="3" s="1"/>
  <c r="BA271" i="3"/>
  <c r="AZ271" i="3" s="1"/>
  <c r="G432" i="3"/>
  <c r="BA446" i="3"/>
  <c r="BL447" i="3"/>
  <c r="AZ447" i="3" s="1"/>
  <c r="BA455" i="3"/>
  <c r="AZ455" i="3" s="1"/>
  <c r="BA315" i="3"/>
  <c r="AZ315" i="3" s="1"/>
  <c r="BL340" i="3"/>
  <c r="AZ340" i="3" s="1"/>
  <c r="G387" i="3"/>
  <c r="BA221" i="3"/>
  <c r="BA222" i="3"/>
  <c r="G235" i="3"/>
  <c r="BL239" i="3"/>
  <c r="BA243" i="3"/>
  <c r="AZ243" i="3" s="1"/>
  <c r="BA290" i="3"/>
  <c r="AZ290" i="3" s="1"/>
  <c r="BL430" i="3"/>
  <c r="AZ430" i="3" s="1"/>
  <c r="BA487" i="3"/>
  <c r="BL308" i="3"/>
  <c r="AZ308" i="3" s="1"/>
  <c r="BL238" i="3"/>
  <c r="BL263" i="3"/>
  <c r="G444" i="3"/>
  <c r="BA467" i="3"/>
  <c r="AZ467" i="3" s="1"/>
  <c r="BA225" i="3"/>
  <c r="AZ225" i="3" s="1"/>
  <c r="BL256" i="3"/>
  <c r="BL479" i="3"/>
  <c r="BL480" i="3"/>
  <c r="G396" i="3"/>
  <c r="BL237" i="3"/>
  <c r="BA238" i="3"/>
  <c r="BL242" i="3"/>
  <c r="BA270" i="3"/>
  <c r="AZ270" i="3" s="1"/>
  <c r="BA463" i="3"/>
  <c r="BL463" i="3"/>
  <c r="BA491" i="3"/>
  <c r="AZ491" i="3" s="1"/>
  <c r="BL332" i="3"/>
  <c r="AZ332" i="3" s="1"/>
  <c r="BL212" i="3"/>
  <c r="AZ212" i="3" s="1"/>
  <c r="BL220" i="3"/>
  <c r="BA257" i="3"/>
  <c r="BL262" i="3"/>
  <c r="BL281" i="3"/>
  <c r="BL442" i="3"/>
  <c r="BL450" i="3"/>
  <c r="BL451" i="3"/>
  <c r="BA480" i="3"/>
  <c r="BA303" i="3"/>
  <c r="AZ303" i="3" s="1"/>
  <c r="BA335" i="3"/>
  <c r="AZ335" i="3" s="1"/>
  <c r="G345" i="3"/>
  <c r="BA220" i="3"/>
  <c r="G225" i="3"/>
  <c r="BL232" i="3"/>
  <c r="AZ232" i="3" s="1"/>
  <c r="BL251" i="3"/>
  <c r="AZ251" i="3" s="1"/>
  <c r="BL275" i="3"/>
  <c r="AZ275" i="3" s="1"/>
  <c r="BA442" i="3"/>
  <c r="BL443" i="3"/>
  <c r="AZ443" i="3" s="1"/>
  <c r="BA450" i="3"/>
  <c r="BL472" i="3"/>
  <c r="BL324" i="3"/>
  <c r="AZ324" i="3" s="1"/>
  <c r="BA331" i="3"/>
  <c r="AZ331" i="3" s="1"/>
  <c r="BL350" i="3"/>
  <c r="BL353" i="3"/>
  <c r="AZ353" i="3" s="1"/>
  <c r="BA252" i="3"/>
  <c r="AZ252" i="3" s="1"/>
  <c r="BA267" i="3"/>
  <c r="AZ267" i="3" s="1"/>
  <c r="G280" i="3"/>
  <c r="BL287" i="3"/>
  <c r="AZ287" i="3" s="1"/>
  <c r="G291" i="3"/>
  <c r="BA295" i="3"/>
  <c r="AZ295" i="3" s="1"/>
  <c r="BA297" i="3"/>
  <c r="AZ297" i="3" s="1"/>
  <c r="BL301" i="3"/>
  <c r="AZ301" i="3" s="1"/>
  <c r="BL302" i="3"/>
  <c r="AZ302" i="3" s="1"/>
  <c r="BL133" i="3"/>
  <c r="BL134" i="3"/>
  <c r="G147" i="3"/>
  <c r="BL153" i="3"/>
  <c r="AZ153" i="3" s="1"/>
  <c r="G179" i="3"/>
  <c r="BA193" i="3"/>
  <c r="BL193" i="3"/>
  <c r="BA198" i="3"/>
  <c r="BL26" i="3"/>
  <c r="AZ26" i="3" s="1"/>
  <c r="BL28" i="3"/>
  <c r="AZ28" i="3" s="1"/>
  <c r="BL30" i="3"/>
  <c r="G52" i="3"/>
  <c r="BA62" i="3"/>
  <c r="G75" i="3"/>
  <c r="BL84" i="3"/>
  <c r="BA86" i="3"/>
  <c r="AZ86" i="3" s="1"/>
  <c r="BA105" i="3"/>
  <c r="AZ105" i="3" s="1"/>
  <c r="BA106" i="3"/>
  <c r="BA246" i="3"/>
  <c r="AZ246" i="3" s="1"/>
  <c r="BL247" i="3"/>
  <c r="AZ247" i="3" s="1"/>
  <c r="BA268" i="3"/>
  <c r="AZ268" i="3" s="1"/>
  <c r="G272" i="3"/>
  <c r="BA276" i="3"/>
  <c r="AZ276" i="3" s="1"/>
  <c r="BL277" i="3"/>
  <c r="AZ277" i="3" s="1"/>
  <c r="BL288" i="3"/>
  <c r="AZ288" i="3" s="1"/>
  <c r="BA298" i="3"/>
  <c r="AZ298" i="3" s="1"/>
  <c r="BL299" i="3"/>
  <c r="AZ299" i="3" s="1"/>
  <c r="BL300" i="3"/>
  <c r="BA113" i="3"/>
  <c r="AZ113" i="3" s="1"/>
  <c r="BL117" i="3"/>
  <c r="BL121" i="3"/>
  <c r="AZ121" i="3" s="1"/>
  <c r="BL150" i="3"/>
  <c r="BL151" i="3"/>
  <c r="AZ151" i="3" s="1"/>
  <c r="BA29" i="3"/>
  <c r="AZ29" i="3" s="1"/>
  <c r="BL289" i="3"/>
  <c r="AZ289" i="3" s="1"/>
  <c r="BA300" i="3"/>
  <c r="BL119" i="3"/>
  <c r="AZ119" i="3" s="1"/>
  <c r="BA152" i="3"/>
  <c r="AZ152" i="3" s="1"/>
  <c r="BA190" i="3"/>
  <c r="AZ190" i="3" s="1"/>
  <c r="BL22" i="3"/>
  <c r="BL23" i="3"/>
  <c r="AZ23" i="3" s="1"/>
  <c r="BL25" i="3"/>
  <c r="BA27" i="3"/>
  <c r="BL27" i="3"/>
  <c r="BA32" i="3"/>
  <c r="AZ32" i="3" s="1"/>
  <c r="BL55" i="3"/>
  <c r="AZ55" i="3" s="1"/>
  <c r="BL58" i="3"/>
  <c r="AZ58" i="3" s="1"/>
  <c r="AZ65" i="3"/>
  <c r="BA125" i="3"/>
  <c r="BA141" i="3"/>
  <c r="AZ141" i="3" s="1"/>
  <c r="BA25" i="3"/>
  <c r="U21" i="21"/>
  <c r="AB21" i="21"/>
  <c r="BL279" i="3"/>
  <c r="AZ279" i="3" s="1"/>
  <c r="BL291" i="3"/>
  <c r="AZ291" i="3" s="1"/>
  <c r="BA118" i="3"/>
  <c r="BA120" i="3"/>
  <c r="AZ120" i="3" s="1"/>
  <c r="BA122" i="3"/>
  <c r="BA130" i="3"/>
  <c r="AZ130" i="3" s="1"/>
  <c r="BA133" i="3"/>
  <c r="BL178" i="3"/>
  <c r="BA181" i="3"/>
  <c r="AZ181" i="3" s="1"/>
  <c r="BA188" i="3"/>
  <c r="AZ188" i="3" s="1"/>
  <c r="BL207" i="3"/>
  <c r="BL18" i="3"/>
  <c r="AZ18" i="3" s="1"/>
  <c r="BL21" i="3"/>
  <c r="BA56" i="3"/>
  <c r="BA80" i="3"/>
  <c r="BA81" i="3"/>
  <c r="BL99" i="3"/>
  <c r="Y33" i="71"/>
  <c r="Z33" i="71" s="1"/>
  <c r="Y28" i="71"/>
  <c r="Z28" i="71" s="1"/>
  <c r="Y34" i="71"/>
  <c r="Z34" i="71" s="1"/>
  <c r="Y35" i="71"/>
  <c r="Z35" i="71" s="1"/>
  <c r="Y32" i="71"/>
  <c r="Z32" i="71" s="1"/>
  <c r="Y24" i="71"/>
  <c r="Z24" i="71" s="1"/>
  <c r="BA242" i="3"/>
  <c r="BA262" i="3"/>
  <c r="AZ262" i="3" s="1"/>
  <c r="G285" i="3"/>
  <c r="BA132" i="3"/>
  <c r="AZ132" i="3" s="1"/>
  <c r="BA138" i="3"/>
  <c r="AZ138" i="3" s="1"/>
  <c r="BL146" i="3"/>
  <c r="BL177" i="3"/>
  <c r="AZ177" i="3" s="1"/>
  <c r="BA180" i="3"/>
  <c r="AZ180" i="3" s="1"/>
  <c r="BL202" i="3"/>
  <c r="BA19" i="3"/>
  <c r="AZ19" i="3" s="1"/>
  <c r="BA21" i="3"/>
  <c r="BL45" i="3"/>
  <c r="BL46" i="3"/>
  <c r="BL48" i="3"/>
  <c r="AZ48" i="3" s="1"/>
  <c r="BL50" i="3"/>
  <c r="AZ50" i="3" s="1"/>
  <c r="BL53" i="3"/>
  <c r="BA57" i="3"/>
  <c r="BL70" i="3"/>
  <c r="AZ70" i="3" s="1"/>
  <c r="BL71" i="3"/>
  <c r="BL95" i="3"/>
  <c r="BA99" i="3"/>
  <c r="BA103" i="3"/>
  <c r="AZ103" i="3" s="1"/>
  <c r="G109" i="3"/>
  <c r="BA236" i="3"/>
  <c r="BA263" i="3"/>
  <c r="AZ263" i="3" s="1"/>
  <c r="BA140" i="3"/>
  <c r="AZ140" i="3" s="1"/>
  <c r="BA146" i="3"/>
  <c r="BA149" i="3"/>
  <c r="AZ149" i="3" s="1"/>
  <c r="BL175" i="3"/>
  <c r="AZ175" i="3" s="1"/>
  <c r="BA178" i="3"/>
  <c r="BL201" i="3"/>
  <c r="BA204" i="3"/>
  <c r="AZ204" i="3" s="1"/>
  <c r="BL206" i="3"/>
  <c r="BA20" i="3"/>
  <c r="AZ20" i="3" s="1"/>
  <c r="BA22" i="3"/>
  <c r="G31" i="3"/>
  <c r="BA51" i="3"/>
  <c r="AZ51" i="3" s="1"/>
  <c r="BA53" i="3"/>
  <c r="BA74" i="3"/>
  <c r="AZ74" i="3" s="1"/>
  <c r="BA77" i="3"/>
  <c r="G87" i="3"/>
  <c r="BA97" i="3"/>
  <c r="BL231" i="3"/>
  <c r="BA237" i="3"/>
  <c r="BL257" i="3"/>
  <c r="BA264" i="3"/>
  <c r="AZ264" i="3" s="1"/>
  <c r="BA272" i="3"/>
  <c r="BA281" i="3"/>
  <c r="BL282" i="3"/>
  <c r="G286" i="3"/>
  <c r="BA292" i="3"/>
  <c r="AZ292" i="3" s="1"/>
  <c r="G114" i="3"/>
  <c r="BA148" i="3"/>
  <c r="AZ148" i="3" s="1"/>
  <c r="G155" i="3"/>
  <c r="BL166" i="3"/>
  <c r="BL167" i="3"/>
  <c r="AZ167" i="3" s="1"/>
  <c r="BL170" i="3"/>
  <c r="AZ170" i="3" s="1"/>
  <c r="BA174" i="3"/>
  <c r="AZ174" i="3" s="1"/>
  <c r="BA176" i="3"/>
  <c r="AZ176" i="3" s="1"/>
  <c r="BA202" i="3"/>
  <c r="BA206" i="3"/>
  <c r="BA45" i="3"/>
  <c r="AZ45" i="3" s="1"/>
  <c r="BA49" i="3"/>
  <c r="BL49" i="3"/>
  <c r="AZ54" i="3"/>
  <c r="BL94" i="3"/>
  <c r="AB27" i="71"/>
  <c r="AB26" i="71"/>
  <c r="BA273" i="3"/>
  <c r="AZ273" i="3" s="1"/>
  <c r="BL283" i="3"/>
  <c r="BA293" i="3"/>
  <c r="AZ293" i="3" s="1"/>
  <c r="G301" i="3"/>
  <c r="BL159" i="3"/>
  <c r="AZ159" i="3" s="1"/>
  <c r="BA169" i="3"/>
  <c r="AZ169" i="3" s="1"/>
  <c r="BA173" i="3"/>
  <c r="AZ173" i="3" s="1"/>
  <c r="BA205" i="3"/>
  <c r="BA207" i="3"/>
  <c r="G26" i="3"/>
  <c r="BL37" i="3"/>
  <c r="AZ37" i="3" s="1"/>
  <c r="BL39" i="3"/>
  <c r="BA43" i="3"/>
  <c r="BA44" i="3"/>
  <c r="BL44" i="3"/>
  <c r="BA47" i="3"/>
  <c r="AZ47" i="3" s="1"/>
  <c r="BA71" i="3"/>
  <c r="BL90" i="3"/>
  <c r="BA94" i="3"/>
  <c r="BL111" i="3"/>
  <c r="BL112" i="3"/>
  <c r="BA274" i="3"/>
  <c r="BL284" i="3"/>
  <c r="AZ284" i="3" s="1"/>
  <c r="G116" i="3"/>
  <c r="G122" i="3"/>
  <c r="G124" i="3"/>
  <c r="BA161" i="3"/>
  <c r="BL163" i="3"/>
  <c r="AZ163" i="3" s="1"/>
  <c r="G182" i="3"/>
  <c r="G188" i="3"/>
  <c r="BA200" i="3"/>
  <c r="AZ200" i="3" s="1"/>
  <c r="G25" i="3"/>
  <c r="BL35" i="3"/>
  <c r="AZ35" i="3" s="1"/>
  <c r="BA90" i="3"/>
  <c r="BL107" i="3"/>
  <c r="AZ107" i="3" s="1"/>
  <c r="BA112" i="3"/>
  <c r="AB23" i="71"/>
  <c r="G255" i="3"/>
  <c r="G290" i="3"/>
  <c r="G123" i="3"/>
  <c r="G131" i="3"/>
  <c r="BL158" i="3"/>
  <c r="BA160" i="3"/>
  <c r="AZ160" i="3" s="1"/>
  <c r="BA162" i="3"/>
  <c r="AZ162" i="3" s="1"/>
  <c r="BA166" i="3"/>
  <c r="BL194" i="3"/>
  <c r="AZ194" i="3" s="1"/>
  <c r="BA201" i="3"/>
  <c r="BL31" i="3"/>
  <c r="BL36" i="3"/>
  <c r="BA38" i="3"/>
  <c r="AZ38" i="3" s="1"/>
  <c r="G57" i="3"/>
  <c r="G81" i="3"/>
  <c r="AB29" i="39"/>
  <c r="U29" i="39"/>
  <c r="BL62" i="3"/>
  <c r="BL97" i="3"/>
  <c r="G108" i="43"/>
  <c r="E24" i="71"/>
  <c r="E23" i="71" s="1"/>
  <c r="V25" i="71"/>
  <c r="D68" i="71"/>
  <c r="C67" i="71"/>
  <c r="D67" i="71" s="1"/>
  <c r="X28" i="71"/>
  <c r="Z10" i="43"/>
  <c r="Z12" i="43"/>
  <c r="AA22" i="71"/>
  <c r="Y20" i="71"/>
  <c r="Z20" i="71" s="1"/>
  <c r="X14" i="71"/>
  <c r="Y9" i="71"/>
  <c r="Z9" i="71" s="1"/>
  <c r="BL92" i="3"/>
  <c r="AZ92" i="3" s="1"/>
  <c r="AC21" i="33"/>
  <c r="W21" i="33"/>
  <c r="AB35" i="71"/>
  <c r="AB34" i="71"/>
  <c r="AB28" i="71"/>
  <c r="D43" i="71"/>
  <c r="C44" i="71"/>
  <c r="D44" i="71" s="1"/>
  <c r="AA20" i="71"/>
  <c r="BL57" i="3"/>
  <c r="F40" i="68"/>
  <c r="C21" i="68"/>
  <c r="D25" i="71"/>
  <c r="U25" i="71" s="1"/>
  <c r="T25" i="71"/>
  <c r="C24" i="71"/>
  <c r="T69" i="71"/>
  <c r="D69" i="71"/>
  <c r="Y19" i="71"/>
  <c r="Z19" i="71" s="1"/>
  <c r="Y18" i="71"/>
  <c r="Z18" i="71" s="1"/>
  <c r="S21" i="37"/>
  <c r="AA21" i="37"/>
  <c r="AA18" i="36"/>
  <c r="X30" i="71"/>
  <c r="X29" i="71"/>
  <c r="X31" i="71"/>
  <c r="N64" i="71"/>
  <c r="B63" i="71"/>
  <c r="X21" i="71"/>
  <c r="AA19" i="71"/>
  <c r="AA7" i="71"/>
  <c r="BA52" i="3"/>
  <c r="AZ52" i="3" s="1"/>
  <c r="BA87" i="3"/>
  <c r="AZ87" i="3" s="1"/>
  <c r="AB21" i="37"/>
  <c r="U21" i="37"/>
  <c r="Y31" i="71"/>
  <c r="Z31" i="71" s="1"/>
  <c r="AB20" i="71"/>
  <c r="AA15" i="71"/>
  <c r="AA11" i="71"/>
  <c r="G45" i="3"/>
  <c r="BL82" i="3"/>
  <c r="AZ82" i="3" s="1"/>
  <c r="D100" i="43"/>
  <c r="D108" i="43"/>
  <c r="Y6" i="71"/>
  <c r="Z6" i="71" s="1"/>
  <c r="C40" i="71"/>
  <c r="D39" i="71"/>
  <c r="BL43" i="3"/>
  <c r="C40" i="68"/>
  <c r="AA24" i="71"/>
  <c r="AA25" i="71"/>
  <c r="E27" i="71"/>
  <c r="E28" i="71" s="1"/>
  <c r="E29" i="71" s="1"/>
  <c r="U29" i="71" s="1"/>
  <c r="AA3" i="71"/>
  <c r="Y29" i="71"/>
  <c r="Z29" i="71" s="1"/>
  <c r="AB31" i="71"/>
  <c r="AA14" i="71"/>
  <c r="AB15" i="71"/>
  <c r="G40" i="3"/>
  <c r="BL77" i="3"/>
  <c r="BA111" i="3"/>
  <c r="F25" i="71"/>
  <c r="F24" i="71" s="1"/>
  <c r="F23" i="71" s="1"/>
  <c r="AB22" i="71"/>
  <c r="AB24" i="71"/>
  <c r="AB25" i="71"/>
  <c r="AB21" i="71"/>
  <c r="AB18" i="71"/>
  <c r="F28" i="71"/>
  <c r="F29" i="71" s="1"/>
  <c r="V29" i="71" s="1"/>
  <c r="AA28" i="71"/>
  <c r="AA29" i="71"/>
  <c r="AA27" i="71"/>
  <c r="AA6" i="71"/>
  <c r="BL106" i="3"/>
  <c r="D24" i="67"/>
  <c r="D22" i="67"/>
  <c r="X22" i="71"/>
  <c r="AB29" i="71"/>
  <c r="E35" i="71"/>
  <c r="E36" i="71" s="1"/>
  <c r="E37" i="71" s="1"/>
  <c r="U37" i="71" s="1"/>
  <c r="AA34" i="71"/>
  <c r="C52" i="71"/>
  <c r="D51" i="71"/>
  <c r="C60" i="71"/>
  <c r="D59" i="71"/>
  <c r="AF10" i="43"/>
  <c r="AF12" i="43"/>
  <c r="Y14" i="71"/>
  <c r="Z14" i="71" s="1"/>
  <c r="BL33" i="3"/>
  <c r="AZ33" i="3" s="1"/>
  <c r="BL72" i="3"/>
  <c r="AZ72" i="3" s="1"/>
  <c r="I108" i="43"/>
  <c r="I100" i="43"/>
  <c r="AB21" i="33"/>
  <c r="C36" i="71"/>
  <c r="B32" i="71"/>
  <c r="B33" i="71" s="1"/>
  <c r="S33" i="71" s="1"/>
  <c r="C28" i="71"/>
  <c r="Y26" i="71"/>
  <c r="Z26" i="71" s="1"/>
  <c r="Y27" i="71"/>
  <c r="Z27" i="71" s="1"/>
  <c r="F36" i="71"/>
  <c r="F37" i="71" s="1"/>
  <c r="V37" i="71" s="1"/>
  <c r="C48" i="71"/>
  <c r="D47" i="71"/>
  <c r="G69" i="3"/>
  <c r="BA101" i="3"/>
  <c r="AZ101" i="3" s="1"/>
  <c r="X5" i="71"/>
  <c r="Y5" i="71"/>
  <c r="Z5" i="71" s="1"/>
  <c r="AA5" i="71"/>
  <c r="AB5" i="71"/>
  <c r="W21" i="34"/>
  <c r="AA26" i="71"/>
  <c r="AB14" i="71"/>
  <c r="M56" i="9"/>
  <c r="Y21" i="71"/>
  <c r="Z21" i="71" s="1"/>
  <c r="X15" i="71"/>
  <c r="Y11" i="71"/>
  <c r="Z11" i="71" s="1"/>
  <c r="W18" i="35"/>
  <c r="AA21" i="34"/>
  <c r="B24" i="71"/>
  <c r="B23" i="71" s="1"/>
  <c r="X27" i="71"/>
  <c r="B72" i="71"/>
  <c r="B71" i="71" s="1"/>
  <c r="AG10" i="43"/>
  <c r="AD12" i="43"/>
  <c r="N56" i="9"/>
  <c r="AA18" i="71"/>
  <c r="Y15" i="71"/>
  <c r="Z15" i="71" s="1"/>
  <c r="AB6" i="71"/>
  <c r="F64" i="71"/>
  <c r="V21" i="71"/>
  <c r="AB7" i="71"/>
  <c r="AB9" i="71"/>
  <c r="AA9" i="71"/>
  <c r="Q65" i="71"/>
  <c r="Y25" i="71"/>
  <c r="Z25" i="71" s="1"/>
  <c r="X35" i="71"/>
  <c r="AA10" i="43"/>
  <c r="AB10" i="71"/>
  <c r="AA8" i="71"/>
  <c r="Y30" i="71"/>
  <c r="Z30" i="71" s="1"/>
  <c r="X34" i="71"/>
  <c r="X19" i="71"/>
  <c r="AB8" i="71"/>
  <c r="AA10" i="71"/>
  <c r="AB11" i="71"/>
  <c r="B21" i="71"/>
  <c r="C21" i="71"/>
  <c r="Y7" i="71"/>
  <c r="Z7" i="71" s="1"/>
  <c r="X25" i="71"/>
  <c r="Y23" i="71"/>
  <c r="Z23" i="71" s="1"/>
  <c r="X26" i="71"/>
  <c r="X6" i="71"/>
  <c r="X12" i="71"/>
  <c r="Y8" i="71"/>
  <c r="Z8" i="71" s="1"/>
  <c r="X9" i="71"/>
  <c r="X24" i="71"/>
  <c r="AA33" i="71"/>
  <c r="AA21" i="71"/>
  <c r="Y10" i="71"/>
  <c r="Z10" i="71" s="1"/>
  <c r="X7" i="71"/>
  <c r="AA23" i="71"/>
  <c r="X23" i="71"/>
  <c r="Y22" i="71"/>
  <c r="Z22" i="71" s="1"/>
  <c r="AA12" i="71"/>
  <c r="X8" i="71"/>
  <c r="AB12" i="71"/>
  <c r="X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J20" i="67"/>
  <c r="B12" i="70"/>
  <c r="J53" i="67"/>
  <c r="J57" i="67"/>
  <c r="J55" i="67" s="1"/>
  <c r="J58" i="67" s="1"/>
  <c r="Q50" i="67" s="1"/>
  <c r="L56" i="67"/>
  <c r="I54" i="67"/>
  <c r="B7" i="70"/>
  <c r="F69" i="67"/>
  <c r="F66" i="67"/>
  <c r="B11" i="70"/>
  <c r="B8" i="70"/>
  <c r="F70" i="67"/>
  <c r="C27" i="67"/>
  <c r="F71" i="67"/>
  <c r="B9" i="70"/>
  <c r="N59" i="67"/>
  <c r="L59" i="67"/>
  <c r="L58" i="67"/>
  <c r="M59" i="67"/>
  <c r="B13" i="70"/>
  <c r="M7" i="67"/>
  <c r="J6" i="67" s="1"/>
  <c r="F50" i="67"/>
  <c r="G1" i="73"/>
  <c r="F16" i="15"/>
  <c r="C16" i="67"/>
  <c r="M22" i="67"/>
  <c r="M26" i="67"/>
  <c r="C76" i="67"/>
  <c r="L47" i="15"/>
  <c r="F26" i="15"/>
  <c r="F40" i="67"/>
  <c r="F37" i="67"/>
  <c r="F38" i="15"/>
  <c r="F6" i="15"/>
  <c r="F37" i="15"/>
  <c r="C76" i="15"/>
  <c r="F40" i="15"/>
  <c r="F9" i="15"/>
  <c r="F13" i="15"/>
  <c r="F35" i="67"/>
  <c r="D4" i="73"/>
  <c r="F42" i="15"/>
  <c r="F36" i="15"/>
  <c r="M22" i="15"/>
  <c r="D6" i="73"/>
  <c r="M28" i="15"/>
  <c r="J15" i="15"/>
  <c r="M8" i="15"/>
  <c r="M24" i="15"/>
  <c r="C14" i="67"/>
  <c r="L48" i="15"/>
  <c r="M6" i="15"/>
  <c r="F8" i="15"/>
  <c r="M23" i="15"/>
  <c r="M9" i="15"/>
  <c r="F36" i="67"/>
  <c r="F6" i="67"/>
  <c r="C17" i="67"/>
  <c r="M27" i="15"/>
  <c r="F29" i="6" l="1"/>
  <c r="D19" i="12"/>
  <c r="C19" i="12" s="1"/>
  <c r="E8" i="6"/>
  <c r="E51" i="40" s="1"/>
  <c r="C24" i="12"/>
  <c r="C13" i="12"/>
  <c r="C6" i="67"/>
  <c r="C32" i="67" s="1"/>
  <c r="F65" i="67"/>
  <c r="F64" i="67"/>
  <c r="AA26" i="35"/>
  <c r="S26" i="35"/>
  <c r="AZ424" i="3"/>
  <c r="AZ202" i="3"/>
  <c r="AZ236" i="3"/>
  <c r="AZ479" i="3"/>
  <c r="AZ224" i="3"/>
  <c r="AZ564" i="3"/>
  <c r="AZ458" i="3"/>
  <c r="AZ213" i="3"/>
  <c r="AZ521" i="3"/>
  <c r="AZ474" i="3"/>
  <c r="W44" i="39"/>
  <c r="AZ535" i="3"/>
  <c r="AB36" i="39"/>
  <c r="U36" i="39"/>
  <c r="AB9" i="36"/>
  <c r="U9" i="36"/>
  <c r="AZ220" i="3"/>
  <c r="AZ488" i="3"/>
  <c r="AZ403" i="3"/>
  <c r="AA45" i="21"/>
  <c r="S45" i="21"/>
  <c r="AZ544" i="3"/>
  <c r="AZ44" i="3"/>
  <c r="AZ75" i="3"/>
  <c r="AZ565" i="3"/>
  <c r="AZ317" i="3"/>
  <c r="W33" i="36"/>
  <c r="AC33" i="36"/>
  <c r="AB30" i="33"/>
  <c r="U30" i="33"/>
  <c r="AZ100" i="3"/>
  <c r="AZ42" i="3"/>
  <c r="AZ431" i="3"/>
  <c r="U32" i="34"/>
  <c r="AB32" i="34"/>
  <c r="AA13" i="40"/>
  <c r="S13" i="40"/>
  <c r="S14" i="39"/>
  <c r="AA14" i="39"/>
  <c r="AZ31" i="3"/>
  <c r="J7" i="37"/>
  <c r="W7" i="37" s="1"/>
  <c r="AZ95" i="3"/>
  <c r="AZ104" i="3"/>
  <c r="AZ483" i="3"/>
  <c r="AZ538" i="3"/>
  <c r="S31" i="34"/>
  <c r="AA31" i="34"/>
  <c r="AA35" i="35"/>
  <c r="S35" i="35"/>
  <c r="S45" i="34"/>
  <c r="AA45" i="34"/>
  <c r="W13" i="40"/>
  <c r="AC13" i="40"/>
  <c r="W39" i="40"/>
  <c r="AC39" i="40"/>
  <c r="AA33" i="40"/>
  <c r="S33" i="40"/>
  <c r="H26" i="35"/>
  <c r="U14" i="39"/>
  <c r="AB14" i="39"/>
  <c r="AA43" i="39"/>
  <c r="S43" i="39"/>
  <c r="AZ230" i="3"/>
  <c r="AC43" i="39"/>
  <c r="W43" i="39"/>
  <c r="AZ57" i="3"/>
  <c r="AZ226" i="3"/>
  <c r="AZ448" i="3"/>
  <c r="AZ91" i="3"/>
  <c r="AZ508" i="3"/>
  <c r="AZ517" i="3"/>
  <c r="AZ432" i="3"/>
  <c r="AZ500" i="3"/>
  <c r="AA13" i="34"/>
  <c r="S13" i="34"/>
  <c r="AZ560" i="3"/>
  <c r="S29" i="33"/>
  <c r="AA29" i="33"/>
  <c r="AZ78" i="3"/>
  <c r="AZ218" i="3"/>
  <c r="AZ428" i="3"/>
  <c r="AA26" i="37"/>
  <c r="S26" i="37"/>
  <c r="W32" i="34"/>
  <c r="AC32" i="34"/>
  <c r="F63" i="67"/>
  <c r="C62" i="67" s="1"/>
  <c r="C34" i="67"/>
  <c r="Q71" i="67"/>
  <c r="AZ480" i="3"/>
  <c r="AZ463" i="3"/>
  <c r="AZ182" i="3"/>
  <c r="AZ110" i="3"/>
  <c r="AZ408" i="3"/>
  <c r="AZ122" i="3"/>
  <c r="AZ258" i="3"/>
  <c r="U12" i="37"/>
  <c r="AB12" i="37"/>
  <c r="C79" i="71"/>
  <c r="D79" i="71" s="1"/>
  <c r="AZ117" i="3"/>
  <c r="AZ60" i="3"/>
  <c r="AZ419" i="3"/>
  <c r="AA12" i="37"/>
  <c r="S12" i="37"/>
  <c r="AZ158" i="3"/>
  <c r="AZ80" i="3"/>
  <c r="AZ118" i="3"/>
  <c r="AZ150" i="3"/>
  <c r="AZ468" i="3"/>
  <c r="W23" i="40"/>
  <c r="AZ449" i="3"/>
  <c r="AZ489" i="3"/>
  <c r="U31" i="21"/>
  <c r="AB31" i="21"/>
  <c r="AZ333" i="3"/>
  <c r="AZ510" i="3"/>
  <c r="AZ71" i="3"/>
  <c r="AZ46" i="3"/>
  <c r="AZ513" i="3"/>
  <c r="AB28" i="21"/>
  <c r="U28" i="21"/>
  <c r="AC9" i="36"/>
  <c r="W9" i="36"/>
  <c r="AZ281" i="3"/>
  <c r="B20" i="31"/>
  <c r="B21" i="31" s="1"/>
  <c r="AZ397" i="3"/>
  <c r="AZ368" i="3"/>
  <c r="AZ457" i="3"/>
  <c r="AZ523" i="3"/>
  <c r="AZ36" i="3"/>
  <c r="G27" i="6"/>
  <c r="AZ482" i="3"/>
  <c r="AZ441" i="3"/>
  <c r="AZ497" i="3"/>
  <c r="AC19" i="40"/>
  <c r="W19" i="40"/>
  <c r="AZ112" i="3"/>
  <c r="AZ99" i="3"/>
  <c r="AZ134" i="3"/>
  <c r="AZ367" i="3"/>
  <c r="AZ210" i="3"/>
  <c r="AZ415" i="3"/>
  <c r="AZ142" i="3"/>
  <c r="AZ440" i="3"/>
  <c r="AZ231" i="3"/>
  <c r="AZ436" i="3"/>
  <c r="AZ505" i="3"/>
  <c r="S30" i="21"/>
  <c r="AA30" i="21"/>
  <c r="S39" i="37"/>
  <c r="AA39" i="37"/>
  <c r="AZ201" i="3"/>
  <c r="AZ39" i="3"/>
  <c r="AZ125" i="3"/>
  <c r="AZ189" i="3"/>
  <c r="AZ109" i="3"/>
  <c r="AZ492" i="3"/>
  <c r="AZ233" i="3"/>
  <c r="AZ425" i="3"/>
  <c r="AZ239" i="3"/>
  <c r="W28" i="33"/>
  <c r="AC28" i="33"/>
  <c r="F65" i="15"/>
  <c r="F66" i="15"/>
  <c r="F68" i="67"/>
  <c r="F68" i="15"/>
  <c r="C27" i="15"/>
  <c r="AA34" i="35"/>
  <c r="S34" i="35"/>
  <c r="AB14" i="40"/>
  <c r="U14" i="40"/>
  <c r="H7" i="34"/>
  <c r="AB7" i="34" s="1"/>
  <c r="T49" i="34" s="1"/>
  <c r="G49" i="34" s="1"/>
  <c r="AZ161" i="3"/>
  <c r="AZ272" i="3"/>
  <c r="AZ242" i="3"/>
  <c r="AZ106" i="3"/>
  <c r="AZ238" i="3"/>
  <c r="AZ350" i="3"/>
  <c r="AZ186" i="3"/>
  <c r="AZ83" i="3"/>
  <c r="AZ422" i="3"/>
  <c r="AZ209" i="3"/>
  <c r="AZ399" i="3"/>
  <c r="AZ68" i="3"/>
  <c r="AZ400" i="3"/>
  <c r="AZ137" i="3"/>
  <c r="AB24" i="36"/>
  <c r="U24" i="36"/>
  <c r="AZ283" i="3"/>
  <c r="AA44" i="39"/>
  <c r="S44" i="39"/>
  <c r="AZ261" i="3"/>
  <c r="S34" i="36"/>
  <c r="AA34" i="36"/>
  <c r="S23" i="35"/>
  <c r="AA23" i="35"/>
  <c r="AC24" i="36"/>
  <c r="W24" i="36"/>
  <c r="U23" i="40"/>
  <c r="AZ98" i="3"/>
  <c r="AZ93" i="3"/>
  <c r="U12" i="33"/>
  <c r="AB12" i="33"/>
  <c r="AZ64" i="3"/>
  <c r="AB34" i="36"/>
  <c r="U34" i="36"/>
  <c r="AZ237" i="3"/>
  <c r="AZ84" i="3"/>
  <c r="AZ157" i="3"/>
  <c r="AZ227" i="3"/>
  <c r="AZ445" i="3"/>
  <c r="AZ485" i="3"/>
  <c r="P64" i="71"/>
  <c r="E63" i="71"/>
  <c r="AZ406" i="3"/>
  <c r="AC9" i="33"/>
  <c r="W9" i="33"/>
  <c r="AZ257" i="3"/>
  <c r="AZ278" i="3"/>
  <c r="AZ459" i="3"/>
  <c r="AZ90" i="3"/>
  <c r="G29" i="6"/>
  <c r="E29" i="6" s="1"/>
  <c r="K15" i="1" s="1"/>
  <c r="AZ464" i="3"/>
  <c r="AZ88" i="3"/>
  <c r="AZ417" i="3"/>
  <c r="AZ111" i="3"/>
  <c r="AZ274" i="3"/>
  <c r="AC15" i="40"/>
  <c r="AZ63" i="3"/>
  <c r="AZ126" i="3"/>
  <c r="AZ409" i="3"/>
  <c r="AZ418" i="3"/>
  <c r="AZ412" i="3"/>
  <c r="AZ300" i="3"/>
  <c r="AZ129" i="3"/>
  <c r="AZ253" i="3"/>
  <c r="AZ405" i="3"/>
  <c r="AZ401" i="3"/>
  <c r="AB9" i="33"/>
  <c r="U9" i="33"/>
  <c r="AZ205" i="3"/>
  <c r="AZ30" i="3"/>
  <c r="AZ256" i="3"/>
  <c r="AZ487" i="3"/>
  <c r="C57" i="71"/>
  <c r="D56" i="71"/>
  <c r="W28" i="34"/>
  <c r="AC28" i="34"/>
  <c r="J7" i="36"/>
  <c r="AC7" i="36" s="1"/>
  <c r="V36" i="36" s="1"/>
  <c r="I36" i="36" s="1"/>
  <c r="AZ49" i="3"/>
  <c r="AZ146" i="3"/>
  <c r="AZ81" i="3"/>
  <c r="E19" i="6"/>
  <c r="K6" i="1" s="1"/>
  <c r="Q16" i="1" s="1"/>
  <c r="F27" i="11" s="1"/>
  <c r="C29" i="11" s="1"/>
  <c r="D27" i="11" s="1"/>
  <c r="C33" i="71"/>
  <c r="D32" i="71"/>
  <c r="AZ429" i="3"/>
  <c r="AZ197" i="3"/>
  <c r="D121" i="9"/>
  <c r="D7" i="52" s="1"/>
  <c r="D6" i="52"/>
  <c r="S44" i="21"/>
  <c r="AA44" i="21"/>
  <c r="AZ34" i="3"/>
  <c r="AZ286" i="3"/>
  <c r="AZ40" i="3"/>
  <c r="AZ250" i="3"/>
  <c r="AZ558" i="3"/>
  <c r="AZ481" i="3"/>
  <c r="W45" i="39"/>
  <c r="AC45" i="39"/>
  <c r="AC23" i="35"/>
  <c r="W23" i="35"/>
  <c r="AZ451" i="3"/>
  <c r="AZ282" i="3"/>
  <c r="AZ56" i="3"/>
  <c r="AZ198" i="3"/>
  <c r="AZ442" i="3"/>
  <c r="D84" i="71"/>
  <c r="C83" i="71"/>
  <c r="D83" i="71" s="1"/>
  <c r="AZ248" i="3"/>
  <c r="AZ89" i="3"/>
  <c r="AZ241" i="3"/>
  <c r="AZ407" i="3"/>
  <c r="AZ462" i="3"/>
  <c r="AB45" i="39"/>
  <c r="U45" i="39"/>
  <c r="AB28" i="34"/>
  <c r="U28" i="34"/>
  <c r="U23" i="35"/>
  <c r="AB23" i="35"/>
  <c r="AD13" i="43"/>
  <c r="C48" i="69"/>
  <c r="C30" i="69"/>
  <c r="F48" i="68"/>
  <c r="C30" i="68"/>
  <c r="C48" i="11"/>
  <c r="C30" i="11"/>
  <c r="G109" i="43"/>
  <c r="AZ15" i="3"/>
  <c r="F104" i="43"/>
  <c r="I109" i="43"/>
  <c r="F103" i="43"/>
  <c r="AF13" i="43"/>
  <c r="K102" i="43"/>
  <c r="E15" i="6"/>
  <c r="E64" i="39" s="1"/>
  <c r="E12" i="6"/>
  <c r="E61" i="39" s="1"/>
  <c r="E11" i="6"/>
  <c r="E56" i="40" s="1"/>
  <c r="E13" i="6"/>
  <c r="E58" i="40" s="1"/>
  <c r="I115" i="43"/>
  <c r="J115" i="43" s="1"/>
  <c r="K115" i="43" s="1"/>
  <c r="L115" i="43" s="1"/>
  <c r="M115" i="43" s="1"/>
  <c r="G118" i="43"/>
  <c r="H118" i="43" s="1"/>
  <c r="B116" i="43"/>
  <c r="C116" i="43" s="1"/>
  <c r="B118" i="43"/>
  <c r="C118" i="43" s="1"/>
  <c r="D117" i="43"/>
  <c r="E117" i="43" s="1"/>
  <c r="F117" i="43" s="1"/>
  <c r="G117" i="43" s="1"/>
  <c r="H117" i="43" s="1"/>
  <c r="I117" i="43"/>
  <c r="J117" i="43" s="1"/>
  <c r="K117" i="43" s="1"/>
  <c r="L117" i="43" s="1"/>
  <c r="M117" i="43" s="1"/>
  <c r="B117" i="43"/>
  <c r="C117" i="43" s="1"/>
  <c r="I118" i="43"/>
  <c r="J118" i="43" s="1"/>
  <c r="K118" i="43" s="1"/>
  <c r="L118" i="43" s="1"/>
  <c r="M118" i="43" s="1"/>
  <c r="D116" i="43"/>
  <c r="E116" i="43" s="1"/>
  <c r="F116" i="43" s="1"/>
  <c r="G116" i="43" s="1"/>
  <c r="H116" i="43" s="1"/>
  <c r="I116" i="43"/>
  <c r="J116" i="43" s="1"/>
  <c r="K116" i="43" s="1"/>
  <c r="L116" i="43" s="1"/>
  <c r="M116" i="43" s="1"/>
  <c r="B115" i="43"/>
  <c r="D118" i="43"/>
  <c r="E118" i="43" s="1"/>
  <c r="F118" i="43" s="1"/>
  <c r="D115" i="43"/>
  <c r="E115" i="43" s="1"/>
  <c r="F115" i="43" s="1"/>
  <c r="G115" i="43" s="1"/>
  <c r="H115" i="43" s="1"/>
  <c r="G105" i="43"/>
  <c r="G102" i="43"/>
  <c r="G106" i="43"/>
  <c r="G107" i="43"/>
  <c r="G103" i="43"/>
  <c r="G104" i="43"/>
  <c r="E103" i="43"/>
  <c r="E105" i="43"/>
  <c r="E106" i="43"/>
  <c r="E109" i="43"/>
  <c r="E102" i="43"/>
  <c r="E104" i="43"/>
  <c r="E107" i="43"/>
  <c r="D109" i="43"/>
  <c r="Z13" i="43"/>
  <c r="K106" i="43"/>
  <c r="I102" i="43"/>
  <c r="I104" i="43"/>
  <c r="I106" i="43"/>
  <c r="I107" i="43"/>
  <c r="I103" i="43"/>
  <c r="I105" i="43"/>
  <c r="H104" i="43"/>
  <c r="H105" i="43"/>
  <c r="H109" i="43"/>
  <c r="H102" i="43"/>
  <c r="H103" i="43"/>
  <c r="H107" i="43"/>
  <c r="H106" i="43"/>
  <c r="D22" i="43"/>
  <c r="D105" i="43"/>
  <c r="D106" i="43"/>
  <c r="D107" i="43"/>
  <c r="D102" i="43"/>
  <c r="D103" i="43"/>
  <c r="L109" i="43"/>
  <c r="L102" i="43"/>
  <c r="L106" i="43"/>
  <c r="L105" i="43"/>
  <c r="L107" i="43"/>
  <c r="L104" i="43"/>
  <c r="L103" i="43"/>
  <c r="C107" i="43"/>
  <c r="C105" i="43"/>
  <c r="C103" i="43"/>
  <c r="C102" i="43"/>
  <c r="C104" i="43"/>
  <c r="C106" i="43"/>
  <c r="C109" i="43"/>
  <c r="M102" i="43"/>
  <c r="M104" i="43"/>
  <c r="M106" i="43"/>
  <c r="M107" i="43"/>
  <c r="M103" i="43"/>
  <c r="M105" i="43"/>
  <c r="M109" i="43"/>
  <c r="N102" i="43"/>
  <c r="N103" i="43"/>
  <c r="N105" i="43"/>
  <c r="N106" i="43"/>
  <c r="N104" i="43"/>
  <c r="N109" i="43"/>
  <c r="N107" i="43"/>
  <c r="K103" i="43"/>
  <c r="K104" i="43"/>
  <c r="K105" i="43"/>
  <c r="K109" i="43"/>
  <c r="J104" i="43"/>
  <c r="J106" i="43"/>
  <c r="J107" i="43"/>
  <c r="J103" i="43"/>
  <c r="J109" i="43"/>
  <c r="J102" i="43"/>
  <c r="J105" i="43"/>
  <c r="D104" i="43"/>
  <c r="F102" i="43"/>
  <c r="F106" i="43"/>
  <c r="F105" i="43"/>
  <c r="F107" i="43"/>
  <c r="H7" i="36"/>
  <c r="AB7" i="36" s="1"/>
  <c r="T36" i="36" s="1"/>
  <c r="G36" i="36" s="1"/>
  <c r="Q71" i="15"/>
  <c r="M59" i="15"/>
  <c r="L59" i="15"/>
  <c r="Q61" i="15" s="1"/>
  <c r="L58" i="15"/>
  <c r="Q60" i="15" s="1"/>
  <c r="N59" i="15"/>
  <c r="F64" i="15"/>
  <c r="F31" i="15"/>
  <c r="F51" i="15"/>
  <c r="J53" i="15"/>
  <c r="L56" i="15" s="1"/>
  <c r="J57" i="15"/>
  <c r="J55" i="15" s="1"/>
  <c r="J58" i="15" s="1"/>
  <c r="Q50" i="15" s="1"/>
  <c r="I54" i="15"/>
  <c r="AB23" i="36"/>
  <c r="U23" i="36"/>
  <c r="W12" i="34"/>
  <c r="AC12" i="34"/>
  <c r="S13" i="36"/>
  <c r="AA13" i="36"/>
  <c r="J7" i="34"/>
  <c r="W7" i="34" s="1"/>
  <c r="C41" i="71"/>
  <c r="D40" i="71"/>
  <c r="AZ207" i="3"/>
  <c r="AZ193" i="3"/>
  <c r="AC23" i="36"/>
  <c r="W23" i="36"/>
  <c r="AB12" i="34"/>
  <c r="U12" i="34"/>
  <c r="AC13" i="36"/>
  <c r="W13" i="36"/>
  <c r="E8" i="71"/>
  <c r="E7" i="71" s="1"/>
  <c r="E6" i="71" s="1"/>
  <c r="E5" i="71" s="1"/>
  <c r="V9" i="71"/>
  <c r="F7" i="34"/>
  <c r="S7" i="34" s="1"/>
  <c r="C7" i="43"/>
  <c r="C20" i="71"/>
  <c r="D21" i="71"/>
  <c r="U21" i="71" s="1"/>
  <c r="T21" i="71"/>
  <c r="C29" i="71"/>
  <c r="D28" i="71"/>
  <c r="C61" i="71"/>
  <c r="D60" i="71"/>
  <c r="AZ97" i="3"/>
  <c r="AZ178" i="3"/>
  <c r="AZ133" i="3"/>
  <c r="AZ222" i="3"/>
  <c r="AZ472" i="3"/>
  <c r="AA23" i="36"/>
  <c r="S23" i="36"/>
  <c r="AB13" i="36"/>
  <c r="U13" i="36"/>
  <c r="AZ561" i="3"/>
  <c r="G5" i="3"/>
  <c r="B3" i="3" s="1"/>
  <c r="AZ94" i="3"/>
  <c r="AZ221" i="3"/>
  <c r="U25" i="37"/>
  <c r="AB25" i="37"/>
  <c r="F30" i="6"/>
  <c r="E28" i="6"/>
  <c r="B20" i="71"/>
  <c r="B19" i="71" s="1"/>
  <c r="B18" i="71" s="1"/>
  <c r="B17" i="71" s="1"/>
  <c r="S21" i="71"/>
  <c r="C37" i="71"/>
  <c r="D36" i="71"/>
  <c r="C53" i="71"/>
  <c r="D52" i="71"/>
  <c r="AZ77" i="3"/>
  <c r="AA25" i="37"/>
  <c r="S25" i="37"/>
  <c r="AA38" i="40"/>
  <c r="S38" i="40"/>
  <c r="AB38" i="40"/>
  <c r="U38" i="40"/>
  <c r="U31" i="40"/>
  <c r="AB31" i="40"/>
  <c r="F7" i="36"/>
  <c r="S7" i="36" s="1"/>
  <c r="AZ206" i="3"/>
  <c r="AZ53" i="3"/>
  <c r="AZ62" i="3"/>
  <c r="E14" i="6"/>
  <c r="E10" i="6"/>
  <c r="W31" i="40"/>
  <c r="AC31" i="40"/>
  <c r="AA12" i="36"/>
  <c r="S12" i="36"/>
  <c r="N63" i="71"/>
  <c r="N62" i="71"/>
  <c r="U12" i="36"/>
  <c r="AB12" i="36"/>
  <c r="Q64" i="71"/>
  <c r="F63" i="71"/>
  <c r="W36" i="35"/>
  <c r="AC36" i="35"/>
  <c r="W12" i="36"/>
  <c r="AC12" i="36"/>
  <c r="D24" i="71"/>
  <c r="C23" i="71"/>
  <c r="D23" i="71" s="1"/>
  <c r="AZ43" i="3"/>
  <c r="AZ22" i="3"/>
  <c r="BL5" i="3"/>
  <c r="AZ27" i="3"/>
  <c r="AZ446" i="3"/>
  <c r="AA26" i="33"/>
  <c r="S26" i="33"/>
  <c r="AB14" i="37"/>
  <c r="U14" i="37"/>
  <c r="BA5" i="3"/>
  <c r="E27" i="6" s="1"/>
  <c r="B34" i="72"/>
  <c r="D17" i="53"/>
  <c r="B36" i="72" s="1"/>
  <c r="C49" i="71"/>
  <c r="D48" i="71"/>
  <c r="AZ21" i="3"/>
  <c r="AZ450" i="3"/>
  <c r="AC26" i="33"/>
  <c r="W26" i="33"/>
  <c r="AC14" i="37"/>
  <c r="W14" i="37"/>
  <c r="AC25" i="37"/>
  <c r="W25" i="37"/>
  <c r="AZ166" i="3"/>
  <c r="AZ25" i="3"/>
  <c r="AC38" i="40"/>
  <c r="W38" i="40"/>
  <c r="AA12" i="34"/>
  <c r="S12"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F7" i="33"/>
  <c r="E58" i="21"/>
  <c r="F7" i="37"/>
  <c r="M17" i="67"/>
  <c r="M17" i="15"/>
  <c r="F59" i="15"/>
  <c r="P24" i="43"/>
  <c r="B66" i="40" s="1"/>
  <c r="P21" i="43"/>
  <c r="C49" i="67"/>
  <c r="P25" i="43"/>
  <c r="P23" i="43"/>
  <c r="B70" i="39" s="1"/>
  <c r="C15" i="67"/>
  <c r="C18" i="67"/>
  <c r="Q60" i="67"/>
  <c r="Q73" i="67"/>
  <c r="M28" i="43"/>
  <c r="N28" i="43"/>
  <c r="O28" i="43"/>
  <c r="P28" i="43"/>
  <c r="M11" i="67"/>
  <c r="J10" i="67" s="1"/>
  <c r="J5" i="67" s="1"/>
  <c r="F11" i="15"/>
  <c r="M11" i="15"/>
  <c r="F11" i="67"/>
  <c r="J18" i="67"/>
  <c r="F1" i="67"/>
  <c r="Q52" i="67"/>
  <c r="Q61" i="67"/>
  <c r="Q74" i="67"/>
  <c r="F43" i="15"/>
  <c r="F7" i="15"/>
  <c r="M29" i="15"/>
  <c r="E56" i="39" l="1"/>
  <c r="F27" i="6"/>
  <c r="F31" i="6" s="1"/>
  <c r="AC7" i="37"/>
  <c r="V42" i="37" s="1"/>
  <c r="I42" i="37" s="1"/>
  <c r="W7" i="36"/>
  <c r="AB26" i="35"/>
  <c r="U26" i="35"/>
  <c r="F50" i="15"/>
  <c r="C49" i="15" s="1"/>
  <c r="M7" i="15"/>
  <c r="J6" i="15" s="1"/>
  <c r="J18" i="15" s="1"/>
  <c r="C6" i="15"/>
  <c r="C32" i="15" s="1"/>
  <c r="F71" i="15"/>
  <c r="D57" i="71"/>
  <c r="T57" i="71"/>
  <c r="T33" i="71"/>
  <c r="D33" i="71"/>
  <c r="G30" i="6"/>
  <c r="G31" i="6" s="1"/>
  <c r="H16" i="1"/>
  <c r="G16" i="1"/>
  <c r="U7" i="34"/>
  <c r="C47" i="11"/>
  <c r="D45" i="11" s="1"/>
  <c r="P62" i="71"/>
  <c r="P63" i="71"/>
  <c r="AC7" i="34"/>
  <c r="V49" i="34" s="1"/>
  <c r="I49" i="34" s="1"/>
  <c r="I53" i="34" s="1"/>
  <c r="J53" i="34" s="1"/>
  <c r="M6" i="1"/>
  <c r="AZ5" i="3"/>
  <c r="AY6" i="3" s="1"/>
  <c r="F27" i="69"/>
  <c r="C47" i="69" s="1"/>
  <c r="D45" i="69" s="1"/>
  <c r="F28" i="12"/>
  <c r="C29" i="12" s="1"/>
  <c r="D28" i="12" s="1"/>
  <c r="F27" i="68"/>
  <c r="C47" i="68" s="1"/>
  <c r="D45" i="68" s="1"/>
  <c r="E16" i="6"/>
  <c r="E62" i="39"/>
  <c r="E60" i="39"/>
  <c r="E60" i="40"/>
  <c r="E57" i="40"/>
  <c r="S7" i="43"/>
  <c r="T7" i="43" s="1"/>
  <c r="V7" i="43" s="1"/>
  <c r="C23" i="43"/>
  <c r="C21" i="43" s="1"/>
  <c r="C29" i="43" s="1"/>
  <c r="C30" i="43" s="1"/>
  <c r="E30" i="43" s="1"/>
  <c r="S4" i="43"/>
  <c r="T4" i="43" s="1"/>
  <c r="V4" i="43" s="1"/>
  <c r="S6" i="43"/>
  <c r="T6" i="43" s="1"/>
  <c r="V6" i="43" s="1"/>
  <c r="S2" i="43"/>
  <c r="T2" i="43" s="1"/>
  <c r="V2" i="43" s="1"/>
  <c r="S5" i="43"/>
  <c r="T5" i="43" s="1"/>
  <c r="V5" i="43" s="1"/>
  <c r="S3" i="43"/>
  <c r="T3" i="43" s="1"/>
  <c r="V3" i="43" s="1"/>
  <c r="C115" i="43"/>
  <c r="D113" i="43" s="1"/>
  <c r="F1" i="15"/>
  <c r="Q52" i="15"/>
  <c r="Q74" i="15"/>
  <c r="Q73" i="15"/>
  <c r="AA7" i="34"/>
  <c r="R49" i="34" s="1"/>
  <c r="R50" i="34" s="1"/>
  <c r="U7" i="36"/>
  <c r="U7" i="37"/>
  <c r="AA7" i="36"/>
  <c r="R36" i="36" s="1"/>
  <c r="E36" i="36" s="1"/>
  <c r="E366" i="3"/>
  <c r="E268" i="3"/>
  <c r="E261" i="3"/>
  <c r="E553" i="3"/>
  <c r="E445" i="3"/>
  <c r="E516" i="3"/>
  <c r="E431" i="3"/>
  <c r="E229" i="3"/>
  <c r="E397" i="3"/>
  <c r="E511" i="3"/>
  <c r="E536" i="3"/>
  <c r="E434" i="3"/>
  <c r="E262" i="3"/>
  <c r="E156" i="3"/>
  <c r="E269" i="3"/>
  <c r="E223" i="3"/>
  <c r="E327" i="3"/>
  <c r="AG6" i="3"/>
  <c r="E411" i="3"/>
  <c r="E485" i="3"/>
  <c r="E414" i="3"/>
  <c r="E443" i="3"/>
  <c r="E367" i="3"/>
  <c r="E557" i="3"/>
  <c r="AS6" i="3"/>
  <c r="E546" i="3"/>
  <c r="E28" i="3"/>
  <c r="E27" i="3"/>
  <c r="E121" i="3"/>
  <c r="E126" i="3"/>
  <c r="E211" i="3"/>
  <c r="E210" i="3"/>
  <c r="E316" i="3"/>
  <c r="E317" i="3"/>
  <c r="E572" i="3"/>
  <c r="E44" i="3"/>
  <c r="E480" i="3"/>
  <c r="E425" i="3"/>
  <c r="E46" i="3"/>
  <c r="E142" i="3"/>
  <c r="E249" i="3"/>
  <c r="E310" i="3"/>
  <c r="E84" i="3"/>
  <c r="E144" i="3"/>
  <c r="E355" i="3"/>
  <c r="E63" i="3"/>
  <c r="E264" i="3"/>
  <c r="E513" i="3"/>
  <c r="E217" i="3"/>
  <c r="E319" i="3"/>
  <c r="E183" i="3"/>
  <c r="N6" i="3"/>
  <c r="AA6" i="3"/>
  <c r="E336" i="3"/>
  <c r="E390" i="3"/>
  <c r="AR6" i="3"/>
  <c r="E506" i="3"/>
  <c r="E439" i="3"/>
  <c r="E321" i="3"/>
  <c r="E216" i="3"/>
  <c r="E61" i="3"/>
  <c r="E271" i="3"/>
  <c r="E164" i="3"/>
  <c r="E330" i="3"/>
  <c r="E532" i="3"/>
  <c r="E560" i="3"/>
  <c r="E458" i="3"/>
  <c r="E481" i="3"/>
  <c r="E438" i="3"/>
  <c r="E465" i="3"/>
  <c r="E562" i="3"/>
  <c r="AE6" i="3"/>
  <c r="E537" i="3"/>
  <c r="E468" i="3"/>
  <c r="E433" i="3"/>
  <c r="E55" i="3"/>
  <c r="E54" i="3"/>
  <c r="E146" i="3"/>
  <c r="E150" i="3"/>
  <c r="E256" i="3"/>
  <c r="E257" i="3"/>
  <c r="E315" i="3"/>
  <c r="E318" i="3"/>
  <c r="E580" i="3"/>
  <c r="E93" i="3"/>
  <c r="E409" i="3"/>
  <c r="E455" i="3"/>
  <c r="E100" i="3"/>
  <c r="E194" i="3"/>
  <c r="E299" i="3"/>
  <c r="E392" i="3"/>
  <c r="E36" i="3"/>
  <c r="E364" i="3"/>
  <c r="E62" i="3"/>
  <c r="E265" i="3"/>
  <c r="E101" i="3"/>
  <c r="E415" i="3"/>
  <c r="E153" i="3"/>
  <c r="E508" i="3"/>
  <c r="E329" i="3"/>
  <c r="E567" i="3"/>
  <c r="E352" i="3"/>
  <c r="E165" i="3"/>
  <c r="E358" i="3"/>
  <c r="E570" i="3"/>
  <c r="V6" i="3"/>
  <c r="E294" i="3"/>
  <c r="E189" i="3"/>
  <c r="E254" i="3"/>
  <c r="E180" i="3"/>
  <c r="E149" i="3"/>
  <c r="E253" i="3"/>
  <c r="E141" i="3"/>
  <c r="E393" i="3"/>
  <c r="E534" i="3"/>
  <c r="E456" i="3"/>
  <c r="E507" i="3"/>
  <c r="E408" i="3"/>
  <c r="E490" i="3"/>
  <c r="E556" i="3"/>
  <c r="J6" i="3"/>
  <c r="E494" i="3"/>
  <c r="E483" i="3"/>
  <c r="E420" i="3"/>
  <c r="E41" i="3"/>
  <c r="E178" i="3"/>
  <c r="E139" i="3"/>
  <c r="E242" i="3"/>
  <c r="E243" i="3"/>
  <c r="E346" i="3"/>
  <c r="L6" i="3"/>
  <c r="E94" i="3"/>
  <c r="E428" i="3"/>
  <c r="E18" i="3"/>
  <c r="E129" i="3"/>
  <c r="E522" i="3"/>
  <c r="E34" i="3"/>
  <c r="E232" i="3"/>
  <c r="AF6" i="3"/>
  <c r="E113" i="3"/>
  <c r="E308" i="3"/>
  <c r="E83" i="3"/>
  <c r="E530" i="3"/>
  <c r="E213" i="3"/>
  <c r="E503" i="3"/>
  <c r="E388" i="3"/>
  <c r="E574" i="3"/>
  <c r="E337" i="3"/>
  <c r="E97" i="3"/>
  <c r="E385" i="3"/>
  <c r="AN6" i="3"/>
  <c r="E578" i="3"/>
  <c r="E350" i="3"/>
  <c r="E263" i="3"/>
  <c r="E159" i="3"/>
  <c r="E157" i="3"/>
  <c r="E120" i="3"/>
  <c r="E224" i="3"/>
  <c r="E133" i="3"/>
  <c r="E575" i="3"/>
  <c r="E542" i="3"/>
  <c r="E502" i="3"/>
  <c r="E464" i="3"/>
  <c r="E541" i="3"/>
  <c r="E416" i="3"/>
  <c r="E566" i="3"/>
  <c r="E554" i="3"/>
  <c r="E413" i="3"/>
  <c r="E491" i="3"/>
  <c r="E436" i="3"/>
  <c r="E56" i="3"/>
  <c r="E152" i="3"/>
  <c r="E258" i="3"/>
  <c r="E259" i="3"/>
  <c r="E363" i="3"/>
  <c r="E375" i="3"/>
  <c r="E544" i="3"/>
  <c r="E110" i="3"/>
  <c r="E462" i="3"/>
  <c r="E47" i="3"/>
  <c r="E138" i="3"/>
  <c r="E248" i="3"/>
  <c r="E307" i="3"/>
  <c r="E48" i="3"/>
  <c r="E250" i="3"/>
  <c r="Y6" i="3"/>
  <c r="E154" i="3"/>
  <c r="E323" i="3"/>
  <c r="E175" i="3"/>
  <c r="E565" i="3"/>
  <c r="E322" i="3"/>
  <c r="E583" i="3"/>
  <c r="E399" i="3"/>
  <c r="E246" i="3"/>
  <c r="E172" i="3"/>
  <c r="E410" i="3"/>
  <c r="E151" i="3"/>
  <c r="E353" i="3"/>
  <c r="E551" i="3"/>
  <c r="E423" i="3"/>
  <c r="E215" i="3"/>
  <c r="E99" i="3"/>
  <c r="E140" i="3"/>
  <c r="E177" i="3"/>
  <c r="E379" i="3"/>
  <c r="R6" i="3"/>
  <c r="E448" i="3"/>
  <c r="E53" i="3"/>
  <c r="E282" i="3"/>
  <c r="E239" i="3"/>
  <c r="E461" i="3"/>
  <c r="E128" i="3"/>
  <c r="E314" i="3"/>
  <c r="AI6" i="3"/>
  <c r="E453" i="3"/>
  <c r="E236" i="3"/>
  <c r="E207" i="3"/>
  <c r="E145" i="3"/>
  <c r="E519" i="3"/>
  <c r="E573" i="3"/>
  <c r="E472" i="3"/>
  <c r="E406" i="3"/>
  <c r="E288" i="3"/>
  <c r="W6" i="3"/>
  <c r="E429" i="3"/>
  <c r="E496" i="3"/>
  <c r="E72" i="3"/>
  <c r="E111" i="3"/>
  <c r="E171" i="3"/>
  <c r="E214" i="3"/>
  <c r="E357" i="3"/>
  <c r="E14" i="3"/>
  <c r="E32" i="3"/>
  <c r="E15" i="3"/>
  <c r="E170" i="3"/>
  <c r="E219" i="3"/>
  <c r="AQ6" i="3"/>
  <c r="E50" i="3"/>
  <c r="E218" i="3"/>
  <c r="E237" i="3"/>
  <c r="E260" i="3"/>
  <c r="E125" i="3"/>
  <c r="E361" i="3"/>
  <c r="E539" i="3"/>
  <c r="E514" i="3"/>
  <c r="E320" i="3"/>
  <c r="E245" i="3"/>
  <c r="E91" i="3"/>
  <c r="AD6" i="3"/>
  <c r="E515" i="3"/>
  <c r="E466" i="3"/>
  <c r="E400" i="3"/>
  <c r="E374" i="3"/>
  <c r="E547" i="3"/>
  <c r="E435" i="3"/>
  <c r="E404" i="3"/>
  <c r="E90" i="3"/>
  <c r="E162" i="3"/>
  <c r="E192" i="3"/>
  <c r="E273" i="3"/>
  <c r="E378" i="3"/>
  <c r="AM6" i="3"/>
  <c r="E59" i="3"/>
  <c r="E467" i="3"/>
  <c r="E195" i="3"/>
  <c r="E300" i="3"/>
  <c r="E66" i="3"/>
  <c r="E184" i="3"/>
  <c r="E51" i="3"/>
  <c r="E283" i="3"/>
  <c r="E278" i="3"/>
  <c r="E426" i="3"/>
  <c r="O6" i="3"/>
  <c r="E247" i="3"/>
  <c r="E495" i="3"/>
  <c r="AK6" i="3"/>
  <c r="E382" i="3"/>
  <c r="E196" i="3"/>
  <c r="E228" i="3"/>
  <c r="E252" i="3"/>
  <c r="E107" i="3"/>
  <c r="K6" i="3"/>
  <c r="E529" i="3"/>
  <c r="E474" i="3"/>
  <c r="E424" i="3"/>
  <c r="E344" i="3"/>
  <c r="E571" i="3"/>
  <c r="E450" i="3"/>
  <c r="E454" i="3"/>
  <c r="E106" i="3"/>
  <c r="E168" i="3"/>
  <c r="E208" i="3"/>
  <c r="E274" i="3"/>
  <c r="E394" i="3"/>
  <c r="E79" i="3"/>
  <c r="E137" i="3"/>
  <c r="E339" i="3"/>
  <c r="E289" i="3"/>
  <c r="E20" i="3"/>
  <c r="E365" i="3"/>
  <c r="E526" i="3"/>
  <c r="E550" i="3"/>
  <c r="E555" i="3"/>
  <c r="E559" i="3"/>
  <c r="E549" i="3"/>
  <c r="E335" i="3"/>
  <c r="E136" i="3"/>
  <c r="E221" i="3"/>
  <c r="E277" i="3"/>
  <c r="E499" i="3"/>
  <c r="E405" i="3"/>
  <c r="E487" i="3"/>
  <c r="E440" i="3"/>
  <c r="I3" i="6"/>
  <c r="E13" i="3"/>
  <c r="E460" i="3"/>
  <c r="E463" i="3"/>
  <c r="E37" i="3"/>
  <c r="E198" i="3"/>
  <c r="E240" i="3"/>
  <c r="E276" i="3"/>
  <c r="E349" i="3"/>
  <c r="E42" i="3"/>
  <c r="E540" i="3"/>
  <c r="E96" i="3"/>
  <c r="E163" i="3"/>
  <c r="E383" i="3"/>
  <c r="E24" i="3"/>
  <c r="E251" i="3"/>
  <c r="E19" i="3"/>
  <c r="E326" i="3"/>
  <c r="AJ6" i="3"/>
  <c r="E501" i="3"/>
  <c r="E535" i="3"/>
  <c r="E528" i="3"/>
  <c r="E509" i="3"/>
  <c r="E293" i="3"/>
  <c r="I6" i="3"/>
  <c r="E380" i="3"/>
  <c r="E135" i="3"/>
  <c r="E313" i="3"/>
  <c r="AO6" i="3"/>
  <c r="E398" i="3"/>
  <c r="E558" i="3"/>
  <c r="E531" i="3"/>
  <c r="E479" i="3"/>
  <c r="E95" i="3"/>
  <c r="E331" i="3"/>
  <c r="E58" i="3"/>
  <c r="E521" i="3"/>
  <c r="E200" i="3"/>
  <c r="E492" i="3"/>
  <c r="E284" i="3"/>
  <c r="E85" i="3"/>
  <c r="E421" i="3"/>
  <c r="E587" i="3"/>
  <c r="E475" i="3"/>
  <c r="E115" i="3"/>
  <c r="E377" i="3"/>
  <c r="E74" i="3"/>
  <c r="E234" i="3"/>
  <c r="E340" i="3"/>
  <c r="E287" i="3"/>
  <c r="E267" i="3"/>
  <c r="E581" i="3"/>
  <c r="E49" i="3"/>
  <c r="E395" i="3"/>
  <c r="E545" i="3"/>
  <c r="E523" i="3"/>
  <c r="E303" i="3"/>
  <c r="E148" i="3"/>
  <c r="E369" i="3"/>
  <c r="E422" i="3"/>
  <c r="E403" i="3"/>
  <c r="E279" i="3"/>
  <c r="E412" i="3"/>
  <c r="E23" i="3"/>
  <c r="E579" i="3"/>
  <c r="E16" i="3"/>
  <c r="E296" i="3"/>
  <c r="E77" i="3"/>
  <c r="E312" i="3"/>
  <c r="E437" i="3"/>
  <c r="E430" i="3"/>
  <c r="E505" i="3"/>
  <c r="E419" i="3"/>
  <c r="E295" i="3"/>
  <c r="E391" i="3"/>
  <c r="E60" i="3"/>
  <c r="E446" i="3"/>
  <c r="E35" i="3"/>
  <c r="E370" i="3"/>
  <c r="E222" i="3"/>
  <c r="Q6" i="3"/>
  <c r="E371" i="3"/>
  <c r="E343" i="3"/>
  <c r="E305" i="3"/>
  <c r="X6" i="3"/>
  <c r="E561" i="3"/>
  <c r="E231" i="3"/>
  <c r="E181" i="3"/>
  <c r="E212" i="3"/>
  <c r="E576" i="3"/>
  <c r="E427" i="3"/>
  <c r="AH6" i="3"/>
  <c r="E452" i="3"/>
  <c r="E39" i="3"/>
  <c r="E281" i="3"/>
  <c r="E333" i="3"/>
  <c r="E76" i="3"/>
  <c r="E64" i="3"/>
  <c r="E275" i="3"/>
  <c r="E86" i="3"/>
  <c r="E341" i="3"/>
  <c r="E309" i="3"/>
  <c r="E459" i="3"/>
  <c r="E488" i="3"/>
  <c r="E17" i="3"/>
  <c r="E569" i="3"/>
  <c r="M6" i="3"/>
  <c r="E244" i="3"/>
  <c r="E238" i="3"/>
  <c r="E525" i="3"/>
  <c r="E442" i="3"/>
  <c r="E449" i="3"/>
  <c r="AP6" i="3"/>
  <c r="E476" i="3"/>
  <c r="E71" i="3"/>
  <c r="E187" i="3"/>
  <c r="E297" i="3"/>
  <c r="E334" i="3"/>
  <c r="E98" i="3"/>
  <c r="E209" i="3"/>
  <c r="E67" i="3"/>
  <c r="E381" i="3"/>
  <c r="E373" i="3"/>
  <c r="E167" i="3"/>
  <c r="E328" i="3"/>
  <c r="E510" i="3"/>
  <c r="E538" i="3"/>
  <c r="E298" i="3"/>
  <c r="E117" i="3"/>
  <c r="E204" i="3"/>
  <c r="E493" i="3"/>
  <c r="E478" i="3"/>
  <c r="E457" i="3"/>
  <c r="E497" i="3"/>
  <c r="E471" i="3"/>
  <c r="E88" i="3"/>
  <c r="E203" i="3"/>
  <c r="E226" i="3"/>
  <c r="E362" i="3"/>
  <c r="E29" i="3"/>
  <c r="E38" i="3"/>
  <c r="E112" i="3"/>
  <c r="E68" i="3"/>
  <c r="E524" i="3"/>
  <c r="E302" i="3"/>
  <c r="E359" i="3"/>
  <c r="E270" i="3"/>
  <c r="AB6" i="3"/>
  <c r="E230" i="3"/>
  <c r="E89" i="3"/>
  <c r="E197" i="3"/>
  <c r="Z6" i="3"/>
  <c r="E486" i="3"/>
  <c r="E451" i="3"/>
  <c r="E500" i="3"/>
  <c r="E489" i="3"/>
  <c r="E104" i="3"/>
  <c r="E119" i="3"/>
  <c r="E241" i="3"/>
  <c r="E384" i="3"/>
  <c r="E43" i="3"/>
  <c r="E78" i="3"/>
  <c r="E266" i="3"/>
  <c r="E33" i="3"/>
  <c r="E102" i="3"/>
  <c r="E22" i="3"/>
  <c r="E372" i="3"/>
  <c r="E227" i="3"/>
  <c r="E533" i="3"/>
  <c r="E418" i="3"/>
  <c r="E130" i="3"/>
  <c r="E199" i="3"/>
  <c r="U6" i="3"/>
  <c r="E548" i="3"/>
  <c r="E477" i="3"/>
  <c r="E582" i="3"/>
  <c r="E520" i="3"/>
  <c r="E70" i="3"/>
  <c r="E166" i="3"/>
  <c r="E292" i="3"/>
  <c r="E389" i="3"/>
  <c r="E441" i="3"/>
  <c r="E103" i="3"/>
  <c r="E386" i="3"/>
  <c r="E21" i="3"/>
  <c r="E527" i="3"/>
  <c r="E351" i="3"/>
  <c r="E160" i="3"/>
  <c r="E176" i="3"/>
  <c r="E169" i="3"/>
  <c r="E469" i="3"/>
  <c r="E132" i="3"/>
  <c r="E80" i="3"/>
  <c r="E205" i="3"/>
  <c r="E568" i="3"/>
  <c r="E407" i="3"/>
  <c r="E191" i="3"/>
  <c r="E193" i="3"/>
  <c r="E564" i="3"/>
  <c r="E577" i="3"/>
  <c r="E401" i="3"/>
  <c r="E73" i="3"/>
  <c r="E186" i="3"/>
  <c r="AL6" i="3"/>
  <c r="E473" i="3"/>
  <c r="E325" i="3"/>
  <c r="E206" i="3"/>
  <c r="E143" i="3"/>
  <c r="S6" i="3"/>
  <c r="E338" i="3"/>
  <c r="E185" i="3"/>
  <c r="E105" i="3"/>
  <c r="T6" i="3"/>
  <c r="P6" i="3"/>
  <c r="E360" i="3"/>
  <c r="E498" i="3"/>
  <c r="E417" i="3"/>
  <c r="E92" i="3"/>
  <c r="E202" i="3"/>
  <c r="E332" i="3"/>
  <c r="E504" i="3"/>
  <c r="E484" i="3"/>
  <c r="E190" i="3"/>
  <c r="E342" i="3"/>
  <c r="E127" i="3"/>
  <c r="E118" i="3"/>
  <c r="E311" i="3"/>
  <c r="E82" i="3"/>
  <c r="E347" i="3"/>
  <c r="E201" i="3"/>
  <c r="E518" i="3"/>
  <c r="E306" i="3"/>
  <c r="E134" i="3"/>
  <c r="E552" i="3"/>
  <c r="E512" i="3"/>
  <c r="E376" i="3"/>
  <c r="E517" i="3"/>
  <c r="E447" i="3"/>
  <c r="E108" i="3"/>
  <c r="E348" i="3"/>
  <c r="E30" i="3"/>
  <c r="E482" i="3"/>
  <c r="E174" i="3"/>
  <c r="E354" i="3"/>
  <c r="E233" i="3"/>
  <c r="E158" i="3"/>
  <c r="E402" i="3"/>
  <c r="E470" i="3"/>
  <c r="E65" i="3"/>
  <c r="E368" i="3"/>
  <c r="E585" i="3"/>
  <c r="E161" i="3"/>
  <c r="E543" i="3"/>
  <c r="E304" i="3"/>
  <c r="E324" i="3"/>
  <c r="E356" i="3"/>
  <c r="E173" i="3"/>
  <c r="E155" i="3"/>
  <c r="E290" i="3"/>
  <c r="E387" i="3"/>
  <c r="T61" i="71"/>
  <c r="D61" i="71"/>
  <c r="E220" i="3"/>
  <c r="E69" i="3"/>
  <c r="E45" i="3"/>
  <c r="E255" i="3"/>
  <c r="T37" i="71"/>
  <c r="D37" i="71"/>
  <c r="E25" i="3"/>
  <c r="E432" i="3"/>
  <c r="E182" i="3"/>
  <c r="E444" i="3"/>
  <c r="E225" i="3"/>
  <c r="B16" i="71"/>
  <c r="B15" i="71" s="1"/>
  <c r="B14" i="71" s="1"/>
  <c r="B13" i="71" s="1"/>
  <c r="S17" i="71"/>
  <c r="D41" i="71"/>
  <c r="T41" i="71"/>
  <c r="Q62" i="71"/>
  <c r="Q63" i="71"/>
  <c r="E131" i="3"/>
  <c r="E563" i="3"/>
  <c r="E116" i="3"/>
  <c r="E147" i="3"/>
  <c r="K22" i="6"/>
  <c r="M22" i="6" s="1"/>
  <c r="I22" i="6" s="1"/>
  <c r="S22" i="6" s="1"/>
  <c r="K25" i="6"/>
  <c r="M25" i="6" s="1"/>
  <c r="I25" i="6" s="1"/>
  <c r="S25" i="6" s="1"/>
  <c r="K14" i="1"/>
  <c r="K24" i="6"/>
  <c r="M24" i="6" s="1"/>
  <c r="I24" i="6" s="1"/>
  <c r="S24" i="6" s="1"/>
  <c r="K26" i="6"/>
  <c r="M26" i="6" s="1"/>
  <c r="I26" i="6" s="1"/>
  <c r="S26" i="6" s="1"/>
  <c r="K20" i="6"/>
  <c r="M20" i="6" s="1"/>
  <c r="I20" i="6" s="1"/>
  <c r="S20" i="6" s="1"/>
  <c r="K23" i="6"/>
  <c r="M23" i="6" s="1"/>
  <c r="I23" i="6" s="1"/>
  <c r="S23" i="6" s="1"/>
  <c r="K21" i="6"/>
  <c r="M21" i="6" s="1"/>
  <c r="I21" i="6" s="1"/>
  <c r="S21" i="6" s="1"/>
  <c r="K19" i="6"/>
  <c r="S6" i="1" s="1"/>
  <c r="E30" i="6"/>
  <c r="E31" i="6" s="1"/>
  <c r="D29" i="71"/>
  <c r="T29" i="71"/>
  <c r="E40" i="3"/>
  <c r="E291" i="3"/>
  <c r="E584" i="3"/>
  <c r="T49" i="71"/>
  <c r="D49" i="71"/>
  <c r="E109" i="3"/>
  <c r="E75" i="3"/>
  <c r="E188" i="3"/>
  <c r="E586" i="3"/>
  <c r="E26" i="3"/>
  <c r="E345" i="3"/>
  <c r="E59" i="40"/>
  <c r="E63" i="39"/>
  <c r="E57" i="3"/>
  <c r="E123" i="3"/>
  <c r="C19" i="71"/>
  <c r="D20" i="71"/>
  <c r="E286" i="3"/>
  <c r="E396" i="3"/>
  <c r="E52" i="3"/>
  <c r="E81" i="3"/>
  <c r="E179" i="3"/>
  <c r="E235" i="3"/>
  <c r="E122" i="3"/>
  <c r="E285" i="3"/>
  <c r="E87" i="3"/>
  <c r="E31" i="3"/>
  <c r="T53" i="71"/>
  <c r="D53" i="71"/>
  <c r="E114" i="3"/>
  <c r="E280" i="3"/>
  <c r="E272" i="3"/>
  <c r="E124" i="3"/>
  <c r="E301" i="3"/>
  <c r="G67" i="39"/>
  <c r="F69" i="39"/>
  <c r="E39" i="43"/>
  <c r="G39" i="43"/>
  <c r="I39" i="43" s="1"/>
  <c r="C35" i="43"/>
  <c r="C36" i="43"/>
  <c r="C37" i="43"/>
  <c r="C33" i="43"/>
  <c r="C34" i="43"/>
  <c r="C38" i="43"/>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AE6" i="1"/>
  <c r="C16" i="15"/>
  <c r="C17" i="15"/>
  <c r="E49" i="34" l="1"/>
  <c r="G54" i="34"/>
  <c r="H54" i="34" s="1"/>
  <c r="R37" i="36"/>
  <c r="E3" i="6"/>
  <c r="C10" i="15"/>
  <c r="C5" i="15" s="1"/>
  <c r="C38" i="15" s="1"/>
  <c r="C29" i="69"/>
  <c r="D27" i="69" s="1"/>
  <c r="F10" i="40"/>
  <c r="F10" i="39"/>
  <c r="H10" i="39"/>
  <c r="J10" i="40"/>
  <c r="H10" i="40"/>
  <c r="J10" i="39"/>
  <c r="J10" i="15"/>
  <c r="J5" i="15" s="1"/>
  <c r="J24" i="15" s="1"/>
  <c r="C48" i="15"/>
  <c r="C66" i="15" s="1"/>
  <c r="F45" i="69"/>
  <c r="E6" i="70"/>
  <c r="E2" i="70" s="1"/>
  <c r="F45" i="68"/>
  <c r="C29" i="68"/>
  <c r="D27" i="68" s="1"/>
  <c r="AQ6" i="1"/>
  <c r="T6" i="1"/>
  <c r="AR6" i="1"/>
  <c r="S16" i="1"/>
  <c r="H6" i="3"/>
  <c r="AC6" i="3"/>
  <c r="E65" i="39"/>
  <c r="E29" i="43"/>
  <c r="M19" i="6"/>
  <c r="K27" i="6"/>
  <c r="D19" i="71"/>
  <c r="C18" i="71"/>
  <c r="M14" i="1"/>
  <c r="K16" i="1"/>
  <c r="C34" i="69"/>
  <c r="B12" i="71"/>
  <c r="B11" i="71" s="1"/>
  <c r="B10" i="71" s="1"/>
  <c r="B9" i="71" s="1"/>
  <c r="S13" i="71"/>
  <c r="AY67" i="3"/>
  <c r="AY160" i="3"/>
  <c r="AY74" i="3"/>
  <c r="AY261" i="3"/>
  <c r="AY252" i="3"/>
  <c r="AY319" i="3"/>
  <c r="AY412" i="3"/>
  <c r="AY116" i="3"/>
  <c r="AY379" i="3"/>
  <c r="AY478" i="3"/>
  <c r="AY557" i="3"/>
  <c r="AY539" i="3"/>
  <c r="AY69" i="3"/>
  <c r="AY20" i="3"/>
  <c r="AY162" i="3"/>
  <c r="AY134" i="3"/>
  <c r="AY255" i="3"/>
  <c r="AY227" i="3"/>
  <c r="AY368" i="3"/>
  <c r="AY88" i="3"/>
  <c r="AY181" i="3"/>
  <c r="AY275" i="3"/>
  <c r="AY370" i="3"/>
  <c r="AY324" i="3"/>
  <c r="AY449" i="3"/>
  <c r="AY419" i="3"/>
  <c r="AY572" i="3"/>
  <c r="AY552" i="3"/>
  <c r="AY496" i="3"/>
  <c r="AY64" i="3"/>
  <c r="AY153" i="3"/>
  <c r="AY250" i="3"/>
  <c r="AY337" i="3"/>
  <c r="AY479" i="3"/>
  <c r="AY434" i="3"/>
  <c r="AY505" i="3"/>
  <c r="AY515" i="3"/>
  <c r="BP6" i="3"/>
  <c r="AY62" i="3"/>
  <c r="AY151" i="3"/>
  <c r="AY248" i="3"/>
  <c r="AY315" i="3"/>
  <c r="AY408" i="3"/>
  <c r="AY568" i="3"/>
  <c r="AY54" i="3"/>
  <c r="AY143" i="3"/>
  <c r="AY240" i="3"/>
  <c r="AY307" i="3"/>
  <c r="AY400" i="3"/>
  <c r="BT6" i="3"/>
  <c r="AY66" i="3"/>
  <c r="AY155" i="3"/>
  <c r="AY188" i="3"/>
  <c r="AY58" i="3"/>
  <c r="AY225" i="3"/>
  <c r="AY318" i="3"/>
  <c r="AY409" i="3"/>
  <c r="AY245" i="3"/>
  <c r="AY358" i="3"/>
  <c r="AY452" i="3"/>
  <c r="BK6" i="3"/>
  <c r="AY553" i="3"/>
  <c r="AY45" i="3"/>
  <c r="AY206" i="3"/>
  <c r="AY138" i="3"/>
  <c r="AY299" i="3"/>
  <c r="AY231" i="3"/>
  <c r="AY392" i="3"/>
  <c r="AY554" i="3"/>
  <c r="AY41" i="3"/>
  <c r="AY177" i="3"/>
  <c r="AY274" i="3"/>
  <c r="AY349" i="3"/>
  <c r="AY491" i="3"/>
  <c r="AY446" i="3"/>
  <c r="AY581" i="3"/>
  <c r="BF6" i="3"/>
  <c r="AY16" i="3"/>
  <c r="AY519" i="3"/>
  <c r="AY37" i="3"/>
  <c r="AY129" i="3"/>
  <c r="AY223" i="3"/>
  <c r="AY313" i="3"/>
  <c r="AY484" i="3"/>
  <c r="AY410" i="3"/>
  <c r="AY499" i="3"/>
  <c r="AY509" i="3"/>
  <c r="BA6" i="3"/>
  <c r="AY35" i="3"/>
  <c r="AY127" i="3"/>
  <c r="AY221" i="3"/>
  <c r="AY314" i="3"/>
  <c r="AY405" i="3"/>
  <c r="AY587" i="3"/>
  <c r="AY27" i="3"/>
  <c r="AY119" i="3"/>
  <c r="AY213" i="3"/>
  <c r="AY306" i="3"/>
  <c r="AY550" i="3"/>
  <c r="AY498" i="3"/>
  <c r="AY34" i="3"/>
  <c r="AY124" i="3"/>
  <c r="AY152" i="3"/>
  <c r="AY168" i="3"/>
  <c r="AY382" i="3"/>
  <c r="AY473" i="3"/>
  <c r="AY529" i="3"/>
  <c r="AY260" i="3"/>
  <c r="AY327" i="3"/>
  <c r="AY420" i="3"/>
  <c r="AY544" i="3"/>
  <c r="AY97" i="3"/>
  <c r="AY76" i="3"/>
  <c r="AY190" i="3"/>
  <c r="AY165" i="3"/>
  <c r="AY283" i="3"/>
  <c r="AY262" i="3"/>
  <c r="AY397" i="3"/>
  <c r="BH6" i="3"/>
  <c r="AY56" i="3"/>
  <c r="AY145" i="3"/>
  <c r="AY242" i="3"/>
  <c r="AY333" i="3"/>
  <c r="AY475" i="3"/>
  <c r="AY430" i="3"/>
  <c r="BQ6" i="3"/>
  <c r="AY571" i="3"/>
  <c r="AY501" i="3"/>
  <c r="AY101" i="3"/>
  <c r="AY194" i="3"/>
  <c r="AY287" i="3"/>
  <c r="AY380" i="3"/>
  <c r="AY344" i="3"/>
  <c r="AY468" i="3"/>
  <c r="AY439" i="3"/>
  <c r="AY14" i="3"/>
  <c r="AY542" i="3"/>
  <c r="AY99" i="3"/>
  <c r="AY192" i="3"/>
  <c r="AY285" i="3"/>
  <c r="AY378" i="3"/>
  <c r="AY469" i="3"/>
  <c r="AY558" i="3"/>
  <c r="AY91" i="3"/>
  <c r="AY184" i="3"/>
  <c r="AY277" i="3"/>
  <c r="AY391" i="3"/>
  <c r="AY490" i="3"/>
  <c r="BD6" i="3"/>
  <c r="AY18" i="3"/>
  <c r="AY132" i="3"/>
  <c r="AY163" i="3"/>
  <c r="AY147" i="3"/>
  <c r="AY387" i="3"/>
  <c r="AY486" i="3"/>
  <c r="AY526" i="3"/>
  <c r="AY244" i="3"/>
  <c r="AY311" i="3"/>
  <c r="AY404" i="3"/>
  <c r="AY574" i="3"/>
  <c r="AY89" i="3"/>
  <c r="AY68" i="3"/>
  <c r="AY182" i="3"/>
  <c r="AY157" i="3"/>
  <c r="AY302" i="3"/>
  <c r="AY254" i="3"/>
  <c r="AY389" i="3"/>
  <c r="BI6" i="3"/>
  <c r="AY40" i="3"/>
  <c r="AY130" i="3"/>
  <c r="AY226" i="3"/>
  <c r="AY325" i="3"/>
  <c r="AY467" i="3"/>
  <c r="AY422" i="3"/>
  <c r="AY525" i="3"/>
  <c r="AY527" i="3"/>
  <c r="AY508" i="3"/>
  <c r="AY112" i="3"/>
  <c r="AY205" i="3"/>
  <c r="AY298" i="3"/>
  <c r="AY385" i="3"/>
  <c r="AY336" i="3"/>
  <c r="AY461" i="3"/>
  <c r="AY431" i="3"/>
  <c r="AY564" i="3"/>
  <c r="AY530" i="3"/>
  <c r="AY110" i="3"/>
  <c r="AY203" i="3"/>
  <c r="AY296" i="3"/>
  <c r="AY383" i="3"/>
  <c r="AY482" i="3"/>
  <c r="AY13" i="3"/>
  <c r="AY102" i="3"/>
  <c r="AY195" i="3"/>
  <c r="AY288" i="3"/>
  <c r="AY375" i="3"/>
  <c r="AY474" i="3"/>
  <c r="AY15" i="3"/>
  <c r="AY23" i="3"/>
  <c r="AY59" i="3"/>
  <c r="AY297" i="3"/>
  <c r="AY335" i="3"/>
  <c r="AY106" i="3"/>
  <c r="AY395" i="3"/>
  <c r="AY433" i="3"/>
  <c r="AY541" i="3"/>
  <c r="AY60" i="3"/>
  <c r="AY170" i="3"/>
  <c r="AY294" i="3"/>
  <c r="AY214" i="3"/>
  <c r="BJ6" i="3"/>
  <c r="AY197" i="3"/>
  <c r="AY210" i="3"/>
  <c r="AY332" i="3"/>
  <c r="AY414" i="3"/>
  <c r="AY561" i="3"/>
  <c r="AY584" i="3"/>
  <c r="AY80" i="3"/>
  <c r="AY282" i="3"/>
  <c r="AY345" i="3"/>
  <c r="AY453" i="3"/>
  <c r="AY579" i="3"/>
  <c r="BR6" i="3"/>
  <c r="AY78" i="3"/>
  <c r="AY280" i="3"/>
  <c r="AY331" i="3"/>
  <c r="AY517" i="3"/>
  <c r="AY70" i="3"/>
  <c r="AY273" i="3"/>
  <c r="AY323" i="3"/>
  <c r="BC6" i="3"/>
  <c r="AY196" i="3"/>
  <c r="AY42" i="3"/>
  <c r="AY284" i="3"/>
  <c r="AY303" i="3"/>
  <c r="AY43" i="3"/>
  <c r="AY372" i="3"/>
  <c r="AY417" i="3"/>
  <c r="BE6" i="3"/>
  <c r="AY52" i="3"/>
  <c r="AY154" i="3"/>
  <c r="AY286" i="3"/>
  <c r="AY219" i="3"/>
  <c r="BB6" i="3"/>
  <c r="AY166" i="3"/>
  <c r="AY215" i="3"/>
  <c r="AY316" i="3"/>
  <c r="AY406" i="3"/>
  <c r="AY534" i="3"/>
  <c r="AY532" i="3"/>
  <c r="AY48" i="3"/>
  <c r="AY267" i="3"/>
  <c r="AY329" i="3"/>
  <c r="AY445" i="3"/>
  <c r="AY506" i="3"/>
  <c r="AY545" i="3"/>
  <c r="AY46" i="3"/>
  <c r="AY265" i="3"/>
  <c r="AY346" i="3"/>
  <c r="AY547" i="3"/>
  <c r="AY38" i="3"/>
  <c r="AY257" i="3"/>
  <c r="AY338" i="3"/>
  <c r="AY566" i="3"/>
  <c r="AY191" i="3"/>
  <c r="AY183" i="3"/>
  <c r="AY237" i="3"/>
  <c r="AY489" i="3"/>
  <c r="AY199" i="3"/>
  <c r="AY343" i="3"/>
  <c r="AY535" i="3"/>
  <c r="AY105" i="3"/>
  <c r="AY36" i="3"/>
  <c r="AY173" i="3"/>
  <c r="AY271" i="3"/>
  <c r="AY384" i="3"/>
  <c r="AY93" i="3"/>
  <c r="AY161" i="3"/>
  <c r="AY393" i="3"/>
  <c r="AY483" i="3"/>
  <c r="AY435" i="3"/>
  <c r="AY536" i="3"/>
  <c r="AY556" i="3"/>
  <c r="AY21" i="3"/>
  <c r="AY235" i="3"/>
  <c r="AY305" i="3"/>
  <c r="AY450" i="3"/>
  <c r="AY538" i="3"/>
  <c r="AY548" i="3"/>
  <c r="AY19" i="3"/>
  <c r="AY233" i="3"/>
  <c r="AY485" i="3"/>
  <c r="AY528" i="3"/>
  <c r="AY200" i="3"/>
  <c r="AY272" i="3"/>
  <c r="AY477" i="3"/>
  <c r="AY583" i="3"/>
  <c r="AY139" i="3"/>
  <c r="AY75" i="3"/>
  <c r="AY470" i="3"/>
  <c r="AY229" i="3"/>
  <c r="AY447" i="3"/>
  <c r="AY108" i="3"/>
  <c r="AY198" i="3"/>
  <c r="AY117" i="3"/>
  <c r="AY381" i="3"/>
  <c r="AY72" i="3"/>
  <c r="AY243" i="3"/>
  <c r="AY488" i="3"/>
  <c r="AY503" i="3"/>
  <c r="AY559" i="3"/>
  <c r="AY189" i="3"/>
  <c r="AY396" i="3"/>
  <c r="AY492" i="3"/>
  <c r="D3" i="6"/>
  <c r="AY493" i="3"/>
  <c r="AY120" i="3"/>
  <c r="AY466" i="3"/>
  <c r="AY107" i="3"/>
  <c r="AY136" i="3"/>
  <c r="AY459" i="3"/>
  <c r="AY103" i="3"/>
  <c r="AY115" i="3"/>
  <c r="AY204" i="3"/>
  <c r="AY455" i="3"/>
  <c r="AY228" i="3"/>
  <c r="AY436" i="3"/>
  <c r="AY100" i="3"/>
  <c r="AY291" i="3"/>
  <c r="AY373" i="3"/>
  <c r="AY24" i="3"/>
  <c r="AY258" i="3"/>
  <c r="AY480" i="3"/>
  <c r="BM6" i="3"/>
  <c r="AY543" i="3"/>
  <c r="AY174" i="3"/>
  <c r="AY476" i="3"/>
  <c r="AY522" i="3"/>
  <c r="AY94" i="3"/>
  <c r="AY301" i="3"/>
  <c r="AY451" i="3"/>
  <c r="AY293" i="3"/>
  <c r="AY443" i="3"/>
  <c r="AY212" i="3"/>
  <c r="AY278" i="3"/>
  <c r="AY388" i="3"/>
  <c r="AY580" i="3"/>
  <c r="AY158" i="3"/>
  <c r="AY458" i="3"/>
  <c r="AY79" i="3"/>
  <c r="AY456" i="3"/>
  <c r="AY241" i="3"/>
  <c r="AY246" i="3"/>
  <c r="AY172" i="3"/>
  <c r="AY201" i="3"/>
  <c r="AY369" i="3"/>
  <c r="AY86" i="3"/>
  <c r="AY87" i="3"/>
  <c r="AY289" i="3"/>
  <c r="AY253" i="3"/>
  <c r="AY460" i="3"/>
  <c r="AY401" i="3"/>
  <c r="AY92" i="3"/>
  <c r="AY193" i="3"/>
  <c r="AY374" i="3"/>
  <c r="AY29" i="3"/>
  <c r="AY472" i="3"/>
  <c r="AY494" i="3"/>
  <c r="AY361" i="3"/>
  <c r="AY524" i="3"/>
  <c r="AY249" i="3"/>
  <c r="AY71" i="3"/>
  <c r="AY448" i="3"/>
  <c r="AY98" i="3"/>
  <c r="AY95" i="3"/>
  <c r="AY268" i="3"/>
  <c r="AY444" i="3"/>
  <c r="AY217" i="3"/>
  <c r="AY513" i="3"/>
  <c r="AY85" i="3"/>
  <c r="AY185" i="3"/>
  <c r="AY263" i="3"/>
  <c r="AY365" i="3"/>
  <c r="AY202" i="3"/>
  <c r="AY377" i="3"/>
  <c r="AY464" i="3"/>
  <c r="AY585" i="3"/>
  <c r="AY514" i="3"/>
  <c r="AY142" i="3"/>
  <c r="AY364" i="3"/>
  <c r="AY442" i="3"/>
  <c r="AY575" i="3"/>
  <c r="AY63" i="3"/>
  <c r="AY264" i="3"/>
  <c r="AY440" i="3"/>
  <c r="AY55" i="3"/>
  <c r="AY256" i="3"/>
  <c r="AY432" i="3"/>
  <c r="AY90" i="3"/>
  <c r="AY428" i="3"/>
  <c r="AY549" i="3"/>
  <c r="AY178" i="3"/>
  <c r="AY247" i="3"/>
  <c r="AY186" i="3"/>
  <c r="AY353" i="3"/>
  <c r="AY457" i="3"/>
  <c r="AY582" i="3"/>
  <c r="AY169" i="3"/>
  <c r="AY352" i="3"/>
  <c r="AY502" i="3"/>
  <c r="AY47" i="3"/>
  <c r="AY232" i="3"/>
  <c r="AY424" i="3"/>
  <c r="AY224" i="3"/>
  <c r="AY416" i="3"/>
  <c r="AY497" i="3"/>
  <c r="AY121" i="3"/>
  <c r="AY96" i="3"/>
  <c r="AY551" i="3"/>
  <c r="AY367" i="3"/>
  <c r="AY83" i="3"/>
  <c r="AY236" i="3"/>
  <c r="AY390" i="3"/>
  <c r="AY77" i="3"/>
  <c r="AY357" i="3"/>
  <c r="AY516" i="3"/>
  <c r="AY426" i="3"/>
  <c r="AY39" i="3"/>
  <c r="AY569" i="3"/>
  <c r="AY521" i="3"/>
  <c r="AY51" i="3"/>
  <c r="AY31" i="3"/>
  <c r="AY220" i="3"/>
  <c r="AY441" i="3"/>
  <c r="AY355" i="3"/>
  <c r="AY562" i="3"/>
  <c r="AY61" i="3"/>
  <c r="AY146" i="3"/>
  <c r="AY239" i="3"/>
  <c r="AY360" i="3"/>
  <c r="AY150" i="3"/>
  <c r="AY356" i="3"/>
  <c r="AY462" i="3"/>
  <c r="BN6" i="3"/>
  <c r="AY577" i="3"/>
  <c r="AY137" i="3"/>
  <c r="AY321" i="3"/>
  <c r="AY418" i="3"/>
  <c r="AY565" i="3"/>
  <c r="AY30" i="3"/>
  <c r="AY216" i="3"/>
  <c r="AY437" i="3"/>
  <c r="AY22" i="3"/>
  <c r="AY208" i="3"/>
  <c r="AY429" i="3"/>
  <c r="AY82" i="3"/>
  <c r="AY131" i="3"/>
  <c r="AY209" i="3"/>
  <c r="AY425" i="3"/>
  <c r="AY342" i="3"/>
  <c r="AY573" i="3"/>
  <c r="AY53" i="3"/>
  <c r="AY149" i="3"/>
  <c r="AY270" i="3"/>
  <c r="BS6" i="3"/>
  <c r="AY114" i="3"/>
  <c r="AY341" i="3"/>
  <c r="AY454" i="3"/>
  <c r="AY546" i="3"/>
  <c r="AY523" i="3"/>
  <c r="AY122" i="3"/>
  <c r="AY328" i="3"/>
  <c r="AY402" i="3"/>
  <c r="AY537" i="3"/>
  <c r="AY187" i="3"/>
  <c r="AY394" i="3"/>
  <c r="AY421" i="3"/>
  <c r="AY179" i="3"/>
  <c r="AY386" i="3"/>
  <c r="AY413" i="3"/>
  <c r="AY507" i="3"/>
  <c r="AY207" i="3"/>
  <c r="AY281" i="3"/>
  <c r="AY363" i="3"/>
  <c r="AY26" i="3"/>
  <c r="AY310" i="3"/>
  <c r="AY540" i="3"/>
  <c r="AY44" i="3"/>
  <c r="AY133" i="3"/>
  <c r="AY238" i="3"/>
  <c r="AY109" i="3"/>
  <c r="AY295" i="3"/>
  <c r="AY309" i="3"/>
  <c r="AY398" i="3"/>
  <c r="AY495" i="3"/>
  <c r="AY81" i="3"/>
  <c r="AY251" i="3"/>
  <c r="AY312" i="3"/>
  <c r="AY415" i="3"/>
  <c r="AY570" i="3"/>
  <c r="AY156" i="3"/>
  <c r="AY359" i="3"/>
  <c r="AY560" i="3"/>
  <c r="AY148" i="3"/>
  <c r="AY351" i="3"/>
  <c r="AY511" i="3"/>
  <c r="AY176" i="3"/>
  <c r="AY366" i="3"/>
  <c r="AY481" i="3"/>
  <c r="AY533" i="3"/>
  <c r="AY126" i="3"/>
  <c r="AY104" i="3"/>
  <c r="AY348" i="3"/>
  <c r="AY427" i="3"/>
  <c r="AY65" i="3"/>
  <c r="AY304" i="3"/>
  <c r="AY531" i="3"/>
  <c r="AY140" i="3"/>
  <c r="AY512" i="3"/>
  <c r="AY269" i="3"/>
  <c r="AY125" i="3"/>
  <c r="AY57" i="3"/>
  <c r="AY308" i="3"/>
  <c r="BG6" i="3"/>
  <c r="AY32" i="3"/>
  <c r="AY471" i="3"/>
  <c r="AY17" i="3"/>
  <c r="AY563" i="3"/>
  <c r="AY330" i="3"/>
  <c r="AY576" i="3"/>
  <c r="AY128" i="3"/>
  <c r="AY567" i="3"/>
  <c r="AY50" i="3"/>
  <c r="AY326" i="3"/>
  <c r="AY317" i="3"/>
  <c r="AY113" i="3"/>
  <c r="AY376" i="3"/>
  <c r="AY292" i="3"/>
  <c r="AY180" i="3"/>
  <c r="AY28" i="3"/>
  <c r="AY230" i="3"/>
  <c r="AY279" i="3"/>
  <c r="AY518" i="3"/>
  <c r="AY266" i="3"/>
  <c r="AY407" i="3"/>
  <c r="AY362" i="3"/>
  <c r="AY175" i="3"/>
  <c r="AY354" i="3"/>
  <c r="AY504" i="3"/>
  <c r="AY144" i="3"/>
  <c r="AY276" i="3"/>
  <c r="AY350" i="3"/>
  <c r="AY300" i="3"/>
  <c r="AY465" i="3"/>
  <c r="BO6" i="3"/>
  <c r="AY33" i="3"/>
  <c r="AY118" i="3"/>
  <c r="AY222" i="3"/>
  <c r="AY73" i="3"/>
  <c r="AY290" i="3"/>
  <c r="AY340" i="3"/>
  <c r="AY411" i="3"/>
  <c r="AY510" i="3"/>
  <c r="AY49" i="3"/>
  <c r="AY234" i="3"/>
  <c r="AY487" i="3"/>
  <c r="AY399" i="3"/>
  <c r="AY578" i="3"/>
  <c r="AY167" i="3"/>
  <c r="AY347" i="3"/>
  <c r="BL6" i="3"/>
  <c r="AY159" i="3"/>
  <c r="AY339" i="3"/>
  <c r="AY586" i="3"/>
  <c r="AY123" i="3"/>
  <c r="AY84" i="3"/>
  <c r="AY438" i="3"/>
  <c r="AY320" i="3"/>
  <c r="AY500" i="3"/>
  <c r="AY171" i="3"/>
  <c r="AY111" i="3"/>
  <c r="AY334" i="3"/>
  <c r="AY463" i="3"/>
  <c r="AY555" i="3"/>
  <c r="AY25" i="3"/>
  <c r="AY211" i="3"/>
  <c r="AY259" i="3"/>
  <c r="AY403" i="3"/>
  <c r="AY218" i="3"/>
  <c r="AY135" i="3"/>
  <c r="AY322" i="3"/>
  <c r="AY371" i="3"/>
  <c r="AY141" i="3"/>
  <c r="AY520" i="3"/>
  <c r="AY423" i="3"/>
  <c r="AY164"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66" i="67"/>
  <c r="C60" i="67"/>
  <c r="C23" i="67"/>
  <c r="C29" i="67" s="1"/>
  <c r="B6" i="76"/>
  <c r="F41" i="15"/>
  <c r="E6" i="76"/>
  <c r="C14" i="15"/>
  <c r="D19" i="11" l="1"/>
  <c r="C19" i="11" s="1"/>
  <c r="C24" i="11" s="1"/>
  <c r="E6" i="6"/>
  <c r="D10" i="11" s="1"/>
  <c r="C10" i="11" s="1"/>
  <c r="M18" i="9"/>
  <c r="B118" i="9" s="1"/>
  <c r="B14" i="74" s="1"/>
  <c r="B1" i="74" s="1"/>
  <c r="C7" i="74" s="1"/>
  <c r="D3" i="37"/>
  <c r="L18" i="9"/>
  <c r="D14" i="12"/>
  <c r="D17" i="12" s="1"/>
  <c r="C17" i="12" s="1"/>
  <c r="D37" i="11"/>
  <c r="C37" i="11" s="1"/>
  <c r="D3" i="21"/>
  <c r="C17" i="4"/>
  <c r="B4" i="52" s="1"/>
  <c r="B43" i="72" s="1"/>
  <c r="D3" i="33"/>
  <c r="D3" i="34"/>
  <c r="B2" i="34" s="1"/>
  <c r="B3" i="34" s="1"/>
  <c r="C60" i="15"/>
  <c r="J26" i="15"/>
  <c r="J29" i="15" s="1"/>
  <c r="AC10" i="39"/>
  <c r="W10" i="39"/>
  <c r="U10" i="40"/>
  <c r="AB10" i="40"/>
  <c r="W10" i="40"/>
  <c r="AC10" i="40"/>
  <c r="U10" i="39"/>
  <c r="AB10" i="39"/>
  <c r="S10" i="39"/>
  <c r="AA10" i="39"/>
  <c r="S10" i="40"/>
  <c r="AA10" i="40"/>
  <c r="F69" i="15"/>
  <c r="C15" i="15"/>
  <c r="C18" i="15"/>
  <c r="E6" i="3"/>
  <c r="B8" i="71"/>
  <c r="B7" i="71" s="1"/>
  <c r="B6" i="71" s="1"/>
  <c r="B5" i="71" s="1"/>
  <c r="S9" i="71"/>
  <c r="C35" i="69"/>
  <c r="C38" i="69"/>
  <c r="O14" i="1"/>
  <c r="O16" i="1" s="1"/>
  <c r="T16" i="1"/>
  <c r="M16" i="1"/>
  <c r="C20" i="11"/>
  <c r="C25" i="11" s="1"/>
  <c r="D18" i="71"/>
  <c r="C17" i="71"/>
  <c r="I19" i="6"/>
  <c r="H19" i="6" s="1"/>
  <c r="M27" i="6"/>
  <c r="M19" i="9"/>
  <c r="C118" i="9" s="1"/>
  <c r="C14" i="74" s="1"/>
  <c r="B2" i="74" s="1"/>
  <c r="D14" i="6"/>
  <c r="D28" i="6"/>
  <c r="D25" i="6"/>
  <c r="H25" i="6"/>
  <c r="D15" i="6"/>
  <c r="H22" i="6"/>
  <c r="H20" i="6"/>
  <c r="C18" i="4"/>
  <c r="D12" i="6"/>
  <c r="H23" i="6"/>
  <c r="D22" i="6"/>
  <c r="D13" i="6"/>
  <c r="D8" i="6"/>
  <c r="L19" i="9"/>
  <c r="D23" i="6"/>
  <c r="E61" i="40"/>
  <c r="D19" i="6"/>
  <c r="H21" i="6"/>
  <c r="H26" i="6"/>
  <c r="D26" i="6"/>
  <c r="D21" i="6"/>
  <c r="D24" i="6"/>
  <c r="H24" i="6"/>
  <c r="D20" i="6"/>
  <c r="D9" i="6"/>
  <c r="D11" i="6"/>
  <c r="D10" i="6"/>
  <c r="D5" i="6"/>
  <c r="D29"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22" i="11" l="1"/>
  <c r="B2" i="33"/>
  <c r="B3" i="33" s="1"/>
  <c r="B2" i="37"/>
  <c r="B3" i="37" s="1"/>
  <c r="D10" i="69"/>
  <c r="D19" i="69" s="1"/>
  <c r="D10" i="68"/>
  <c r="D19" i="68" s="1"/>
  <c r="D20" i="12"/>
  <c r="C20" i="12" s="1"/>
  <c r="D6" i="6"/>
  <c r="C14" i="12"/>
  <c r="C19" i="15"/>
  <c r="C20" i="15" s="1"/>
  <c r="C26" i="15" s="1"/>
  <c r="H27" i="6"/>
  <c r="D30" i="6"/>
  <c r="D16" i="6"/>
  <c r="P14" i="1"/>
  <c r="P16" i="1" s="1"/>
  <c r="C11" i="12" s="1"/>
  <c r="C15" i="12" s="1"/>
  <c r="R22" i="6"/>
  <c r="R21" i="6"/>
  <c r="R23" i="6"/>
  <c r="R20" i="6"/>
  <c r="R24" i="6"/>
  <c r="R26" i="6"/>
  <c r="R25" i="6"/>
  <c r="C28" i="11"/>
  <c r="C27" i="11" s="1"/>
  <c r="N16" i="1"/>
  <c r="L16" i="1"/>
  <c r="C34" i="11"/>
  <c r="C34" i="68"/>
  <c r="D7" i="74"/>
  <c r="D27" i="6"/>
  <c r="R19" i="6"/>
  <c r="S19" i="6"/>
  <c r="S27" i="6" s="1"/>
  <c r="I27" i="6"/>
  <c r="C16" i="71"/>
  <c r="T17" i="71"/>
  <c r="D17" i="71"/>
  <c r="U17" i="71" s="1"/>
  <c r="A7" i="51"/>
  <c r="B7" i="72" s="1"/>
  <c r="C4" i="52"/>
  <c r="B45" i="72" s="1"/>
  <c r="A10" i="51"/>
  <c r="B9" i="72"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31" i="11" l="1"/>
  <c r="C10" i="69"/>
  <c r="C8" i="69" s="1"/>
  <c r="C5" i="69" s="1"/>
  <c r="C23" i="69" s="1"/>
  <c r="C10" i="68"/>
  <c r="B29" i="1" s="1"/>
  <c r="C8" i="68" s="1"/>
  <c r="C23" i="15"/>
  <c r="C29" i="15" s="1"/>
  <c r="R27" i="6"/>
  <c r="R6" i="1"/>
  <c r="D31" i="6"/>
  <c r="I6" i="6" s="1"/>
  <c r="C11" i="40" s="1"/>
  <c r="C12" i="12"/>
  <c r="C16" i="12" s="1"/>
  <c r="C19" i="69"/>
  <c r="C24" i="69" s="1"/>
  <c r="D37" i="69"/>
  <c r="C37" i="69" s="1"/>
  <c r="C33" i="69" s="1"/>
  <c r="C15" i="71"/>
  <c r="D16" i="71"/>
  <c r="C35" i="68"/>
  <c r="C38" i="68"/>
  <c r="C38" i="11"/>
  <c r="C35" i="11"/>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18" i="12" l="1"/>
  <c r="C21" i="12" s="1"/>
  <c r="C22" i="12" s="1"/>
  <c r="C30" i="12" s="1"/>
  <c r="C28" i="12" s="1"/>
  <c r="J7" i="35"/>
  <c r="AC7" i="35" s="1"/>
  <c r="V38" i="35" s="1"/>
  <c r="I38" i="35" s="1"/>
  <c r="C57" i="15"/>
  <c r="C61" i="15" s="1"/>
  <c r="J59" i="15"/>
  <c r="J60" i="15" s="1"/>
  <c r="Q48" i="15" s="1"/>
  <c r="Q49" i="15"/>
  <c r="C13" i="15"/>
  <c r="C56" i="15" s="1"/>
  <c r="C65" i="15" s="1"/>
  <c r="J19" i="15"/>
  <c r="J14" i="15"/>
  <c r="J22" i="15" s="1"/>
  <c r="C36" i="15"/>
  <c r="F11" i="40"/>
  <c r="H11" i="40"/>
  <c r="J11" i="40"/>
  <c r="J20" i="15"/>
  <c r="F63" i="15"/>
  <c r="C62" i="15" s="1"/>
  <c r="C34" i="15"/>
  <c r="C31" i="15" s="1"/>
  <c r="R16" i="1"/>
  <c r="I5" i="6"/>
  <c r="C20" i="69"/>
  <c r="C25" i="69" s="1"/>
  <c r="C22" i="69" s="1"/>
  <c r="C33" i="68"/>
  <c r="C39" i="68" s="1"/>
  <c r="C33" i="11"/>
  <c r="C39" i="11" s="1"/>
  <c r="C39" i="69"/>
  <c r="C43" i="69" s="1"/>
  <c r="C42" i="69"/>
  <c r="C24" i="68"/>
  <c r="C14" i="71"/>
  <c r="D15" i="7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W7" i="35" l="1"/>
  <c r="C64" i="15"/>
  <c r="J17" i="15"/>
  <c r="C37" i="15"/>
  <c r="C30" i="15" s="1"/>
  <c r="C39" i="15" s="1"/>
  <c r="C75" i="15"/>
  <c r="Q70" i="15"/>
  <c r="J13" i="15"/>
  <c r="J23" i="15" s="1"/>
  <c r="W11" i="40"/>
  <c r="AC11" i="40"/>
  <c r="AB11" i="40"/>
  <c r="U11" i="40"/>
  <c r="C59" i="15"/>
  <c r="AA11" i="40"/>
  <c r="S11" i="40"/>
  <c r="C27" i="12"/>
  <c r="C25" i="12" s="1"/>
  <c r="C32" i="12" s="1"/>
  <c r="B2" i="12" s="1"/>
  <c r="B3" i="12" s="1"/>
  <c r="C41" i="69"/>
  <c r="C28" i="69"/>
  <c r="C27" i="69" s="1"/>
  <c r="C31" i="69" s="1"/>
  <c r="C42" i="68"/>
  <c r="C42" i="11"/>
  <c r="C46" i="69"/>
  <c r="C45" i="69" s="1"/>
  <c r="C46" i="68"/>
  <c r="C45" i="68" s="1"/>
  <c r="C43" i="68"/>
  <c r="C46" i="11"/>
  <c r="C45" i="11" s="1"/>
  <c r="C43" i="1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L57" i="15" l="1"/>
  <c r="L60" i="15" s="1"/>
  <c r="L46" i="15" s="1"/>
  <c r="C58" i="15"/>
  <c r="C67" i="15" s="1"/>
  <c r="C68" i="15" s="1"/>
  <c r="C71" i="15" s="1"/>
  <c r="J16" i="15"/>
  <c r="J25" i="15" s="1"/>
  <c r="Q67" i="15"/>
  <c r="C40" i="15"/>
  <c r="C80" i="15"/>
  <c r="C79" i="15" s="1"/>
  <c r="Q69" i="15"/>
  <c r="Q68" i="15" s="1"/>
  <c r="C49" i="69"/>
  <c r="C51" i="69" s="1"/>
  <c r="C52" i="69" s="1"/>
  <c r="B2" i="69" s="1"/>
  <c r="B3" i="69" s="1"/>
  <c r="C41" i="11"/>
  <c r="C49" i="11" s="1"/>
  <c r="C51" i="11" s="1"/>
  <c r="C41" i="68"/>
  <c r="C49" i="68" s="1"/>
  <c r="C51" i="68" s="1"/>
  <c r="C12" i="71"/>
  <c r="T13" i="71"/>
  <c r="D13" i="71"/>
  <c r="U13" i="71" s="1"/>
  <c r="M69" i="39"/>
  <c r="N67" i="39"/>
  <c r="R39" i="35"/>
  <c r="E38" i="35"/>
  <c r="M63" i="40"/>
  <c r="L65" i="40"/>
  <c r="Q57" i="15" l="1"/>
  <c r="Q66" i="15"/>
  <c r="B2" i="15"/>
  <c r="B3" i="15" s="1"/>
  <c r="C43" i="15"/>
  <c r="C83" i="15"/>
  <c r="C82" i="15" s="1"/>
  <c r="Q47" i="15"/>
  <c r="Q53" i="15" s="1"/>
  <c r="Q56" i="15"/>
  <c r="C46" i="15"/>
  <c r="Q65" i="15"/>
  <c r="C57" i="69"/>
  <c r="C56" i="69" s="1"/>
  <c r="C11" i="71"/>
  <c r="D12" i="71"/>
  <c r="C52" i="11"/>
  <c r="B2" i="11" s="1"/>
  <c r="B3" i="11" s="1"/>
  <c r="O67" i="39"/>
  <c r="O69" i="39" s="1"/>
  <c r="N69" i="39"/>
  <c r="F7" i="39"/>
  <c r="C39" i="35"/>
  <c r="B2" i="35" s="1"/>
  <c r="B3" i="35" s="1"/>
  <c r="C38" i="35"/>
  <c r="N63" i="40"/>
  <c r="M65" i="40"/>
  <c r="E43" i="35"/>
  <c r="F43" i="35" s="1"/>
  <c r="E42" i="35"/>
  <c r="F42" i="35" s="1"/>
  <c r="I43" i="35"/>
  <c r="J43" i="35" s="1"/>
  <c r="D19" i="9"/>
  <c r="AO6" i="1"/>
  <c r="D20" i="9"/>
  <c r="Q75" i="15" l="1"/>
  <c r="D102" i="9"/>
  <c r="D21" i="9"/>
  <c r="B6" i="70"/>
  <c r="B2" i="70" s="1"/>
  <c r="B3" i="70" s="1"/>
  <c r="Q62" i="15"/>
  <c r="D103" i="9"/>
  <c r="C56" i="11"/>
  <c r="C57" i="11" s="1"/>
  <c r="D11" i="71"/>
  <c r="C10" i="71"/>
  <c r="H7" i="39"/>
  <c r="J7" i="39"/>
  <c r="S7" i="39"/>
  <c r="AA7" i="39"/>
  <c r="R47" i="39" s="1"/>
  <c r="O63" i="40"/>
  <c r="O65" i="40" s="1"/>
  <c r="N65" i="40"/>
  <c r="C9" i="71" l="1"/>
  <c r="D10" i="71"/>
  <c r="W7" i="39"/>
  <c r="AC7" i="39"/>
  <c r="V47" i="39" s="1"/>
  <c r="I47" i="39" s="1"/>
  <c r="E47" i="39"/>
  <c r="R48" i="39"/>
  <c r="U7" i="39"/>
  <c r="AB7" i="39"/>
  <c r="T47" i="39" s="1"/>
  <c r="G47" i="39" s="1"/>
  <c r="J7" i="40"/>
  <c r="F7" i="40"/>
  <c r="H7" i="40"/>
  <c r="C8" i="71" l="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l="1"/>
  <c r="B2" i="40" s="1"/>
  <c r="B3" i="40" s="1"/>
  <c r="D5" i="71"/>
  <c r="M20" i="43"/>
  <c r="C7" i="68" l="1"/>
  <c r="C5" i="68" s="1"/>
  <c r="C23" i="68" l="1"/>
  <c r="C20" i="68"/>
  <c r="C25" i="68" s="1"/>
  <c r="C28" i="68" l="1"/>
  <c r="C27" i="68" s="1"/>
  <c r="C22" i="68"/>
  <c r="C31" i="68" l="1"/>
  <c r="C52" i="68" s="1"/>
  <c r="B2" i="68" s="1"/>
  <c r="C19" i="9"/>
  <c r="C57" i="68" l="1"/>
  <c r="C56" i="68" s="1"/>
  <c r="D22" i="9"/>
  <c r="G19" i="9"/>
  <c r="C102" i="9"/>
  <c r="C21" i="9"/>
  <c r="B3" i="68"/>
  <c r="C20" i="9"/>
  <c r="D35" i="9"/>
  <c r="D34" i="9"/>
  <c r="G21" i="9" l="1"/>
  <c r="C103" i="9"/>
  <c r="G20" i="9"/>
  <c r="C32" i="9" s="1"/>
  <c r="C35" i="9" s="1"/>
  <c r="C34" i="9" s="1"/>
  <c r="D118" i="9" s="1"/>
  <c r="K118" i="9" s="1"/>
  <c r="D119" i="9" l="1"/>
  <c r="D5" i="52" s="1"/>
  <c r="B49" i="72" s="1"/>
  <c r="H118" i="9"/>
  <c r="H4" i="52" s="1"/>
  <c r="F118" i="9"/>
  <c r="F4" i="52" s="1"/>
  <c r="B51" i="72" s="1"/>
  <c r="D4" i="52"/>
  <c r="B47" i="72" s="1"/>
  <c r="H119" i="9" l="1"/>
  <c r="H5" i="52" s="1"/>
  <c r="H101" i="9"/>
  <c r="D45" i="9" s="1"/>
  <c r="C72" i="9" s="1"/>
  <c r="C104" i="9"/>
  <c r="I118" i="9"/>
  <c r="H102" i="9" s="1"/>
  <c r="D7" i="53" s="1"/>
  <c r="B21" i="72" s="1"/>
  <c r="D14" i="74"/>
  <c r="E14" i="74" s="1"/>
  <c r="G118" i="9"/>
  <c r="G4" i="52" s="1"/>
  <c r="B52" i="72" s="1"/>
  <c r="F119" i="9"/>
  <c r="F5" i="52" s="1"/>
  <c r="B53" i="72" s="1"/>
  <c r="C93" i="9" l="1"/>
  <c r="C86" i="9" s="1"/>
  <c r="C64" i="9"/>
  <c r="C63" i="9" s="1"/>
  <c r="C67" i="9" s="1"/>
  <c r="C68" i="9" s="1"/>
  <c r="D54" i="9" s="1"/>
  <c r="D52" i="9"/>
  <c r="M48" i="9"/>
  <c r="C85" i="9"/>
  <c r="D5" i="53"/>
  <c r="D6" i="53" s="1"/>
  <c r="B22" i="72" s="1"/>
  <c r="D53" i="9"/>
  <c r="D48" i="9" s="1"/>
  <c r="M52" i="9" s="1"/>
  <c r="D55" i="9"/>
  <c r="M53" i="9" s="1"/>
  <c r="H107" i="9"/>
  <c r="H108" i="9" s="1"/>
  <c r="D15" i="53" s="1"/>
  <c r="B31" i="72" s="1"/>
  <c r="C78" i="9"/>
  <c r="C73" i="9" s="1"/>
  <c r="C79" i="9" s="1"/>
  <c r="F14" i="74"/>
  <c r="B5" i="74"/>
  <c r="D5" i="74" s="1"/>
  <c r="E118" i="9"/>
  <c r="E4" i="52" s="1"/>
  <c r="B48" i="72" s="1"/>
  <c r="I4" i="52"/>
  <c r="C105" i="9"/>
  <c r="C95" i="9" l="1"/>
  <c r="C96" i="9" s="1"/>
  <c r="E96" i="9" s="1"/>
  <c r="E97" i="9" s="1"/>
  <c r="D59" i="9"/>
  <c r="M55" i="9" s="1"/>
  <c r="D122" i="9"/>
  <c r="G14" i="74" s="1"/>
  <c r="B6" i="74" s="1"/>
  <c r="D13" i="53"/>
  <c r="B30" i="72" s="1"/>
  <c r="C5" i="74"/>
  <c r="M49" i="9"/>
  <c r="L63" i="9" s="1"/>
  <c r="M63" i="9" s="1"/>
  <c r="B20" i="72"/>
  <c r="C80" i="9"/>
  <c r="E80" i="9" s="1"/>
  <c r="E81" i="9" s="1"/>
  <c r="C97" i="9" l="1"/>
  <c r="D58" i="9" s="1"/>
  <c r="D56" i="9" s="1"/>
  <c r="M54" i="9" s="1"/>
  <c r="N57" i="9" s="1"/>
  <c r="P57" i="9" s="1"/>
  <c r="D123" i="9"/>
  <c r="D9" i="52" s="1"/>
  <c r="D8" i="52"/>
  <c r="L68" i="9"/>
  <c r="M68" i="9" s="1"/>
  <c r="D14" i="53"/>
  <c r="B32" i="72" s="1"/>
  <c r="L67" i="9"/>
  <c r="M67" i="9" s="1"/>
  <c r="L65" i="9"/>
  <c r="M65" i="9" s="1"/>
  <c r="L64" i="9"/>
  <c r="M64" i="9" s="1"/>
  <c r="L66" i="9"/>
  <c r="M66" i="9" s="1"/>
  <c r="D6" i="74"/>
  <c r="C6" i="74"/>
  <c r="C81" i="9"/>
  <c r="N58" i="9" l="1"/>
  <c r="N59" i="9"/>
  <c r="M69" i="9"/>
  <c r="N69" i="9" s="1"/>
  <c r="N61" i="9" l="1"/>
  <c r="H112" i="9" s="1"/>
  <c r="D21" i="53" s="1"/>
  <c r="B39" i="72" s="1"/>
  <c r="H111" i="9"/>
  <c r="N60" i="9"/>
  <c r="D126" i="9" l="1"/>
  <c r="D19" i="53"/>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<sst xmlns="http://schemas.openxmlformats.org/spreadsheetml/2006/main" count="7469" uniqueCount="3223">
  <si>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</si>
  <si>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</si>
  <si>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</si>
  <si>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</si>
  <si>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</si>
  <si>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</si>
  <si>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</si>
  <si>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</si>
  <si>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</si>
  <si>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</si>
  <si>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</si>
  <si>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</si>
  <si>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</si>
  <si>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</si>
  <si>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</si>
  <si>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</si>
  <si>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</si>
  <si>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</si>
  <si>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</si>
  <si>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</si>
  <si>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</si>
  <si>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</si>
  <si>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</si>
  <si>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</si>
  <si>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</si>
  <si>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</si>
  <si>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</si>
  <si>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</si>
  <si>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</si>
  <si>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</si>
  <si>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</si>
  <si>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</si>
  <si>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</si>
  <si>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</si>
  <si>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</si>
  <si>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</si>
  <si>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</si>
  <si>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</si>
  <si>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</si>
  <si>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</si>
  <si>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</si>
  <si>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</si>
  <si>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</si>
  <si>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</si>
  <si>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</si>
  <si>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</si>
  <si>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</si>
  <si>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</si>
  <si>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</si>
  <si>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</si>
  <si>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</si>
  <si>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</si>
  <si>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</si>
  <si>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</si>
  <si>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</si>
  <si>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</si>
  <si>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</si>
  <si>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</si>
  <si>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</si>
  <si>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</si>
  <si>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</si>
  <si>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</si>
  <si>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</si>
  <si>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</si>
  <si>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</si>
  <si>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</si>
  <si>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</si>
  <si>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</si>
  <si>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</si>
  <si>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</si>
  <si>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</si>
  <si>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</si>
  <si>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</si>
  <si>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</si>
  <si>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</si>
  <si>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</si>
  <si>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</si>
  <si>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</si>
  <si>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</si>
  <si>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</si>
  <si>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</si>
  <si>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</si>
  <si>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</si>
  <si>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</si>
  <si>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</si>
  <si>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</si>
  <si>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</si>
  <si>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</si>
  <si>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</si>
  <si>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</si>
  <si>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</si>
  <si>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</si>
  <si>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</si>
  <si>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</si>
  <si>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</si>
  <si>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</si>
  <si>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</si>
  <si>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</si>
  <si>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</si>
  <si>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</si>
  <si>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</si>
  <si>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</si>
  <si>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</si>
  <si>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</si>
  <si>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</si>
  <si>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</si>
  <si>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</si>
  <si>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</si>
  <si>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</si>
  <si>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</si>
  <si>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</si>
  <si>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</si>
  <si>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</si>
  <si>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</si>
  <si>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</si>
  <si>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</si>
  <si>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</si>
  <si>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</si>
  <si>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</si>
  <si>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</si>
  <si>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</si>
  <si>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</si>
  <si>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</si>
  <si>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</si>
  <si>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</si>
  <si>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</si>
  <si>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</si>
  <si>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</si>
  <si>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</si>
  <si>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</si>
  <si>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</si>
  <si>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</si>
  <si>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</si>
  <si>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</si>
  <si>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</si>
  <si>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</si>
  <si>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</si>
  <si>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</si>
  <si>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</si>
  <si>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</si>
  <si>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</si>
  <si>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</si>
  <si>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</si>
  <si>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</si>
  <si>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</si>
  <si>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</si>
  <si>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</si>
  <si>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</si>
  <si>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</si>
  <si>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</si>
  <si>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</si>
  <si>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</si>
  <si>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</si>
  <si>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</si>
  <si>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</si>
  <si>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</si>
  <si>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</si>
  <si>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</si>
  <si>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</si>
  <si>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</si>
  <si>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</si>
  <si>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</si>
  <si>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</si>
  <si>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</si>
  <si>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</si>
  <si>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</si>
  <si>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</si>
  <si>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</si>
  <si>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</si>
  <si>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</si>
  <si>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</si>
  <si>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</si>
  <si>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</si>
  <si>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</si>
  <si>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</si>
  <si>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</si>
  <si>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</si>
  <si>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</si>
  <si>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</si>
  <si>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</si>
  <si>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</si>
  <si>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</si>
  <si>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</si>
  <si>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</si>
  <si>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</si>
  <si>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</si>
  <si>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</si>
  <si>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</si>
  <si>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</si>
  <si>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</si>
  <si>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</si>
  <si>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</si>
  <si>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</si>
  <si>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</si>
  <si>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</si>
  <si>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</si>
  <si>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</si>
  <si>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</si>
  <si>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</si>
  <si>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</si>
  <si>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</si>
  <si>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</si>
  <si>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</si>
  <si>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</si>
  <si>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</si>
  <si>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</si>
  <si>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</si>
  <si>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</si>
  <si>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</si>
  <si>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</si>
  <si>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</si>
  <si>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</si>
  <si>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</si>
  <si>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</si>
  <si>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</si>
  <si>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</si>
  <si>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</si>
  <si>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</si>
  <si>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</si>
  <si>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</si>
  <si>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</si>
  <si>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</si>
  <si>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</si>
  <si>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</si>
  <si>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</si>
  <si>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</si>
  <si>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</si>
  <si>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</si>
  <si>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</si>
  <si>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</si>
  <si>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</si>
  <si>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</si>
  <si>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</si>
  <si>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</si>
  <si>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</si>
  <si>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</si>
  <si>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</si>
  <si>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</si>
  <si>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</si>
  <si>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</si>
  <si>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</si>
  <si>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</si>
  <si>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</si>
  <si>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</si>
  <si>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</si>
  <si>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</si>
  <si>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</si>
  <si>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</si>
  <si>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</si>
  <si>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</si>
  <si>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</si>
  <si>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</si>
  <si>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</si>
  <si>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</si>
  <si>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</si>
  <si>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</si>
  <si>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</si>
  <si>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</si>
  <si>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</si>
  <si>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</si>
  <si>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</si>
  <si>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</si>
  <si>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</si>
  <si>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</si>
  <si>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</si>
  <si>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</si>
  <si>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</si>
  <si>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</si>
  <si>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</si>
  <si>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</si>
  <si>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</si>
  <si>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</si>
  <si>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</si>
  <si>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</si>
  <si>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</si>
  <si>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</si>
  <si>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</si>
  <si>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</si>
  <si>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</si>
  <si>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</si>
  <si>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</si>
  <si>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</si>
  <si>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</si>
  <si>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</si>
  <si>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</si>
  <si>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</si>
  <si>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</si>
  <si>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</si>
  <si>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</si>
  <si>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</si>
  <si>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</si>
  <si>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</si>
  <si>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</si>
  <si>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</si>
  <si>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</si>
  <si>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</si>
  <si>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</si>
  <si>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</si>
  <si>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</si>
  <si>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</si>
  <si>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</si>
  <si>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</si>
  <si>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</si>
  <si>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</si>
  <si>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</si>
  <si>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</si>
  <si>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</si>
  <si>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</si>
  <si>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</si>
  <si>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</si>
  <si>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</si>
  <si>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</si>
  <si>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</si>
  <si>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</si>
  <si>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</si>
  <si>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</si>
  <si>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</si>
  <si>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</si>
  <si>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</si>
  <si>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</si>
  <si>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</si>
  <si>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</si>
  <si>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</si>
  <si>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</si>
  <si>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</si>
  <si>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</si>
  <si>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</si>
  <si>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</si>
  <si>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</si>
  <si>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</si>
  <si>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</si>
  <si>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</si>
  <si>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</si>
  <si>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</si>
  <si>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</si>
  <si>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</si>
  <si>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</si>
  <si>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</si>
  <si>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</si>
  <si>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</si>
  <si>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</si>
  <si>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</si>
  <si>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</si>
  <si>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</si>
  <si>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</si>
  <si>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</si>
  <si>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</si>
  <si>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</si>
  <si>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</si>
  <si>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</si>
  <si>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</si>
  <si>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</si>
  <si>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</si>
  <si>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</si>
  <si>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</si>
  <si>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</si>
  <si>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</si>
  <si>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</si>
  <si>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</si>
  <si>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</si>
  <si>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</si>
  <si>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</si>
  <si>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</si>
  <si>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</si>
  <si>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</si>
  <si>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</si>
  <si>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</si>
  <si>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</si>
  <si>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</si>
  <si>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</si>
  <si>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</si>
  <si>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</si>
  <si>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</si>
  <si>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</si>
  <si>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</si>
  <si>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</si>
  <si>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</si>
  <si>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</si>
  <si>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</si>
  <si>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</si>
  <si>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</si>
  <si>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</si>
  <si>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</si>
  <si>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</si>
  <si>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</si>
  <si>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</si>
  <si>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</si>
  <si>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</si>
  <si>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</si>
  <si>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</si>
  <si>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</si>
  <si>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</si>
  <si>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</si>
  <si>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</si>
  <si>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</si>
  <si>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</si>
  <si>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</si>
  <si>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</si>
  <si>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</si>
  <si>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</si>
  <si>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</si>
  <si>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</si>
  <si>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</si>
  <si>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</si>
  <si>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</si>
  <si>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</si>
  <si>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</si>
  <si>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</si>
  <si>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</si>
  <si>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</si>
  <si>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</si>
  <si>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</si>
  <si>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</si>
  <si>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</si>
  <si>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</si>
  <si>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</si>
  <si>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</si>
  <si>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</si>
  <si>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</si>
  <si>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</si>
  <si>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</si>
  <si>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</si>
  <si>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</si>
  <si>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</si>
  <si>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</si>
  <si>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</si>
  <si>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</si>
  <si>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</si>
  <si>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</si>
  <si>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</si>
  <si>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</si>
  <si>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</si>
  <si>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</si>
  <si>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</si>
  <si>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</si>
  <si>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</si>
  <si>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</si>
  <si>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</si>
  <si>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</si>
  <si>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</si>
  <si>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</si>
  <si>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</si>
  <si>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</si>
  <si>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</si>
  <si>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</si>
  <si>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</si>
  <si>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</si>
  <si>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</si>
  <si>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</si>
  <si>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</si>
  <si>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</si>
  <si>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</si>
  <si>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</si>
  <si>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</si>
  <si>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</si>
  <si>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</si>
  <si>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</si>
  <si>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</si>
  <si>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</si>
  <si>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</si>
  <si>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</si>
  <si>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</si>
  <si>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</si>
  <si>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</si>
  <si>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</si>
  <si>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</si>
  <si>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</si>
  <si>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</si>
  <si>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</si>
  <si>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</si>
  <si>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</si>
  <si>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</si>
  <si>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</si>
  <si>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</si>
  <si>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</si>
  <si>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</si>
  <si>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</si>
  <si>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</si>
  <si>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</si>
  <si>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</si>
  <si>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</si>
  <si>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</si>
  <si>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</si>
  <si>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</si>
  <si>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</si>
  <si>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</si>
  <si>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</si>
  <si>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</si>
  <si>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</si>
  <si>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</si>
  <si>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</si>
  <si>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</si>
  <si>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</si>
  <si>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</si>
  <si>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</si>
  <si>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</si>
  <si>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</si>
  <si>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</si>
  <si>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</si>
  <si>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</si>
  <si>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</si>
  <si>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</si>
  <si>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</si>
  <si>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</si>
  <si>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</si>
  <si>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</si>
  <si>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</si>
  <si>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</si>
  <si>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</si>
  <si>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</si>
  <si>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</si>
  <si>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</si>
  <si>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</si>
  <si>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</si>
  <si>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</si>
  <si>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</si>
  <si>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</si>
  <si>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</si>
  <si>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</si>
  <si>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</si>
  <si>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</si>
  <si>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</si>
  <si>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</si>
  <si>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</si>
  <si>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</si>
  <si>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</si>
  <si>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</si>
  <si>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</si>
  <si>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</si>
  <si>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</si>
  <si>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</si>
  <si>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</si>
  <si>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</si>
  <si>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</si>
  <si>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</si>
  <si>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</si>
  <si>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</si>
  <si>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</si>
  <si>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</si>
  <si>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</si>
  <si>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</si>
  <si>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</si>
  <si>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</si>
  <si>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</si>
  <si>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</si>
  <si>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</si>
  <si>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</si>
  <si>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</si>
  <si>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</si>
  <si>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</si>
  <si>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</si>
  <si>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</si>
  <si>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</si>
  <si>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</si>
  <si>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</si>
  <si>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</si>
  <si>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</si>
  <si>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</si>
  <si>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</si>
  <si>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</si>
  <si>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</si>
  <si>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</si>
  <si>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</si>
  <si>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</si>
  <si>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</si>
  <si>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</si>
  <si>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</si>
  <si>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</si>
  <si>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</si>
  <si>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</si>
  <si>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</si>
  <si>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</si>
  <si>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</si>
  <si>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</si>
  <si>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</si>
  <si>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</si>
  <si>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</si>
  <si>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</si>
  <si>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</si>
  <si>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</si>
  <si>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</si>
  <si>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</si>
  <si>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</si>
  <si>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</si>
  <si>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</si>
  <si>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</si>
  <si>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</si>
  <si>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</si>
  <si>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</si>
  <si>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</si>
  <si>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</si>
  <si>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</si>
  <si>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</si>
  <si>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</si>
  <si>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</si>
  <si>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</si>
  <si>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</si>
  <si>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</si>
  <si>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</si>
  <si>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</si>
  <si>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</si>
  <si>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</si>
  <si>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</si>
  <si>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</si>
  <si>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</si>
  <si>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</si>
  <si>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</si>
  <si>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</si>
  <si>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</si>
  <si>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</si>
  <si>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</si>
  <si>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</si>
  <si>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</si>
  <si>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</si>
  <si>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</si>
  <si>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</si>
  <si>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</si>
  <si>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</si>
  <si>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</si>
  <si>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</si>
  <si>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</si>
  <si>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</si>
  <si>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</si>
  <si>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</si>
  <si>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</si>
  <si>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</si>
  <si>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</si>
  <si>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</si>
  <si>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</si>
  <si>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</si>
  <si>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</si>
  <si>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</si>
  <si>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</si>
  <si>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</si>
  <si>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</si>
  <si>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</si>
  <si>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</si>
  <si>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</si>
  <si>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</si>
  <si>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</si>
  <si>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</si>
  <si>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</si>
  <si>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</si>
  <si>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</si>
  <si>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</si>
  <si>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</si>
  <si>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</si>
  <si>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</si>
  <si>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</si>
  <si>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</si>
  <si>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</si>
  <si>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</si>
  <si>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</si>
  <si>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</si>
  <si>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</si>
  <si>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</si>
  <si>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</si>
  <si>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</si>
  <si>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</si>
  <si>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</si>
  <si>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</si>
  <si>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</si>
  <si>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</si>
  <si>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</si>
  <si>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</si>
  <si>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</si>
  <si>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</si>
  <si>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</si>
  <si>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</si>
  <si>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</si>
  <si>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</si>
  <si>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</si>
  <si>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</si>
  <si>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</si>
  <si>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</si>
  <si>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</si>
  <si>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</si>
  <si>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</si>
  <si>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</si>
  <si>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</si>
  <si>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</si>
  <si>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</si>
  <si>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</si>
  <si>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</si>
  <si>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</si>
  <si>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</si>
  <si>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</si>
  <si>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</si>
  <si>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</si>
  <si>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</si>
  <si>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</si>
  <si>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</si>
  <si>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</si>
  <si>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</si>
  <si>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</si>
  <si>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</si>
  <si>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</si>
  <si>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</si>
  <si>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</si>
  <si>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</si>
  <si>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</si>
  <si>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</si>
  <si>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</si>
  <si>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</si>
  <si>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</si>
  <si>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</si>
  <si>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</si>
  <si>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</si>
  <si>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</si>
  <si>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</si>
  <si>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</si>
  <si>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</si>
  <si>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</si>
  <si>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</si>
  <si>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</si>
  <si>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</si>
  <si>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</si>
  <si>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</si>
  <si>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</si>
  <si>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</si>
  <si>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</si>
  <si>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</si>
  <si>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</si>
  <si>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</si>
  <si>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</si>
  <si>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</si>
  <si>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</si>
  <si>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</si>
  <si>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</si>
  <si>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</si>
  <si>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</si>
  <si>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</si>
  <si>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</si>
  <si>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</si>
  <si>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</si>
  <si>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</si>
  <si>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</si>
  <si>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</si>
  <si>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</si>
  <si>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</si>
  <si>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</si>
  <si>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</si>
  <si>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</si>
  <si>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</si>
  <si>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</si>
  <si>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</si>
  <si>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</si>
  <si>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</si>
  <si>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</si>
  <si>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</si>
  <si>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</si>
  <si>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</si>
  <si>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</si>
  <si>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</si>
  <si>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</si>
  <si>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</si>
  <si>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</si>
  <si>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</si>
  <si>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</si>
  <si>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</si>
  <si>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</si>
  <si>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</si>
  <si>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</si>
  <si>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</si>
  <si>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</si>
  <si>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</si>
  <si>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</si>
  <si>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</si>
  <si>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</si>
  <si>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</si>
  <si>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</si>
  <si>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</si>
  <si>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</si>
  <si>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</si>
  <si>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</si>
  <si>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</si>
  <si>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</si>
  <si>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</si>
  <si>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</si>
  <si>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</si>
  <si>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</si>
  <si>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</si>
  <si>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</si>
  <si>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</si>
  <si>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</si>
  <si>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</si>
  <si>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</si>
  <si>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</si>
  <si>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</si>
  <si>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</si>
  <si>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</si>
  <si>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</si>
  <si>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</si>
  <si>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</si>
  <si>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</si>
  <si>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</si>
  <si>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</si>
  <si>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</si>
  <si>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</si>
  <si>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</si>
  <si>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</si>
  <si>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</si>
  <si>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</si>
  <si>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</si>
  <si>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</si>
  <si>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</si>
  <si>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</si>
  <si>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</si>
  <si>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</si>
  <si>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</si>
  <si>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</si>
  <si>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</si>
  <si>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</si>
  <si>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</si>
  <si>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</si>
  <si>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</si>
  <si>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</si>
  <si>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</si>
  <si>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</si>
  <si>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</si>
  <si>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</si>
  <si>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</si>
  <si>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</si>
  <si>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</si>
  <si>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</si>
  <si>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</si>
  <si>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</si>
  <si>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</si>
  <si>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</si>
  <si>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</si>
  <si>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</si>
  <si>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</si>
  <si>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</si>
  <si>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</si>
  <si>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</si>
  <si>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</si>
  <si>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</si>
  <si>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</si>
  <si>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</si>
  <si>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</si>
  <si>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</si>
  <si>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</si>
  <si>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</si>
  <si>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</si>
  <si>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</si>
  <si>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</si>
  <si>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</si>
  <si>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</si>
  <si>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</si>
  <si>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</si>
  <si>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</si>
  <si>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</si>
  <si>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</si>
  <si>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</si>
  <si>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</si>
  <si>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</si>
  <si>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</si>
  <si>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</si>
  <si>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</si>
  <si>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</si>
  <si>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</si>
  <si>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</si>
  <si>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</si>
  <si>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</si>
  <si>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</si>
  <si>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</si>
  <si>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</si>
  <si>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</si>
  <si>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</si>
  <si>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</si>
  <si>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</si>
  <si>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</si>
  <si>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</si>
  <si>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</si>
  <si>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</si>
  <si>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</si>
  <si>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</si>
  <si>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</si>
  <si>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</si>
  <si>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</si>
  <si>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</si>
  <si>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</si>
  <si>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</si>
  <si>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</si>
  <si>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</si>
  <si>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</si>
  <si>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</si>
  <si>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</si>
  <si>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</si>
  <si>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</si>
  <si>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</si>
  <si>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</si>
  <si>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</si>
  <si>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</si>
  <si>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</si>
  <si>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</si>
  <si>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</si>
  <si>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</si>
  <si>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</si>
  <si>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</si>
  <si>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</si>
  <si>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</si>
  <si>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</si>
  <si>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</si>
  <si>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</si>
  <si>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</si>
  <si>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</si>
  <si>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</si>
  <si>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</si>
  <si>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</si>
  <si>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</si>
  <si>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</si>
  <si>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</si>
  <si>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</si>
  <si>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</si>
  <si>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</si>
  <si>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</si>
  <si>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</si>
  <si>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</si>
  <si>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</si>
  <si>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</si>
  <si>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</si>
  <si>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</si>
  <si>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</si>
  <si>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</si>
  <si>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</si>
  <si>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</si>
  <si>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</si>
  <si>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</si>
  <si>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</si>
  <si>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</si>
  <si>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</si>
  <si>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</si>
  <si>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</si>
  <si>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</si>
  <si>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</si>
  <si>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</si>
  <si>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</si>
  <si>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</si>
  <si>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</si>
  <si>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</si>
  <si>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</si>
  <si>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</si>
  <si>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</si>
  <si>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</si>
  <si>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</si>
  <si>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</si>
  <si>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</si>
  <si>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</si>
  <si>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</si>
  <si>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</si>
  <si>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</si>
  <si>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</si>
  <si>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</si>
  <si>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</si>
  <si>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</si>
  <si>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</si>
  <si>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</si>
  <si>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</si>
  <si>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</si>
  <si>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</si>
  <si>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</si>
  <si>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</si>
  <si>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</si>
  <si>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</si>
  <si>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</si>
  <si>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</si>
  <si>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</si>
  <si>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</si>
  <si>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</si>
  <si>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</si>
  <si>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</si>
  <si>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</si>
  <si>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</si>
  <si>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</si>
  <si>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</si>
  <si>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</si>
  <si>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</si>
  <si>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</si>
  <si>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</si>
  <si>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</si>
  <si>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</si>
  <si>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</si>
  <si>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</si>
  <si>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</si>
  <si>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</si>
  <si>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</si>
  <si>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</si>
  <si>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</si>
  <si>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</si>
  <si>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</si>
  <si>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</si>
  <si>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</si>
  <si>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</si>
  <si>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</si>
  <si>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</si>
  <si>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</si>
  <si>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</si>
  <si>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</si>
  <si>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</si>
  <si>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</si>
  <si>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</si>
  <si>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</si>
  <si>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</si>
  <si>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</si>
  <si>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</si>
  <si>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</si>
  <si>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</si>
  <si>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</si>
  <si>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</si>
  <si>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</si>
  <si>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</si>
  <si>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</si>
  <si>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</si>
  <si>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</si>
  <si>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</si>
  <si>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</si>
  <si>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</si>
  <si>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</si>
  <si>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</si>
  <si>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</si>
  <si>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</si>
  <si>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</si>
  <si>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</si>
  <si>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</si>
  <si>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</si>
  <si>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</si>
  <si>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</si>
  <si>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</si>
  <si>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</si>
  <si>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</si>
  <si>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</si>
  <si>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</si>
  <si>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</si>
  <si>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</si>
  <si>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</si>
  <si>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</si>
  <si>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</si>
  <si>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</si>
  <si>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</si>
  <si>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</si>
  <si>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</si>
  <si>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</si>
  <si>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</si>
  <si>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</si>
  <si>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</si>
  <si>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</si>
  <si>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</si>
  <si>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</si>
  <si>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</si>
  <si>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</si>
  <si>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</si>
  <si>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</si>
  <si>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</si>
  <si>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</si>
  <si>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</si>
  <si>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</si>
  <si>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</si>
  <si>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</si>
  <si>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</si>
  <si>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</si>
  <si>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</si>
  <si>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</si>
  <si>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</si>
  <si>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</si>
  <si>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</si>
  <si>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</si>
  <si>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</si>
  <si>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</si>
  <si>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</si>
  <si>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</si>
  <si>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</si>
  <si>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</si>
  <si>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</si>
  <si>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</si>
  <si>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</si>
  <si>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</si>
  <si>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</si>
  <si>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</si>
  <si>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</si>
  <si>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</si>
  <si>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</si>
  <si>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</si>
  <si>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</si>
  <si>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</si>
  <si>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</si>
  <si>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</si>
  <si>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</si>
  <si>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</si>
  <si>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</si>
  <si>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</si>
  <si>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</si>
  <si>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</si>
  <si>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</si>
  <si>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</si>
  <si>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</si>
  <si>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</si>
  <si>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</si>
  <si>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</si>
  <si>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</si>
  <si>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</si>
  <si>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</si>
  <si>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</si>
  <si>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</si>
  <si>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</si>
  <si>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</si>
  <si>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</si>
  <si>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</si>
  <si>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</si>
  <si>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</si>
  <si>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</si>
  <si>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</si>
  <si>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</si>
  <si>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</si>
  <si>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</si>
  <si>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</si>
  <si>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</si>
  <si>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</si>
  <si>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</si>
  <si>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</si>
  <si>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</si>
  <si>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</si>
  <si>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</si>
  <si>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</si>
  <si>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</si>
  <si>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</si>
  <si>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</si>
  <si>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</si>
  <si>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</si>
  <si>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</si>
  <si>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</si>
  <si>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</si>
  <si>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</si>
  <si>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</si>
  <si>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</si>
  <si>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</si>
  <si>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</si>
  <si>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</si>
  <si>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</si>
  <si>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</si>
  <si>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</si>
  <si>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</si>
  <si>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</si>
  <si>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</si>
  <si>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</si>
  <si>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</si>
  <si>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</si>
  <si>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</si>
  <si>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</si>
  <si>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</si>
  <si>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</si>
  <si>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</si>
  <si>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</si>
  <si>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</si>
  <si>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</si>
  <si>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</si>
  <si>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</si>
  <si>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</si>
  <si>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</si>
  <si>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</si>
  <si>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</si>
  <si>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</si>
  <si>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</si>
  <si>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</si>
  <si>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</si>
  <si>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</si>
  <si>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</si>
  <si>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</si>
  <si>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</si>
  <si>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</si>
  <si>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</si>
  <si>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</si>
  <si>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</si>
  <si>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</si>
  <si>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</si>
  <si>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</si>
  <si>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</si>
  <si>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</si>
  <si>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</si>
  <si>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</si>
  <si>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</si>
  <si>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</si>
  <si>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</si>
  <si>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</si>
  <si>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</si>
  <si>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</si>
  <si>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</si>
  <si>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</si>
  <si>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</si>
  <si>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</si>
  <si>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</si>
  <si>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</si>
  <si>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</si>
  <si>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</si>
  <si>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</si>
  <si>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</si>
  <si>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</si>
  <si>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</si>
  <si>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</si>
  <si>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</si>
  <si>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</si>
  <si>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</si>
  <si>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</si>
  <si>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</si>
  <si>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</si>
  <si>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</si>
  <si>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</si>
  <si>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</si>
  <si>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</si>
  <si>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</si>
  <si>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</si>
  <si>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</si>
  <si>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</si>
  <si>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</si>
  <si>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</si>
  <si>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</si>
  <si>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</si>
  <si>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</si>
  <si>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</si>
  <si>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</si>
  <si>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</si>
  <si>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</si>
  <si>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</si>
  <si>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</si>
  <si>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</si>
  <si>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</si>
  <si>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</si>
  <si>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</si>
  <si>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</si>
  <si>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</si>
  <si>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</si>
  <si>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</si>
  <si>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</si>
  <si>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</si>
  <si>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</si>
  <si>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</si>
  <si>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</si>
  <si>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</si>
  <si>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</si>
  <si>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</si>
  <si>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</si>
  <si>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</si>
  <si>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</si>
  <si>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</si>
  <si>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</si>
  <si>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</si>
  <si>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</si>
  <si>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</si>
  <si>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</si>
  <si>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</si>
  <si>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</si>
  <si>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</si>
  <si>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</si>
  <si>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</si>
  <si>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</si>
  <si>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</si>
  <si>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</si>
  <si>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</si>
  <si>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</si>
  <si>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</si>
  <si>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</si>
  <si>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</si>
  <si>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</si>
  <si>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</si>
  <si>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</si>
  <si>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</si>
  <si>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</si>
  <si>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</si>
  <si>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</si>
  <si>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</si>
  <si>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</si>
  <si>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</si>
  <si>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</si>
  <si>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</si>
  <si>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</si>
  <si>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</si>
  <si>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</si>
  <si>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</si>
  <si>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</si>
  <si>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</si>
  <si>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</si>
  <si>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</si>
  <si>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</si>
  <si>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</si>
  <si>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</si>
  <si>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</si>
  <si>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</si>
  <si>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</si>
  <si>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</si>
  <si>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</si>
  <si>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</si>
  <si>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</si>
  <si>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</si>
  <si>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</si>
  <si>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</si>
  <si>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</si>
  <si>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</si>
  <si>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</si>
  <si>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</si>
  <si>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</si>
  <si>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</si>
  <si>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</si>
  <si>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</si>
  <si>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</si>
  <si>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</si>
  <si>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</si>
  <si>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</si>
  <si>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</si>
  <si>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</si>
  <si>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</si>
  <si>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</si>
  <si>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</si>
  <si>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</si>
  <si>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</si>
  <si>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</si>
  <si>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</si>
  <si>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</si>
  <si>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</si>
  <si>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</si>
  <si>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</si>
  <si>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</si>
  <si>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</si>
  <si>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</si>
  <si>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</si>
  <si>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</si>
  <si>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</si>
  <si>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</si>
  <si>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</si>
  <si>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</si>
  <si>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</si>
  <si>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</si>
  <si>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</si>
  <si>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</si>
  <si>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</si>
  <si>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</si>
  <si>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</si>
  <si>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</si>
  <si>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</si>
  <si>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</si>
  <si>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</si>
  <si>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</si>
  <si>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</si>
  <si>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</si>
  <si>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</si>
  <si>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</si>
  <si>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</si>
  <si>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</si>
  <si>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</si>
  <si>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</si>
  <si>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</si>
  <si>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</si>
  <si>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</si>
  <si>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</si>
  <si>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</si>
  <si>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</si>
  <si>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</si>
  <si>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</si>
  <si>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</si>
  <si>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</si>
  <si>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</si>
  <si>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</si>
  <si>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</si>
  <si>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</si>
  <si>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</si>
  <si>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</si>
  <si>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</si>
  <si>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</si>
  <si>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</si>
  <si>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</si>
  <si>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</si>
  <si>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</si>
  <si>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</si>
  <si>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</si>
  <si>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</si>
  <si>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</si>
  <si>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</si>
  <si>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</si>
  <si>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</si>
  <si>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</si>
  <si>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</si>
  <si>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</si>
  <si>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</si>
  <si>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</si>
  <si>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</si>
  <si>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</si>
  <si>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</si>
  <si>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</si>
  <si>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</si>
  <si>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</si>
  <si>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</si>
  <si>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</si>
  <si>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</si>
  <si>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</si>
  <si>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</si>
  <si>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</si>
  <si>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</si>
  <si>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</si>
  <si>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</si>
  <si>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</si>
  <si>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</si>
  <si>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</si>
  <si>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</si>
  <si>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</si>
  <si>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</si>
  <si>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</si>
  <si>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</si>
  <si>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</si>
  <si>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</si>
  <si>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</si>
  <si>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</si>
  <si>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</si>
  <si>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</si>
  <si>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</si>
  <si>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</si>
  <si>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</si>
  <si>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</si>
  <si>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</si>
  <si>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</si>
  <si>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</si>
  <si>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</si>
  <si>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</si>
  <si>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</si>
  <si>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</si>
  <si>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</si>
  <si>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</si>
  <si>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</si>
  <si>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</si>
  <si>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</si>
  <si>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</si>
  <si>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</si>
  <si>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</si>
  <si>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</si>
  <si>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</si>
  <si>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</si>
  <si>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</si>
  <si>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</si>
  <si>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</si>
  <si>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</si>
  <si>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</si>
  <si>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</si>
  <si>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</si>
  <si>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</si>
  <si>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</si>
  <si>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</si>
  <si>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</si>
  <si>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</si>
  <si>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</si>
  <si>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</si>
  <si>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</si>
  <si>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</si>
  <si>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</si>
  <si>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</si>
  <si>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</si>
  <si>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</si>
  <si>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</si>
  <si>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</si>
  <si>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</si>
  <si>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</si>
  <si>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</si>
  <si>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</si>
  <si>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</si>
  <si>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</si>
  <si>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</si>
  <si>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</si>
  <si>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</si>
  <si>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</si>
  <si>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</si>
  <si>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</si>
  <si>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</si>
  <si>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</si>
  <si>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</si>
  <si>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</si>
  <si>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</si>
  <si>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</si>
  <si>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</si>
  <si>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</si>
  <si>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</si>
  <si>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</si>
  <si>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</si>
  <si>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</si>
  <si>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</si>
  <si>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</si>
  <si>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</si>
  <si>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</si>
  <si>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</si>
  <si>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</si>
  <si>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</si>
  <si>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</si>
  <si>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</si>
  <si>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</si>
  <si>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</si>
  <si>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</si>
  <si>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</si>
  <si>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</si>
  <si>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</si>
  <si>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</si>
  <si>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</si>
  <si>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</si>
  <si>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</si>
  <si>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</si>
  <si>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</si>
  <si>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</si>
  <si>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</si>
  <si>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</si>
  <si>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</si>
  <si>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</si>
  <si>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</si>
  <si>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</si>
  <si>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</si>
  <si>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</si>
  <si>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</si>
  <si>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</si>
  <si>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</si>
  <si>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</si>
  <si>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</si>
  <si>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</si>
  <si>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</si>
  <si>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</si>
  <si>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</si>
  <si>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</si>
  <si>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</si>
  <si>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</si>
  <si>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</si>
  <si>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</si>
  <si>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</si>
  <si>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</si>
  <si>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</si>
  <si>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</si>
  <si>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</si>
  <si>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</si>
  <si>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</si>
  <si>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</si>
  <si>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</si>
  <si>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</si>
  <si>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</si>
  <si>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</si>
  <si>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</si>
  <si>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</si>
  <si>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</si>
  <si>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</si>
  <si>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</si>
  <si>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</si>
  <si>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</si>
  <si>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</si>
  <si>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</si>
  <si>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</si>
  <si>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</si>
  <si>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</si>
  <si>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</si>
  <si>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</si>
  <si>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</si>
  <si>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</si>
  <si>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</si>
  <si>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</si>
  <si>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</si>
  <si>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</si>
  <si>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</si>
  <si>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</si>
  <si>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</si>
  <si>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</si>
  <si>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</si>
  <si>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</si>
  <si>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</si>
  <si>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</si>
  <si>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</si>
  <si>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</si>
  <si>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</si>
  <si>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</si>
  <si>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</si>
  <si>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</si>
  <si>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</si>
  <si>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</si>
  <si>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</si>
  <si>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</si>
  <si>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</si>
  <si>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</si>
  <si>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</si>
  <si>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</si>
  <si>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</si>
  <si>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</si>
  <si>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</si>
  <si>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</si>
  <si>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</si>
  <si>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</si>
  <si>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</si>
  <si>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</si>
  <si>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</si>
  <si>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</si>
  <si>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</si>
  <si>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</si>
  <si>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</si>
  <si>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</si>
  <si>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</si>
  <si>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</si>
  <si>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</si>
  <si>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</si>
  <si>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</si>
  <si>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</si>
  <si>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</si>
  <si>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</si>
  <si>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</si>
  <si>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</si>
  <si>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</si>
  <si>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</si>
  <si>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</si>
  <si>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</si>
  <si>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</si>
  <si>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</si>
  <si>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</si>
  <si>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</si>
  <si>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</si>
  <si>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</si>
  <si>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</si>
  <si>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</si>
  <si>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</si>
  <si>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</si>
  <si>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</si>
  <si>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</si>
  <si>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</si>
  <si>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</si>
  <si>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</si>
  <si>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</si>
  <si>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</si>
  <si>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</si>
  <si>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</si>
  <si>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</si>
  <si>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</si>
  <si>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</si>
  <si>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</si>
  <si>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</si>
  <si>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</si>
  <si>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</si>
  <si>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</si>
  <si>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</si>
  <si>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</si>
  <si>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</si>
  <si>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</si>
  <si>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</si>
  <si>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</si>
  <si>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</si>
  <si>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</si>
  <si>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</si>
  <si>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</si>
  <si>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</si>
  <si>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</si>
  <si>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</si>
  <si>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</si>
  <si>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</si>
  <si>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</si>
  <si>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</si>
  <si>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</si>
  <si>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</si>
  <si>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</si>
  <si>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</si>
  <si>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</si>
  <si>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</si>
  <si>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</si>
  <si>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</si>
  <si>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</si>
  <si>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</si>
  <si>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</si>
  <si>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</si>
  <si>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</si>
  <si>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</si>
  <si>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</si>
  <si>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</si>
  <si>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</si>
  <si>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</si>
  <si>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</si>
  <si>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</si>
  <si>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</si>
  <si>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</si>
  <si>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</si>
  <si>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</si>
  <si>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</si>
  <si>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</si>
  <si>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</si>
  <si>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</si>
  <si>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</si>
  <si>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</si>
  <si>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</si>
  <si>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</si>
  <si>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</si>
  <si>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</si>
  <si>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</si>
  <si>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</si>
  <si>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</si>
  <si>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</si>
  <si>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</si>
  <si>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</si>
  <si>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</si>
  <si>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</si>
  <si>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</si>
  <si>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</si>
  <si>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</si>
  <si>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</si>
  <si>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</si>
  <si>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</si>
  <si>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</si>
  <si>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</si>
  <si>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</si>
  <si>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</si>
  <si>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</si>
  <si>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</si>
  <si>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</si>
  <si>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</si>
  <si>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</si>
  <si>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</si>
  <si>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</si>
  <si>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</si>
  <si>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</si>
  <si>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</si>
  <si>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</si>
  <si>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</si>
  <si>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</si>
  <si>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</si>
  <si>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</si>
  <si>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</si>
  <si>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</si>
  <si>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</si>
  <si>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</si>
  <si>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</si>
  <si>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</si>
  <si>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</si>
  <si>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</si>
  <si>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</si>
  <si>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</si>
  <si>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</si>
  <si>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</si>
  <si>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</si>
  <si>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</si>
  <si>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</si>
  <si>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</si>
  <si>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</si>
  <si>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</si>
  <si>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</si>
  <si>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</si>
  <si>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</si>
  <si>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</si>
  <si>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</si>
  <si>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</si>
  <si>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</si>
  <si>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</si>
  <si>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</si>
  <si>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</si>
  <si>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</si>
  <si>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</si>
  <si>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</si>
  <si>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</si>
  <si>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</si>
  <si>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</si>
  <si>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</si>
  <si>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</si>
  <si>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</si>
  <si>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</si>
  <si>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</si>
  <si>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</si>
  <si>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</si>
  <si>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</si>
  <si>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</si>
  <si>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</si>
  <si>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</si>
  <si>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</si>
  <si>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</si>
  <si>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</si>
  <si>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</si>
  <si>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</si>
  <si>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</si>
  <si>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</si>
  <si>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</si>
  <si>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</si>
  <si>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</si>
  <si>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</si>
  <si>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</si>
  <si>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</si>
  <si>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</si>
  <si>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</si>
  <si>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</si>
  <si>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</si>
  <si>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</si>
  <si>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</si>
  <si>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</si>
  <si>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</si>
  <si>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</si>
  <si>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</si>
  <si>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</si>
  <si>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</si>
  <si>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</si>
  <si>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</si>
  <si>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</si>
  <si>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</si>
  <si>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</si>
  <si>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</si>
  <si>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</si>
  <si>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</si>
  <si>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</si>
  <si>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</si>
  <si>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</si>
  <si>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</si>
  <si>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</si>
  <si>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</si>
  <si>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</si>
  <si>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</si>
  <si>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</si>
  <si>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</si>
  <si>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</si>
  <si>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</si>
  <si>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</si>
  <si>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</si>
  <si>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</si>
  <si>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</si>
  <si>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</si>
  <si>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</si>
  <si>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</si>
  <si>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</si>
  <si>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</si>
  <si>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</si>
  <si>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</si>
  <si>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</si>
  <si>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</si>
  <si>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</si>
  <si>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</si>
  <si>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</si>
  <si>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</si>
  <si>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</si>
  <si>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</si>
  <si>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</si>
  <si>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</si>
  <si>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</si>
  <si>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</si>
  <si>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</si>
  <si>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</si>
  <si>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</si>
  <si>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</si>
  <si>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</si>
  <si>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</si>
  <si>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</si>
  <si>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</si>
  <si>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</si>
  <si>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</si>
  <si>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</si>
  <si>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</si>
  <si>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</si>
  <si>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</si>
  <si>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</si>
  <si>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</si>
  <si>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</si>
  <si>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</si>
  <si>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</si>
  <si>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</si>
  <si>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</si>
  <si>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</si>
  <si>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</si>
  <si>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</si>
  <si>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</si>
  <si>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</si>
  <si>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</si>
  <si>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</si>
  <si>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</si>
  <si>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</si>
  <si>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</si>
  <si>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</si>
  <si>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</si>
  <si>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</si>
  <si>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</si>
  <si>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</si>
  <si>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</si>
  <si>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</si>
  <si>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</si>
  <si>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</si>
  <si>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</si>
  <si>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</si>
  <si>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</si>
  <si>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</si>
  <si>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</si>
  <si>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</si>
  <si>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</si>
  <si>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</si>
  <si>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</si>
  <si>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</si>
  <si>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</si>
  <si>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</si>
  <si>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</si>
  <si>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</si>
  <si>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</si>
  <si>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</si>
  <si>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</si>
  <si>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</si>
  <si>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</si>
  <si>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</si>
  <si>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</si>
  <si>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</si>
  <si>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</si>
  <si>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</si>
  <si>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</si>
  <si>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</si>
  <si>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</si>
  <si>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</si>
  <si>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</si>
  <si>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</si>
  <si>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</si>
  <si>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</si>
  <si>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</si>
  <si>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</si>
  <si>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</si>
  <si>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</si>
  <si>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</si>
  <si>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</si>
  <si>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</si>
  <si>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</si>
  <si>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</si>
  <si>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</si>
  <si>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</si>
  <si>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</si>
  <si>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</si>
  <si>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</si>
  <si>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</si>
  <si>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</si>
  <si>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</si>
  <si>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</si>
  <si>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</si>
  <si>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</si>
  <si>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</si>
  <si>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</si>
  <si>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</si>
  <si>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</si>
  <si>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</si>
  <si>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</si>
  <si>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</si>
  <si>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</si>
  <si>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</si>
  <si>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</si>
  <si>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</si>
  <si>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</si>
  <si>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</si>
  <si>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</si>
  <si>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</si>
  <si>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</si>
  <si>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</si>
  <si>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</si>
  <si>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</si>
  <si>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</si>
  <si>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</si>
  <si>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</si>
  <si>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</si>
  <si>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</si>
  <si>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</si>
  <si>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</si>
  <si>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</si>
  <si>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</si>
  <si>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</si>
  <si>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</si>
  <si>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</si>
  <si>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</si>
  <si>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</si>
  <si>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</si>
  <si>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</si>
  <si>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</si>
  <si>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</si>
  <si>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</si>
  <si>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</si>
  <si>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</si>
  <si>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</si>
  <si>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</si>
  <si>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</si>
  <si>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</si>
  <si>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</si>
  <si>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</si>
  <si>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</si>
  <si>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</si>
  <si>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</si>
  <si>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</si>
  <si>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</si>
  <si>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</si>
  <si>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</si>
  <si>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</si>
  <si>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</si>
  <si>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</si>
  <si>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</si>
  <si>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</si>
  <si>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</si>
  <si>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</si>
  <si>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</si>
  <si>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</si>
  <si>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</si>
  <si>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</si>
  <si>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</si>
  <si>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</si>
  <si>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</si>
  <si>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</si>
  <si>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</si>
  <si>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</si>
  <si>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</si>
  <si>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</si>
  <si>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</si>
  <si>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</si>
  <si>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</si>
  <si>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</si>
  <si>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</si>
  <si>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</si>
  <si>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</si>
  <si>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</si>
  <si>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</si>
  <si>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</si>
  <si>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</si>
  <si>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</si>
  <si>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</si>
  <si>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</si>
  <si>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</si>
  <si>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</si>
  <si>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</si>
  <si>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</si>
  <si>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</si>
  <si>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</si>
  <si>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</si>
  <si>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</si>
  <si>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</si>
  <si>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</si>
  <si>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</si>
  <si>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</si>
  <si>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</si>
  <si>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</si>
  <si>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</si>
  <si>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</si>
  <si>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</si>
  <si>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</si>
  <si>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</si>
  <si>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</si>
  <si>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</si>
  <si>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</si>
  <si>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</si>
  <si>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</si>
  <si>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</si>
  <si>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</si>
  <si>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</si>
  <si>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</si>
  <si>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</si>
  <si>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</si>
  <si>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</si>
  <si>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</si>
  <si>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</si>
  <si>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</si>
  <si>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</si>
  <si>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</si>
  <si>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</si>
  <si>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</si>
  <si>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</si>
  <si>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</si>
  <si>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</si>
  <si>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</si>
  <si>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</si>
  <si>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</si>
  <si>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</si>
  <si>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</si>
  <si>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</si>
  <si>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</si>
  <si>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</si>
  <si>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</si>
  <si>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</si>
  <si>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</si>
  <si>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</si>
  <si>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</si>
  <si>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</si>
  <si>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</si>
  <si>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</si>
  <si>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</si>
  <si>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</si>
  <si>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</si>
  <si>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</si>
  <si>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</si>
  <si>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</si>
  <si>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</si>
  <si>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</si>
  <si>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</si>
  <si>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</si>
  <si>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</si>
  <si>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</si>
  <si>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</si>
  <si>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</si>
  <si>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</si>
  <si>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</si>
  <si>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</si>
  <si>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</si>
  <si>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</si>
  <si>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</si>
  <si>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</si>
  <si>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</si>
  <si>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</si>
  <si>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</si>
  <si>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</si>
  <si>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</si>
  <si>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</si>
  <si>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</si>
  <si>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</si>
  <si>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</si>
  <si>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</si>
  <si>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</si>
  <si>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</si>
  <si>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</si>
  <si>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</si>
  <si>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</si>
  <si>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</si>
  <si>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</si>
  <si>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</si>
  <si>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</si>
  <si>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</si>
  <si>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</si>
  <si>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</si>
  <si>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</si>
  <si>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</si>
  <si>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</si>
  <si>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</si>
  <si>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</si>
  <si>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</si>
  <si>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</si>
  <si>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</si>
  <si>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</si>
  <si>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</si>
  <si>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</si>
  <si>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</si>
  <si>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</si>
  <si>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</si>
  <si>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</si>
  <si>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</si>
  <si>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</si>
  <si>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</si>
  <si>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</si>
  <si>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</si>
  <si>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</si>
  <si>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</si>
  <si>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</si>
  <si>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</si>
  <si>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</si>
  <si>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</si>
  <si>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</si>
  <si>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</si>
  <si>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</si>
  <si>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</si>
  <si>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</si>
  <si>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</si>
  <si>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</si>
  <si>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</si>
  <si>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</si>
  <si>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</si>
  <si>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</si>
  <si>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</si>
  <si>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</si>
  <si>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</si>
  <si>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</si>
  <si>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</si>
  <si>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</si>
  <si>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</si>
  <si>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</si>
  <si>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</si>
  <si>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</si>
  <si>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</si>
  <si>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</si>
  <si>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</si>
  <si>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</si>
  <si>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</si>
  <si>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</si>
  <si>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</si>
  <si>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</si>
  <si>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</si>
  <si>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</si>
  <si>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</si>
  <si>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</si>
  <si>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</si>
  <si>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</si>
  <si>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</si>
  <si>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</si>
  <si>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</si>
  <si>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</si>
  <si>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</si>
  <si>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</si>
  <si>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</si>
  <si>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</si>
  <si>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</si>
  <si>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</si>
  <si>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</si>
  <si>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</si>
  <si>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</si>
  <si>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</si>
  <si>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</si>
  <si>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</si>
  <si>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</si>
  <si>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</si>
  <si>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</si>
  <si>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</si>
  <si>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</si>
  <si>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</si>
  <si>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</si>
  <si>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</si>
  <si>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</si>
  <si>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</si>
  <si>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</si>
  <si>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</si>
  <si>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</si>
  <si>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</si>
  <si>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</si>
  <si>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</si>
  <si>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</si>
  <si>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</si>
  <si>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</si>
  <si>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</si>
  <si>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</si>
  <si>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</si>
  <si>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</si>
  <si>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</si>
  <si>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</si>
  <si>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</si>
  <si>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</si>
  <si>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</si>
  <si>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</si>
  <si>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</si>
  <si>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</si>
  <si>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</si>
  <si>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</si>
  <si>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</si>
  <si>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</si>
  <si>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</si>
  <si>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</si>
  <si>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</si>
  <si>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</si>
  <si>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</si>
  <si>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</si>
  <si>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</si>
  <si>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</si>
  <si>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</si>
  <si>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</si>
  <si>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</si>
  <si>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</si>
  <si>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</si>
  <si>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</si>
  <si>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</si>
  <si>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</si>
  <si>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</si>
  <si>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</si>
  <si>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</si>
  <si>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</si>
  <si>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</si>
  <si>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</si>
  <si>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</si>
  <si>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</si>
  <si>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</si>
  <si>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</si>
  <si>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</si>
  <si>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</si>
  <si>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</si>
  <si>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</si>
  <si>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</si>
  <si>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</si>
  <si>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</si>
  <si>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</si>
  <si>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</si>
  <si>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</si>
  <si>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</si>
  <si>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</si>
  <si>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</si>
  <si>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</si>
  <si>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</si>
  <si>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</si>
  <si>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</si>
  <si>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</si>
  <si>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</si>
  <si>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</si>
  <si>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</si>
  <si>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</si>
  <si>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</si>
  <si>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</si>
  <si>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</si>
  <si>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</si>
  <si>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</si>
  <si>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</si>
  <si>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</si>
  <si>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</si>
  <si>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</si>
  <si>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</si>
  <si>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</si>
  <si>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</si>
  <si>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</si>
  <si>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</si>
  <si>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</si>
  <si>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</si>
  <si>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</si>
  <si>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</si>
  <si>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</si>
  <si>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</si>
  <si>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</si>
  <si>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</si>
  <si>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</si>
  <si>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</si>
  <si>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</si>
  <si>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</si>
  <si>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</si>
  <si>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</si>
  <si>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</si>
  <si>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</si>
  <si>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</si>
  <si>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</si>
  <si>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</si>
  <si>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</si>
  <si>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</si>
  <si>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</si>
  <si>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</si>
  <si>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</si>
  <si>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</si>
  <si>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</si>
  <si>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</si>
  <si>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</si>
  <si>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</si>
  <si>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</si>
  <si>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</si>
  <si>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</si>
  <si>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</si>
  <si>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</si>
  <si>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</si>
  <si>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</si>
  <si>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</si>
  <si>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</si>
  <si>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</si>
  <si>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</si>
  <si>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</si>
  <si>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</si>
  <si>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</si>
  <si>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</si>
  <si>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</si>
  <si>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</si>
  <si>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</si>
  <si>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</si>
  <si>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</si>
  <si>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</si>
  <si>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</si>
  <si>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</si>
  <si>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</si>
  <si>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</si>
  <si>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</si>
  <si>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</si>
  <si>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</si>
  <si>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</si>
  <si>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</si>
  <si>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</si>
  <si>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</si>
  <si>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</si>
  <si>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</si>
  <si>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</si>
  <si>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</si>
  <si>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</si>
  <si>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</si>
  <si>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</si>
  <si>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</si>
  <si>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</si>
  <si>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</si>
  <si>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</si>
  <si>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</si>
  <si>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</si>
  <si>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</si>
  <si>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</si>
  <si>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</si>
  <si>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</si>
  <si>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</si>
  <si>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</si>
  <si>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</si>
  <si>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</si>
  <si>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</si>
  <si>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</si>
  <si>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</si>
  <si>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</si>
  <si>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</si>
  <si>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</si>
  <si>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</si>
  <si>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</si>
  <si>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</si>
  <si>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</si>
  <si>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</si>
  <si>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</si>
  <si>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</si>
  <si>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</si>
  <si>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</si>
  <si>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</si>
  <si>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</si>
  <si>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</si>
  <si>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</si>
  <si>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</si>
  <si>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</si>
  <si>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</si>
  <si>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</si>
  <si>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</si>
  <si>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</si>
  <si>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</si>
  <si>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</si>
  <si>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</si>
  <si>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</si>
  <si>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</si>
  <si>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</si>
  <si>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</si>
  <si>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</si>
  <si>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</si>
  <si>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</si>
  <si>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</si>
  <si>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</si>
  <si>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</si>
  <si>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</si>
  <si>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</si>
  <si>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</si>
  <si>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</si>
  <si>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</si>
  <si>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</si>
  <si>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</si>
  <si>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</si>
  <si>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</si>
  <si>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</si>
  <si>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</si>
  <si>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</si>
  <si>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</si>
  <si>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</si>
  <si>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</si>
  <si>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</si>
  <si>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</si>
  <si>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</si>
  <si>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</si>
  <si>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</si>
  <si>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</si>
  <si>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</si>
  <si>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</si>
  <si>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</si>
  <si>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</si>
  <si>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</si>
  <si>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</si>
  <si>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</si>
  <si>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</si>
  <si>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</si>
  <si>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</si>
  <si>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</si>
  <si>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</si>
  <si>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</si>
  <si>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</si>
  <si>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</si>
  <si>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</si>
  <si>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</si>
  <si>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</si>
  <si>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</si>
  <si>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</si>
  <si>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</si>
  <si>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</si>
  <si>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</si>
  <si>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</si>
  <si>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</si>
  <si>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</si>
  <si>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</si>
  <si>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</si>
  <si>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</si>
  <si>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</si>
  <si>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</si>
  <si>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</si>
  <si>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</si>
  <si>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</si>
  <si>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</si>
  <si>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</si>
  <si>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</si>
  <si>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</si>
  <si>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</si>
  <si>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</si>
  <si>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</si>
  <si>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</si>
  <si>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</si>
  <si>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</si>
  <si>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</si>
  <si>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</si>
  <si>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</si>
  <si>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</si>
  <si>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</si>
  <si>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</si>
  <si>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</si>
  <si>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</si>
  <si>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</si>
  <si>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</si>
  <si>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</si>
  <si>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</si>
  <si>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</si>
  <si>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</si>
  <si>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</si>
  <si>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</si>
  <si>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</si>
  <si>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</si>
  <si>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</si>
  <si>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</si>
  <si>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</si>
  <si>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</si>
  <si>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</si>
  <si>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</si>
  <si>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</si>
  <si>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</si>
  <si>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</si>
  <si>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</si>
  <si>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</si>
  <si>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</si>
  <si>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</si>
  <si>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</si>
  <si>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</si>
  <si>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</si>
  <si>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</si>
  <si>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</si>
  <si>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</si>
  <si>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</si>
  <si>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</si>
  <si>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</si>
  <si>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</si>
  <si>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</si>
  <si>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</si>
  <si>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</si>
  <si>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</si>
  <si>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</si>
  <si>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</si>
  <si>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</si>
  <si>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</si>
  <si>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</si>
  <si>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</si>
  <si>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</si>
  <si>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</si>
  <si>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</si>
  <si>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</si>
  <si>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</si>
  <si>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</si>
  <si>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</si>
  <si>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</si>
  <si>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</si>
  <si>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</si>
  <si>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</si>
  <si>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</si>
  <si>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</si>
  <si>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</si>
  <si>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</si>
  <si>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</si>
  <si>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</si>
  <si>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</si>
  <si>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</si>
  <si>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</si>
  <si>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</si>
  <si>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</si>
  <si>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</si>
  <si>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</si>
  <si>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</si>
  <si>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</si>
  <si>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</si>
  <si>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</si>
  <si>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</si>
  <si>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</si>
  <si>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</si>
  <si>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</si>
  <si>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</si>
  <si>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</si>
  <si>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</si>
  <si>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</si>
  <si>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</si>
  <si>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</si>
  <si>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</si>
  <si>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</si>
  <si>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</si>
  <si>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</si>
  <si>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</si>
  <si>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</si>
  <si>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</si>
  <si>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</si>
  <si>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</si>
  <si>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</si>
  <si>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</si>
  <si>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</si>
  <si>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</si>
  <si>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</si>
  <si>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</si>
  <si>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</si>
  <si>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</si>
  <si>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</si>
  <si>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</si>
  <si>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</si>
  <si>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</si>
  <si>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</si>
  <si>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</si>
  <si>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</si>
  <si>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</si>
  <si>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</si>
  <si>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</si>
  <si>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</si>
  <si>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</si>
  <si>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</si>
  <si>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</si>
  <si>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</si>
  <si>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</si>
  <si>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</si>
  <si>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</si>
  <si>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</si>
  <si>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</si>
  <si>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</si>
  <si>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</si>
  <si>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</si>
  <si>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</si>
  <si>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</si>
  <si>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</si>
  <si>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</si>
  <si>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</si>
  <si>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</si>
  <si>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</si>
  <si>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</si>
  <si>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</si>
  <si>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</si>
  <si>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</si>
  <si>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</si>
  <si>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</si>
  <si>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</si>
  <si>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</si>
  <si>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</si>
  <si>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</si>
  <si>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</si>
  <si>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</si>
  <si>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</si>
  <si>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</si>
  <si>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</si>
  <si>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</si>
  <si>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</si>
  <si>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</si>
  <si>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</si>
  <si>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</si>
  <si>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</si>
  <si>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</si>
  <si>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</si>
  <si>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</si>
  <si>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</si>
  <si>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</si>
  <si>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</si>
  <si>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</si>
  <si>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</si>
  <si>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</si>
  <si>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</si>
  <si>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</si>
  <si>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</si>
  <si>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</si>
  <si>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</si>
  <si>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</si>
  <si>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</si>
  <si>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</si>
  <si>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</si>
  <si>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</si>
  <si>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</si>
  <si>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</si>
  <si>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</si>
  <si>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</si>
  <si>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</si>
  <si>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</si>
  <si>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</si>
  <si>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</si>
  <si>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</si>
  <si>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</si>
  <si>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</si>
  <si>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</si>
  <si>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</si>
  <si>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</si>
  <si>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</si>
  <si>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</si>
  <si>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</si>
  <si>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</si>
  <si>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</si>
  <si>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</si>
  <si>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</si>
  <si>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</si>
  <si>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</si>
  <si>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</si>
  <si>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</si>
  <si>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</si>
  <si>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</si>
  <si>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</si>
  <si>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</si>
  <si>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</si>
  <si>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</si>
  <si>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</si>
  <si>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</si>
  <si>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</si>
  <si>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</si>
  <si>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</si>
  <si>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</si>
  <si>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</si>
  <si>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</si>
  <si>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</si>
  <si>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</si>
  <si>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</si>
  <si>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</si>
  <si>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</si>
  <si>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</si>
  <si>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</si>
  <si>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</si>
  <si>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</si>
  <si>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</si>
  <si>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</si>
  <si>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</si>
  <si>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</si>
  <si>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</si>
  <si>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</si>
  <si>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</si>
  <si>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</si>
  <si>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</si>
  <si>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</si>
  <si>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</si>
  <si>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</si>
  <si>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</si>
  <si>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</si>
  <si>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</si>
  <si>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</si>
  <si>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</si>
  <si>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</si>
  <si>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</si>
  <si>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</si>
  <si>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</si>
  <si>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</si>
  <si>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</si>
  <si>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</si>
  <si>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</si>
  <si>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</si>
  <si>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</si>
  <si>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</si>
  <si>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</si>
  <si>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</si>
  <si>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</si>
  <si>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</si>
  <si>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</si>
  <si>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</si>
  <si>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</si>
  <si>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</si>
  <si>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</si>
  <si>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</si>
  <si>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</si>
  <si>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</si>
  <si>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</si>
  <si>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</si>
  <si>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</si>
  <si>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</si>
  <si>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</si>
  <si>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</si>
  <si>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</si>
  <si>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</si>
  <si>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</si>
  <si>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</si>
  <si>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</si>
  <si>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</si>
  <si>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</si>
  <si>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</si>
  <si>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</si>
  <si>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</si>
  <si>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</si>
  <si>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</si>
  <si>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</si>
  <si>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</si>
  <si>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</si>
  <si>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</si>
  <si>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</si>
  <si>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</si>
  <si>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</si>
  <si>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</si>
  <si>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</si>
  <si>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</si>
  <si>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</si>
  <si>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</si>
  <si>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</si>
  <si>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</si>
  <si>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</si>
  <si>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</si>
  <si>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</si>
  <si>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</si>
  <si>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</si>
  <si>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</si>
  <si>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</si>
  <si>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</si>
  <si>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</si>
  <si>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</si>
  <si>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</si>
  <si>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</si>
  <si>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</si>
  <si>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</si>
  <si>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</si>
  <si>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</si>
  <si>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</si>
  <si>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</si>
  <si>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</si>
  <si>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</si>
  <si>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</si>
  <si>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</si>
  <si>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</si>
  <si>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</si>
  <si>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</si>
  <si>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</si>
  <si>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</si>
  <si>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</si>
  <si>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</si>
  <si>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</si>
  <si>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</si>
  <si>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</si>
  <si>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</si>
  <si>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</si>
  <si>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</si>
  <si>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</si>
  <si>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</si>
  <si>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</si>
  <si>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</si>
  <si>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</si>
  <si>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</si>
  <si>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</si>
  <si>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</si>
  <si>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</si>
  <si>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</si>
  <si>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</si>
  <si>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</si>
  <si>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</si>
  <si>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</si>
  <si>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</si>
  <si>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</si>
  <si>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</si>
  <si>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</si>
  <si>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</si>
  <si>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</si>
  <si>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</si>
  <si>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</si>
  <si>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</si>
  <si>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</si>
  <si>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</si>
  <si>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</si>
  <si>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</si>
  <si>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</si>
  <si>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</si>
  <si>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</si>
  <si>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</si>
  <si>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</si>
  <si>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</si>
  <si>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</si>
  <si>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</si>
  <si>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</si>
  <si>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</si>
  <si>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</si>
  <si>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</si>
  <si>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</si>
  <si>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</si>
  <si>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</si>
  <si>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</si>
  <si>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</si>
  <si>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</si>
  <si>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</si>
  <si>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</si>
  <si>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</si>
  <si>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</si>
  <si>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</si>
  <si>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</si>
  <si>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</si>
  <si>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</si>
  <si>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</si>
  <si>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</si>
  <si>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</si>
  <si>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</si>
  <si>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</si>
  <si>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</si>
  <si>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</si>
  <si>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</si>
  <si>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</si>
  <si>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</si>
  <si>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</si>
  <si>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</si>
  <si>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</si>
  <si>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</si>
  <si>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</si>
  <si>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</si>
  <si>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</si>
  <si>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</si>
  <si>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</si>
  <si>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</si>
  <si>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</si>
  <si>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</si>
  <si>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</si>
  <si>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</si>
  <si>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</si>
  <si>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</si>
  <si>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</si>
  <si>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</si>
  <si>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</si>
  <si>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</si>
  <si>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</si>
  <si>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</si>
  <si>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</si>
  <si>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</si>
  <si>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</si>
  <si>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</si>
  <si>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</si>
  <si>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</si>
  <si>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</si>
  <si>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</si>
  <si>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</si>
  <si>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</si>
  <si>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</si>
  <si>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</si>
  <si>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</si>
  <si>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</si>
  <si>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</si>
  <si>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</si>
  <si>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</si>
  <si>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</si>
  <si>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</si>
  <si>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</si>
  <si>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</si>
  <si>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</si>
  <si>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</si>
  <si>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</si>
  <si>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</si>
  <si>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</si>
  <si>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</si>
  <si>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</si>
  <si>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</si>
  <si>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</si>
  <si>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</si>
  <si>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</si>
  <si>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</si>
  <si>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</si>
  <si>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</si>
  <si>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</si>
  <si>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</si>
  <si>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</si>
  <si>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</si>
  <si>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</si>
  <si>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</si>
  <si>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</si>
  <si>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</si>
  <si>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</si>
  <si>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</si>
  <si>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</si>
  <si>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</si>
  <si>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</si>
  <si>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</si>
  <si>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</si>
  <si>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</si>
  <si>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</si>
  <si>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</si>
  <si>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</si>
  <si>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</si>
  <si>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</si>
  <si>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</si>
  <si>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</si>
  <si>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</si>
  <si>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</si>
  <si>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</si>
  <si>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</si>
  <si>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</si>
  <si>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</si>
  <si>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</si>
  <si>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</si>
  <si>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</si>
  <si>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</si>
  <si>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</si>
  <si>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</si>
  <si>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</si>
  <si>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</si>
  <si>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</si>
  <si>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</si>
  <si>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</si>
  <si>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</si>
  <si>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</si>
  <si>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</si>
  <si>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</si>
  <si>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</si>
  <si>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</si>
  <si>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</si>
  <si>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</si>
  <si>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</si>
  <si>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</si>
  <si>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</si>
  <si>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</si>
  <si>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</si>
  <si>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</si>
  <si>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</si>
  <si>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</si>
  <si>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</si>
  <si>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</si>
  <si>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</si>
  <si>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</si>
  <si>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</si>
  <si>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</si>
  <si>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</si>
  <si>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</si>
  <si>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</si>
  <si>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</si>
  <si>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</si>
  <si>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</si>
  <si>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</si>
  <si>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</si>
  <si>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</si>
  <si>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</si>
  <si>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</si>
  <si>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</si>
  <si>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</si>
  <si>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</si>
  <si>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</si>
  <si>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</si>
  <si>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</si>
  <si>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</si>
  <si>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</si>
  <si>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</si>
  <si>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</si>
  <si>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</si>
  <si>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</si>
  <si>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</si>
  <si>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</si>
  <si>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</si>
  <si>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</si>
  <si>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</si>
  <si>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</si>
  <si>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</si>
  <si>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</si>
  <si>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</si>
  <si>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</si>
  <si>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</si>
  <si>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</si>
  <si>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</si>
  <si>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</si>
  <si>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</si>
  <si>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</si>
  <si>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</si>
  <si>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</si>
  <si>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</si>
  <si>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</si>
  <si>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</si>
  <si>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</si>
  <si>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</si>
  <si>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</si>
  <si>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</si>
  <si>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</si>
  <si>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</si>
  <si>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</si>
  <si>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</si>
  <si>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</si>
  <si>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</si>
  <si>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</si>
  <si>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</si>
  <si>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</si>
  <si>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</si>
  <si>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</si>
  <si>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</si>
  <si>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</si>
  <si>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</si>
  <si>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</si>
  <si>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</si>
  <si>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</si>
  <si>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</si>
  <si>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</si>
  <si>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</si>
  <si>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</si>
  <si>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</si>
  <si>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</si>
  <si>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</si>
  <si>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</si>
  <si>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</si>
  <si>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</si>
  <si>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</si>
  <si>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</si>
  <si>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</si>
  <si>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</si>
  <si>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</si>
  <si>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</si>
  <si>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</si>
  <si>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</si>
  <si>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</si>
  <si>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</si>
  <si>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</si>
  <si>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</si>
  <si>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</si>
  <si>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</si>
  <si>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</si>
  <si>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</si>
  <si>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</si>
  <si>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</si>
  <si>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</si>
  <si>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</si>
  <si>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</si>
  <si>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</si>
  <si>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</si>
  <si>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</si>
  <si>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</si>
  <si>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</si>
  <si>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</si>
  <si>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</si>
  <si>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</si>
  <si>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</si>
  <si>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</si>
  <si>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</si>
  <si>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</si>
  <si>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</si>
  <si>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</si>
  <si>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</si>
  <si>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</si>
  <si>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</si>
  <si>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</si>
  <si>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</si>
  <si>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</si>
  <si>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</si>
  <si>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</si>
  <si>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</si>
  <si>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</si>
  <si>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</si>
  <si>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</si>
  <si>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</si>
  <si>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</si>
  <si>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</si>
  <si>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</si>
  <si>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</si>
  <si>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</si>
  <si>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</si>
  <si>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</si>
  <si>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</si>
  <si>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</si>
  <si>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</si>
  <si>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</si>
  <si>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</si>
  <si>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</si>
  <si>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</si>
  <si>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</si>
  <si>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</si>
  <si>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</si>
  <si>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</si>
  <si>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</si>
  <si>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</si>
  <si>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</si>
  <si>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</si>
  <si>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</si>
  <si>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</si>
  <si>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</si>
  <si>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</si>
  <si>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</si>
  <si>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</si>
  <si>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</si>
  <si>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</si>
  <si>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</si>
  <si>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</si>
  <si>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</si>
  <si>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</si>
  <si>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</si>
  <si>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</si>
  <si>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</si>
  <si>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</si>
  <si>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</si>
  <si>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</si>
  <si>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</si>
  <si>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</si>
  <si>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</si>
  <si>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</si>
  <si>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</si>
  <si>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</si>
  <si>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</si>
  <si>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</si>
  <si>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</si>
  <si>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</si>
  <si>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</si>
  <si>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</si>
  <si>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</si>
  <si>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</si>
  <si>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</si>
  <si>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</si>
  <si>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</si>
  <si>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</si>
  <si>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</si>
  <si>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</si>
  <si>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</si>
  <si>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</si>
  <si>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</si>
  <si>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</si>
  <si>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</si>
  <si>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</si>
  <si>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</si>
  <si>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</si>
  <si>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</si>
  <si>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</si>
  <si>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</si>
  <si>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t>
  </si>
  <si>
    <t>企业</t>
  </si>
  <si>
    <t>出让</t>
  </si>
  <si>
    <t>是</t>
  </si>
  <si>
    <t>否</t>
  </si>
  <si>
    <t>工业项目</t>
  </si>
  <si>
    <t>无</t>
  </si>
  <si>
    <t>现房</t>
  </si>
  <si>
    <t>通路</t>
  </si>
  <si>
    <t>通电</t>
  </si>
  <si>
    <t>通讯</t>
  </si>
  <si>
    <t>通上水</t>
  </si>
  <si>
    <t>通下水</t>
  </si>
  <si>
    <t>平整</t>
  </si>
  <si>
    <t>地上</t>
  </si>
  <si>
    <t>地下</t>
  </si>
  <si>
    <t>工业</t>
    <phoneticPr fontId="7" type="noConversion"/>
  </si>
  <si>
    <t>成新度</t>
  </si>
  <si>
    <t>收益法</t>
  </si>
  <si>
    <t>利息：取LPR加浮动点数</t>
  </si>
  <si>
    <t>未包含在土地购买价格中</t>
  </si>
  <si>
    <t>全部缴纳</t>
  </si>
  <si>
    <t>已包含在土地取得成本中</t>
  </si>
  <si>
    <t>押一</t>
  </si>
  <si>
    <t>按租金收入计税</t>
  </si>
  <si>
    <t>生产用房</t>
  </si>
  <si>
    <t>工业</t>
    <phoneticPr fontId="33" type="noConversion"/>
  </si>
  <si>
    <t>较好</t>
  </si>
  <si>
    <t>七通</t>
  </si>
  <si>
    <t>楼面地价</t>
  </si>
  <si>
    <t>正常</t>
  </si>
  <si>
    <t>成本法</t>
  </si>
  <si>
    <t>车库</t>
  </si>
  <si>
    <t>钢混</t>
  </si>
  <si>
    <t>总价</t>
  </si>
  <si>
    <t>成本比率</t>
  </si>
  <si>
    <t>情况3</t>
  </si>
  <si>
    <t>自行开发建设</t>
  </si>
  <si>
    <t>企业提供（在右侧录入）</t>
  </si>
  <si>
    <t>仅含出让金</t>
  </si>
  <si>
    <t>非个人房产</t>
  </si>
  <si>
    <t>郑燚</t>
  </si>
  <si>
    <t>崔锴</t>
  </si>
  <si>
    <t>核定资产</t>
  </si>
  <si>
    <t>房地产市场价值</t>
  </si>
  <si>
    <t>复印件</t>
  </si>
  <si>
    <t>Ⅶ-顺1</t>
  </si>
  <si>
    <t>1层</t>
    <phoneticPr fontId="140" type="noConversion"/>
  </si>
  <si>
    <t>4.5-5.5</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</si>
</sst>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
      <sz val="11"/>
      <name val="宋体"/>
      <family val="2"/>
      <charset val="134"/>
    </font>
    <font>
      <sz val="12"/>
      <color theme="1"/>
      <name val="宋体"/>
      <family val="2"/>
      <scheme val="minor"/>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cellStyleXfs>
  <cellXfs count="35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0" xfId="17"/>
    <xf numFmtId="0" fontId="257" fillId="5" borderId="0" xfId="17" applyFill="1"/>
    <xf numFmtId="0" fontId="257" fillId="7" borderId="0" xfId="17" applyFill="1"/>
    <xf numFmtId="0" fontId="49" fillId="12" borderId="0" xfId="0" applyNumberFormat="1" applyFont="1" applyFill="1" applyAlignment="1" applyProtection="1">
      <alignment vertical="center"/>
      <protection locked="0"/>
    </xf>
    <xf numFmtId="0" fontId="258" fillId="12" borderId="0" xfId="0" applyFont="1" applyFill="1" applyAlignment="1" applyProtection="1">
      <alignment vertical="center"/>
      <protection locked="0"/>
    </xf>
    <xf numFmtId="177" fontId="55" fillId="7" borderId="1" xfId="1" applyNumberFormat="1" applyFont="1" applyFill="1" applyBorder="1" applyAlignment="1" applyProtection="1">
      <alignment horizontal="center" vertical="center"/>
      <protection locked="0"/>
    </xf>
    <xf numFmtId="0" fontId="255" fillId="7" borderId="5"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0" borderId="0" xfId="17"/>
    <xf numFmtId="0" fontId="257" fillId="5" borderId="0" xfId="17" applyFill="1"/>
    <xf numFmtId="14" fontId="257" fillId="0" borderId="0" xfId="17" applyNumberFormat="1"/>
    <xf numFmtId="14" fontId="257" fillId="5" borderId="0" xfId="17" applyNumberFormat="1" applyFill="1"/>
    <xf numFmtId="0" fontId="257" fillId="7" borderId="0" xfId="17" applyFill="1"/>
    <xf numFmtId="14" fontId="257" fillId="7"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714649</xdr:colOff>
      <xdr:row>18</xdr:row>
      <xdr:rowOff>175261</xdr:rowOff>
    </xdr:to>
    <xdr:pic>
      <xdr:nvPicPr>
        <xdr:cNvPr id="2" name="图片 1">
          <a:extLst>
            <a:ext uri="{FF2B5EF4-FFF2-40B4-BE49-F238E27FC236}">
              <a16:creationId xmlns="" xmlns:a16="http://schemas.microsoft.com/office/drawing/2014/main" id="{2F77AE8E-7526-C904-C685-C6FABD5C8CD7}"/>
            </a:ext>
          </a:extLst>
        </xdr:cNvPr>
        <xdr:cNvPicPr>
          <a:picLocks noChangeAspect="1"/>
        </xdr:cNvPicPr>
      </xdr:nvPicPr>
      <xdr:blipFill>
        <a:blip xmlns:r="http://schemas.openxmlformats.org/officeDocument/2006/relationships" r:embed="rId1"/>
        <a:stretch>
          <a:fillRect/>
        </a:stretch>
      </xdr:blipFill>
      <xdr:spPr>
        <a:xfrm>
          <a:off x="1" y="1"/>
          <a:ext cx="7793628" cy="3741420"/>
        </a:xfrm>
        <a:prstGeom prst="rect">
          <a:avLst/>
        </a:prstGeom>
      </xdr:spPr>
    </xdr:pic>
    <xdr:clientData/>
  </xdr:twoCellAnchor>
  <xdr:twoCellAnchor editAs="oneCell">
    <xdr:from>
      <xdr:col>0</xdr:col>
      <xdr:colOff>99060</xdr:colOff>
      <xdr:row>19</xdr:row>
      <xdr:rowOff>99838</xdr:rowOff>
    </xdr:from>
    <xdr:to>
      <xdr:col>4</xdr:col>
      <xdr:colOff>1305780</xdr:colOff>
      <xdr:row>25</xdr:row>
      <xdr:rowOff>15069</xdr:rowOff>
    </xdr:to>
    <xdr:pic>
      <xdr:nvPicPr>
        <xdr:cNvPr id="3" name="图片 2">
          <a:extLst>
            <a:ext uri="{FF2B5EF4-FFF2-40B4-BE49-F238E27FC236}">
              <a16:creationId xmlns="" xmlns:a16="http://schemas.microsoft.com/office/drawing/2014/main" id="{25B0AFE2-521B-965D-2AF8-968851E8168E}"/>
            </a:ext>
          </a:extLst>
        </xdr:cNvPr>
        <xdr:cNvPicPr>
          <a:picLocks noChangeAspect="1"/>
        </xdr:cNvPicPr>
      </xdr:nvPicPr>
      <xdr:blipFill>
        <a:blip xmlns:r="http://schemas.openxmlformats.org/officeDocument/2006/relationships" r:embed="rId2"/>
        <a:stretch>
          <a:fillRect/>
        </a:stretch>
      </xdr:blipFill>
      <xdr:spPr>
        <a:xfrm>
          <a:off x="99060" y="3864118"/>
          <a:ext cx="6761700" cy="11039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39034;&#20041;&#22307;&#20803;-&#29579;&#32043;&#29020;20220516-1504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4917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北京市房地产市场价值预评估</v>
      </c>
    </row>
    <row r="3" spans="1:2" s="1318" customFormat="1">
      <c r="A3" s="1316" t="s">
        <v>948</v>
      </c>
      <c r="B3" s="1317">
        <f>'预评函-封皮'!B40</f>
        <v>0</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受贵公司委托，我公司对北京市房地产市场价值进行了预评估。</v>
      </c>
    </row>
    <row r="7" spans="1:2" s="1318" customFormat="1">
      <c r="A7" s="1316" t="s">
        <v>991</v>
      </c>
      <c r="B7" s="1317" t="str">
        <f>'预评函-1'!A7</f>
        <v>估价对象为北京市房地产，为所有。根据《国有土地使用证》[]，估价对象（分摊）出让国有建设用地使用权面积为30128平方米，建筑面积为10083.39平方米。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估价对象为北京市房地产,属开发建设的工业项目，该项目尚在开发建设中。根据《国有土地使用证》[]，估价对象（分摊）出让国有建设用地使用权面积为30128平方米，规划建筑面积为10083.39平方米。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2022年5月16日</v>
      </c>
    </row>
    <row r="13" spans="1:2" s="1318" customFormat="1">
      <c r="A13" s="1316" t="s">
        <v>954</v>
      </c>
      <c r="B13" s="1317" t="str">
        <f>'预评函-1'!A18</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11736</v>
      </c>
    </row>
    <row r="21" spans="1:2" s="1318" customFormat="1">
      <c r="A21" s="1316" t="s">
        <v>962</v>
      </c>
      <c r="B21" s="1317">
        <f ca="1">'预评函-2'!D7</f>
        <v>11639</v>
      </c>
    </row>
    <row r="22" spans="1:2" s="1318" customFormat="1">
      <c r="A22" s="1316" t="s">
        <v>963</v>
      </c>
      <c r="B22" s="1317" t="str">
        <f ca="1">'预评函-2'!D6</f>
        <v>壹亿壹仟柒佰叁拾陆万元整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11736</v>
      </c>
    </row>
    <row r="31" spans="1:2" s="1318" customFormat="1">
      <c r="A31" s="1316" t="s">
        <v>1001</v>
      </c>
      <c r="B31" s="1317">
        <f ca="1">'预评函-2'!D15</f>
        <v>11639</v>
      </c>
    </row>
    <row r="32" spans="1:2" s="1318" customFormat="1">
      <c r="A32" s="1316" t="s">
        <v>968</v>
      </c>
      <c r="B32" s="1317" t="str">
        <f ca="1">'预评函-2'!D14</f>
        <v>壹亿壹仟柒佰叁拾陆万元整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10083.39</v>
      </c>
    </row>
    <row r="44" spans="1:2" s="1318" customFormat="1">
      <c r="A44" s="1316" t="s">
        <v>1000</v>
      </c>
      <c r="B44" s="1317" t="str">
        <f>'预评函-3'!C2</f>
        <v>(分摊)土地面积</v>
      </c>
    </row>
    <row r="45" spans="1:2" s="1318" customFormat="1">
      <c r="A45" s="1316" t="s">
        <v>972</v>
      </c>
      <c r="B45" s="1317">
        <f>'预评函-3'!C4</f>
        <v>30128</v>
      </c>
    </row>
    <row r="46" spans="1:2" s="1318" customFormat="1">
      <c r="A46" s="1316" t="s">
        <v>998</v>
      </c>
      <c r="B46" s="1317" t="str">
        <f>'预评函-3'!D2</f>
        <v>出让国有建设用地使用权价值</v>
      </c>
    </row>
    <row r="47" spans="1:2" s="1318" customFormat="1">
      <c r="A47" s="1316" t="s">
        <v>973</v>
      </c>
      <c r="B47" s="1317">
        <f ca="1">'预评函-3'!D4</f>
        <v>8509</v>
      </c>
    </row>
    <row r="48" spans="1:2" s="1318" customFormat="1">
      <c r="A48" s="1316" t="s">
        <v>974</v>
      </c>
      <c r="B48" s="1317">
        <f ca="1">'预评函-3'!E4</f>
        <v>8439</v>
      </c>
    </row>
    <row r="49" spans="1:2" s="1318" customFormat="1">
      <c r="A49" s="1316" t="s">
        <v>975</v>
      </c>
      <c r="B49" s="1317" t="str">
        <f ca="1">'预评函-3'!D5</f>
        <v>捌仟伍佰零玖万元整</v>
      </c>
    </row>
    <row r="50" spans="1:2" s="1318" customFormat="1">
      <c r="A50" s="1316" t="s">
        <v>999</v>
      </c>
      <c r="B50" s="1317" t="str">
        <f>'预评函-3'!F2</f>
        <v>在建建筑物价值</v>
      </c>
    </row>
    <row r="51" spans="1:2" s="1318" customFormat="1">
      <c r="A51" s="1316" t="s">
        <v>976</v>
      </c>
      <c r="B51" s="1317">
        <f ca="1">'预评函-3'!F4</f>
        <v>3227</v>
      </c>
    </row>
    <row r="52" spans="1:2" s="1318" customFormat="1">
      <c r="A52" s="1316" t="s">
        <v>977</v>
      </c>
      <c r="B52" s="1317">
        <f ca="1">'预评函-3'!G4</f>
        <v>3200</v>
      </c>
    </row>
    <row r="53" spans="1:2" s="1318" customFormat="1">
      <c r="A53" s="1316" t="s">
        <v>1005</v>
      </c>
      <c r="B53" s="1317" t="str">
        <f ca="1">'预评函-3'!F5</f>
        <v>叁仟贰佰贰拾柒万元整</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115" zoomScaleNormal="100" zoomScaleSheetLayoutView="115" workbookViewId="0">
      <selection activeCell="F41" sqref="F4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90" t="str">
        <f>IF(B10="北京市","北京市",C10)&amp;F10&amp;IF(结果表!G1="在建","出让国有建设用地使用权及在建建筑物",IF(结果表!G1="土地","出让国有建设用地使用权",))&amp;B9&amp;"预评估"</f>
        <v>北京市房地产市场价值预评估</v>
      </c>
      <c r="C1" s="3291"/>
      <c r="D1" s="3291"/>
      <c r="E1" s="3291"/>
      <c r="F1" s="3291"/>
      <c r="G1" s="3291"/>
      <c r="H1" s="3291"/>
      <c r="I1" s="3292"/>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北京市房地产市场价值</v>
      </c>
      <c r="T1" s="1882"/>
      <c r="U1" s="1882"/>
      <c r="V1" s="1882"/>
      <c r="W1" s="1882"/>
      <c r="X1" s="1882"/>
      <c r="Y1" s="1882"/>
      <c r="Z1" s="1882"/>
      <c r="AA1" s="1882"/>
      <c r="AB1" s="1882"/>
    </row>
    <row r="2" spans="1:28">
      <c r="A2" s="2541" t="s">
        <v>2669</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44697</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3215</v>
      </c>
      <c r="C4" s="2550">
        <f ca="1">SUMIF(注册房地产估价师,B4,估价师及机构信息!B3:B24)</f>
        <v>1120070131</v>
      </c>
      <c r="D4" s="2549" t="s">
        <v>3216</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38"/>
      <c r="C6" s="2558"/>
      <c r="D6" s="2559"/>
      <c r="E6" s="2838"/>
      <c r="F6" s="2840"/>
      <c r="G6" s="2840"/>
      <c r="H6" s="2840"/>
      <c r="I6" s="2840"/>
      <c r="J6" s="2614"/>
      <c r="K6" s="2790" t="str">
        <f>IF(COUNTIF(B6,"*上海银行*"),"上海银行","")</f>
        <v/>
      </c>
      <c r="L6" s="2788"/>
      <c r="M6" s="2788"/>
      <c r="N6" s="2614"/>
      <c r="O6" s="2625"/>
      <c r="P6" s="2614"/>
      <c r="Q6" s="2614"/>
      <c r="R6" s="2614"/>
    </row>
    <row r="7" spans="1:28">
      <c r="A7" s="2557" t="s">
        <v>2675</v>
      </c>
      <c r="B7" s="2560"/>
      <c r="C7" s="2558"/>
      <c r="D7" s="2559"/>
      <c r="E7" s="2838"/>
      <c r="F7" s="2840"/>
      <c r="G7" s="2840"/>
      <c r="H7" s="2840"/>
      <c r="I7" s="2840"/>
      <c r="J7" s="2614"/>
      <c r="K7" s="2791"/>
      <c r="L7" s="2788"/>
      <c r="M7" s="2788"/>
      <c r="N7" s="2614"/>
      <c r="O7" s="2625"/>
      <c r="P7" s="2614"/>
      <c r="Q7" s="2614"/>
      <c r="R7" s="2614"/>
    </row>
    <row r="8" spans="1:28">
      <c r="A8" s="2561" t="s">
        <v>2676</v>
      </c>
      <c r="B8" s="2562" t="s">
        <v>3217</v>
      </c>
      <c r="C8" s="2563"/>
      <c r="D8" s="3293" t="s">
        <v>2677</v>
      </c>
      <c r="E8" s="2564"/>
      <c r="F8" s="2565"/>
      <c r="G8" s="2839"/>
      <c r="H8" s="2839"/>
      <c r="I8" s="2839"/>
      <c r="J8" s="2614"/>
      <c r="K8" s="2789"/>
      <c r="L8" s="2788"/>
      <c r="M8" s="2788"/>
      <c r="N8" s="2614"/>
      <c r="O8" s="2625"/>
      <c r="P8" s="2614"/>
      <c r="Q8" s="2614"/>
      <c r="R8" s="2614"/>
    </row>
    <row r="9" spans="1:28" ht="13.5" thickBot="1">
      <c r="A9" s="2566" t="s">
        <v>2678</v>
      </c>
      <c r="B9" s="2567" t="s">
        <v>3218</v>
      </c>
      <c r="C9" s="2568"/>
      <c r="D9" s="3294"/>
      <c r="E9" s="2567"/>
      <c r="F9" s="2569"/>
      <c r="G9" s="2841"/>
      <c r="H9" s="2841"/>
      <c r="I9" s="2841"/>
      <c r="J9" s="2614"/>
      <c r="K9" s="2791"/>
      <c r="L9" s="2788"/>
      <c r="M9" s="2788"/>
      <c r="N9" s="2614"/>
      <c r="O9" s="2625"/>
      <c r="P9" s="2614"/>
      <c r="Q9" s="2614"/>
      <c r="R9" s="2614"/>
    </row>
    <row r="10" spans="1:28" ht="13.5" thickTop="1">
      <c r="A10" s="2570" t="s">
        <v>2679</v>
      </c>
      <c r="B10" s="2571" t="s">
        <v>3174</v>
      </c>
      <c r="C10" s="2572"/>
      <c r="D10" s="2556"/>
      <c r="E10" s="2573" t="s">
        <v>2680</v>
      </c>
      <c r="F10" s="2842"/>
      <c r="G10" s="2843"/>
      <c r="H10" s="2844"/>
      <c r="I10" s="2845"/>
      <c r="J10" s="2614"/>
      <c r="K10" s="2791"/>
      <c r="L10" s="2788"/>
      <c r="M10" s="2788"/>
      <c r="N10" s="2614"/>
      <c r="O10" s="2625"/>
      <c r="P10" s="2614"/>
      <c r="Q10" s="2614"/>
      <c r="R10" s="2614"/>
    </row>
    <row r="11" spans="1:28">
      <c r="A11" s="2574" t="s">
        <v>2681</v>
      </c>
      <c r="B11" s="2575" t="s">
        <v>3175</v>
      </c>
      <c r="C11" s="2576"/>
      <c r="D11" s="2577"/>
      <c r="E11" s="2544"/>
      <c r="F11" s="2544"/>
      <c r="G11" s="2544"/>
      <c r="H11" s="2544"/>
      <c r="I11" s="2544"/>
      <c r="J11" s="2614"/>
      <c r="K11" s="2791"/>
      <c r="L11" s="2788"/>
      <c r="M11" s="2788"/>
      <c r="N11" s="2614"/>
      <c r="O11" s="2625"/>
      <c r="P11" s="2614"/>
      <c r="Q11" s="2614"/>
      <c r="R11" s="2614"/>
    </row>
    <row r="12" spans="1:28">
      <c r="A12" s="2578" t="s">
        <v>2682</v>
      </c>
      <c r="B12" s="2575" t="s">
        <v>3176</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c r="G13" s="946"/>
      <c r="H13" s="946"/>
      <c r="I13" s="946">
        <v>56399</v>
      </c>
      <c r="J13" s="2614"/>
      <c r="K13" s="2791"/>
      <c r="L13" s="2788"/>
      <c r="M13" s="2788"/>
      <c r="N13" s="2614"/>
      <c r="O13" s="2625"/>
      <c r="P13" s="2614"/>
      <c r="Q13" s="2614"/>
      <c r="R13" s="2614"/>
    </row>
    <row r="14" spans="1:28">
      <c r="A14" s="1194"/>
      <c r="B14" s="2580"/>
      <c r="C14" s="2581" t="s">
        <v>2691</v>
      </c>
      <c r="D14" s="2582"/>
      <c r="E14" s="2582"/>
      <c r="F14" s="2582"/>
      <c r="G14" s="2582"/>
      <c r="H14" s="2582"/>
      <c r="I14" s="2582">
        <v>50</v>
      </c>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32.06</v>
      </c>
      <c r="J15" s="2614"/>
      <c r="K15" s="2793"/>
      <c r="L15" s="2626"/>
      <c r="M15" s="2626"/>
      <c r="N15" s="2684"/>
      <c r="O15" s="2626"/>
      <c r="P15" s="2684"/>
      <c r="Q15" s="2614"/>
      <c r="R15" s="2614"/>
    </row>
    <row r="16" spans="1:28">
      <c r="A16" s="2573" t="s">
        <v>2693</v>
      </c>
      <c r="B16" s="3300"/>
      <c r="C16" s="3301"/>
      <c r="D16" s="3302"/>
      <c r="E16" s="2588" t="s">
        <v>2694</v>
      </c>
      <c r="F16" s="3303"/>
      <c r="G16" s="3304"/>
      <c r="H16" s="3304"/>
      <c r="I16" s="3305"/>
      <c r="J16" s="2614"/>
      <c r="K16" s="2793"/>
      <c r="L16" s="2626"/>
      <c r="M16" s="2626"/>
      <c r="N16" s="2684"/>
      <c r="O16" s="2626"/>
      <c r="P16" s="2684"/>
      <c r="Q16" s="2614"/>
      <c r="R16" s="2614"/>
    </row>
    <row r="17" spans="1:28">
      <c r="A17" s="319" t="s">
        <v>2695</v>
      </c>
      <c r="B17" s="308" t="s">
        <v>2696</v>
      </c>
      <c r="C17" s="11">
        <f>'数据-汇总表'!E3</f>
        <v>10083.39</v>
      </c>
      <c r="D17" s="2496" t="s">
        <v>2697</v>
      </c>
      <c r="E17" s="3306" t="s">
        <v>2698</v>
      </c>
      <c r="F17" s="3307"/>
      <c r="G17" s="3307"/>
      <c r="H17" s="3307"/>
      <c r="I17" s="3308"/>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30128</v>
      </c>
      <c r="D18" s="1205" t="s">
        <v>2701</v>
      </c>
      <c r="E18" s="3309" t="s">
        <v>2702</v>
      </c>
      <c r="F18" s="3310"/>
      <c r="G18" s="3310"/>
      <c r="H18" s="3310"/>
      <c r="I18" s="3311"/>
      <c r="J18" s="2614"/>
      <c r="K18" s="2794"/>
      <c r="L18" s="2626"/>
      <c r="M18" s="2626"/>
      <c r="N18" s="2684"/>
      <c r="O18" s="2626"/>
      <c r="P18" s="2684"/>
      <c r="Q18" s="2614"/>
      <c r="R18" s="2614"/>
      <c r="S18" s="2614"/>
      <c r="T18" s="2614"/>
      <c r="U18" s="2614"/>
      <c r="V18" s="2614"/>
    </row>
    <row r="19" spans="1:28" ht="37.5" thickTop="1" thickBot="1">
      <c r="A19" s="333" t="s">
        <v>1500</v>
      </c>
      <c r="B19" s="313" t="s">
        <v>2703</v>
      </c>
      <c r="C19" s="1699" t="s">
        <v>3178</v>
      </c>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96" t="s">
        <v>2706</v>
      </c>
      <c r="C20" s="3297"/>
      <c r="D20" s="3298" t="s">
        <v>2707</v>
      </c>
      <c r="E20" s="3299"/>
      <c r="F20" s="2823" t="s">
        <v>1501</v>
      </c>
      <c r="G20" s="2840"/>
      <c r="H20" s="2840"/>
      <c r="I20" s="2840"/>
      <c r="J20" s="2614"/>
      <c r="K20" s="3295" t="s">
        <v>2708</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2709</v>
      </c>
      <c r="C21" s="2810" t="s">
        <v>3219</v>
      </c>
      <c r="D21" s="1704" t="s">
        <v>2710</v>
      </c>
      <c r="E21" s="2811" t="s">
        <v>1502</v>
      </c>
      <c r="F21" s="2824"/>
      <c r="G21" s="2840"/>
      <c r="H21" s="2840"/>
      <c r="I21" s="2840"/>
      <c r="J21" s="2614"/>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2711</v>
      </c>
      <c r="C22" s="2810" t="s">
        <v>1503</v>
      </c>
      <c r="D22" s="2839"/>
      <c r="E22" s="2839"/>
      <c r="F22" s="2839"/>
      <c r="G22" s="2840"/>
      <c r="H22" s="2840"/>
      <c r="I22" s="2840"/>
      <c r="J22" s="2614"/>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3" t="s">
        <v>2714</v>
      </c>
      <c r="B27" s="326" t="s">
        <v>2715</v>
      </c>
      <c r="C27" s="2591" t="s">
        <v>3179</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3"/>
      <c r="B28" s="308" t="s">
        <v>2716</v>
      </c>
      <c r="C28" s="2593" t="s">
        <v>3180</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3"/>
      <c r="B29" s="308" t="s">
        <v>2717</v>
      </c>
      <c r="C29" s="2595" t="s">
        <v>3178</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4"/>
      <c r="B30" s="308" t="s">
        <v>2718</v>
      </c>
      <c r="C30" s="3285"/>
      <c r="D30" s="3286"/>
      <c r="E30" s="2840"/>
      <c r="F30" s="2840"/>
      <c r="G30" s="2840"/>
      <c r="H30" s="2840"/>
      <c r="I30" s="2840"/>
      <c r="J30" s="2614"/>
      <c r="K30" s="2791"/>
      <c r="L30" s="2788"/>
      <c r="M30" s="2788"/>
      <c r="N30" s="2614"/>
      <c r="O30" s="2625"/>
      <c r="P30" s="2614"/>
      <c r="Q30" s="2614"/>
      <c r="R30" s="2614"/>
      <c r="S30" s="2614"/>
      <c r="T30" s="2614"/>
      <c r="U30" s="2614"/>
      <c r="V30" s="2614"/>
    </row>
    <row r="31" spans="1:28">
      <c r="A31" s="3287" t="s">
        <v>2719</v>
      </c>
      <c r="B31" s="2597" t="s">
        <v>3181</v>
      </c>
      <c r="C31" s="2497" t="str">
        <f>IF(B31="现房","成新及维护状况正常否",IF(B31="在建","工程状态是否正常",IF(B31="土地","是否闲置","-")))</f>
        <v>成新及维护状况正常否</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8"/>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8"/>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5" t="s">
        <v>3182</v>
      </c>
      <c r="C34" s="2165" t="s">
        <v>3183</v>
      </c>
      <c r="D34" s="2165" t="s">
        <v>3184</v>
      </c>
      <c r="E34" s="2165" t="s">
        <v>3185</v>
      </c>
      <c r="F34" s="2165" t="s">
        <v>3186</v>
      </c>
      <c r="G34" s="2165" t="s">
        <v>3187</v>
      </c>
      <c r="H34" s="2165"/>
      <c r="I34" s="2840"/>
      <c r="J34" s="2614"/>
      <c r="K34" s="2602">
        <f>COUNTIF(B34:H34,"——")</f>
        <v>0</v>
      </c>
      <c r="L34" s="329" t="s">
        <v>2721</v>
      </c>
      <c r="M34" s="329" t="s">
        <v>2722</v>
      </c>
      <c r="N34" s="329" t="s">
        <v>2723</v>
      </c>
      <c r="O34" s="329" t="s">
        <v>2724</v>
      </c>
      <c r="P34" s="329" t="s">
        <v>2725</v>
      </c>
      <c r="Q34" s="329" t="s">
        <v>2726</v>
      </c>
      <c r="R34" s="329" t="s">
        <v>2727</v>
      </c>
      <c r="S34" s="3282" t="s">
        <v>2728</v>
      </c>
      <c r="T34" s="2603" t="str">
        <f>NUMBERSTRING(7-K34,1)&amp;"通"</f>
        <v>七通</v>
      </c>
      <c r="U34" s="2614"/>
      <c r="V34" s="2614"/>
    </row>
    <row r="35" spans="1:30">
      <c r="A35" s="2604"/>
      <c r="B35" s="3289" t="s">
        <v>2729</v>
      </c>
      <c r="C35" s="3289"/>
      <c r="D35" s="3289"/>
      <c r="E35" s="3289"/>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2"/>
      <c r="T35" s="335" t="str">
        <f>IF(T34="一通",L35,IF(T34="二通",M35,IF(T34="三通",N35,IF(T34="四通",O35,IF(T34="五通",P35,IF(T34="六通",Q35,R35))))))</f>
        <v>通路、通电、通讯、通上水、通下水、平整、</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t="s">
        <v>525</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t="s">
        <v>3220</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2733</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D1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30128</v>
      </c>
      <c r="B3" s="14">
        <f>IF(C3="否",G5-AT5,G5)</f>
        <v>10083.39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10083.39</v>
      </c>
      <c r="H5" s="16">
        <f t="shared" ref="H5:AT5" si="0">SUM(H13:H656)</f>
        <v>10083.39</v>
      </c>
      <c r="I5" s="16">
        <f t="shared" si="0"/>
        <v>10083.39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10083.39</v>
      </c>
      <c r="BA5" s="18">
        <f t="shared" si="1"/>
        <v>10083.39</v>
      </c>
      <c r="BB5" s="18">
        <f t="shared" si="1"/>
        <v>10083.39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30128</v>
      </c>
      <c r="F6" s="16" t="s">
        <v>1</v>
      </c>
      <c r="G6" s="16" t="s">
        <v>2</v>
      </c>
      <c r="H6" s="20">
        <f>SUMIF(I$12:AB$12,"总值",I6:AB6)</f>
        <v>30128</v>
      </c>
      <c r="I6" s="16">
        <f t="shared" ref="I6:AB6" si="2">ROUND($A$3*I5/$B$3,2)</f>
        <v>30128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30128</v>
      </c>
      <c r="AZ6" s="16" t="s">
        <v>3</v>
      </c>
      <c r="BA6" s="16">
        <f>ROUND($AY$6*BA5/$AZ$5,2)</f>
        <v>30128</v>
      </c>
      <c r="BB6" s="16">
        <f>ROUND($AY$6*BB5/$AZ$5,2)</f>
        <v>30128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3188</v>
      </c>
      <c r="J9" s="899"/>
      <c r="K9" s="1739" t="s">
        <v>3189</v>
      </c>
      <c r="L9" s="899"/>
      <c r="M9" s="1739" t="s">
        <v>3188</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t="s">
        <v>6</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地上</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t="s">
        <v>3206</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t="str">
        <f>M10</f>
        <v>工业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3177</v>
      </c>
      <c r="E13" s="16">
        <f>IF($C$3="是",ROUND($A$3*G13/$B$3,2),ROUND($A$3*(G13-AT13)/$B$3,2))</f>
        <v>30128</v>
      </c>
      <c r="F13" s="32"/>
      <c r="G13" s="33">
        <f>H13+AC13+AT13</f>
        <v>10083.39</v>
      </c>
      <c r="H13" s="20">
        <f>SUMIF(I$12:AB$12,"总值",I13:AB13)</f>
        <v>10083.39</v>
      </c>
      <c r="I13" s="1762">
        <v>10083.39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30128</v>
      </c>
      <c r="AZ13" s="16">
        <f>BA13+BL13</f>
        <v>10083.39</v>
      </c>
      <c r="BA13" s="16">
        <f>SUM(BB13:BK13)</f>
        <v>10083.39</v>
      </c>
      <c r="BB13" s="16">
        <f>IF($D13="是",I13-J13,0)</f>
        <v>10083.39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23" sqref="L2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5"/>
      <c r="G2" s="2826"/>
      <c r="H2" s="2827"/>
      <c r="I2" s="2499" t="s">
        <v>1577</v>
      </c>
      <c r="J2" s="2835"/>
      <c r="K2" s="2835"/>
      <c r="L2" s="2835"/>
      <c r="M2" s="2835"/>
      <c r="N2" s="2837"/>
      <c r="O2" s="2835"/>
      <c r="P2" s="2835"/>
    </row>
    <row r="3" spans="1:16" ht="15.75" thickBot="1">
      <c r="A3" s="3324" t="s">
        <v>1550</v>
      </c>
      <c r="B3" s="3324"/>
      <c r="C3" s="3324"/>
      <c r="D3" s="46">
        <f>'数据-基础表'!AY6</f>
        <v>30128</v>
      </c>
      <c r="E3" s="46">
        <f>'数据-基础表'!AZ5</f>
        <v>10083.39</v>
      </c>
      <c r="F3" s="2835"/>
      <c r="G3" s="1260"/>
      <c r="H3" s="1138" t="s">
        <v>1551</v>
      </c>
      <c r="I3" s="945">
        <f>ROUND('数据-基础表'!B3/'数据-基础表'!A3,2)</f>
        <v>0.33</v>
      </c>
      <c r="J3" s="2835"/>
      <c r="K3" s="2835"/>
      <c r="L3" s="2835"/>
      <c r="M3" s="2835"/>
      <c r="N3" s="2837"/>
      <c r="O3" s="2835"/>
      <c r="P3" s="2835"/>
    </row>
    <row r="4" spans="1:16" ht="15">
      <c r="A4" s="3325"/>
      <c r="B4" s="3326"/>
      <c r="C4" s="3327"/>
      <c r="D4" s="1777" t="s">
        <v>1552</v>
      </c>
      <c r="E4" s="1778" t="s">
        <v>1553</v>
      </c>
      <c r="F4" s="2835"/>
      <c r="G4" s="2828" t="s">
        <v>1578</v>
      </c>
      <c r="H4" s="1138" t="s">
        <v>1558</v>
      </c>
      <c r="I4" s="945">
        <f>ROUND(SUMIF('数据-基础表'!I9:AS9,"地上",'数据-基础表'!I5:AS5)/'数据-基础表'!A3,2)</f>
        <v>0.33</v>
      </c>
      <c r="J4" s="2835"/>
      <c r="K4" s="2835"/>
      <c r="L4" s="2835"/>
      <c r="M4" s="2835"/>
      <c r="N4" s="2837"/>
      <c r="O4" s="2835"/>
      <c r="P4" s="2835"/>
    </row>
    <row r="5" spans="1:16">
      <c r="A5" s="47" t="s">
        <v>1554</v>
      </c>
      <c r="B5" s="3328" t="s">
        <v>1555</v>
      </c>
      <c r="C5" s="3328"/>
      <c r="D5" s="48">
        <f>ROUND($D$3*E5/$E$3,2)</f>
        <v>0</v>
      </c>
      <c r="E5" s="49">
        <f>SUMIF('数据-基础表'!$11:$11,"住宅",'数据-基础表'!$5:$5)</f>
        <v>0</v>
      </c>
      <c r="F5" s="2835"/>
      <c r="G5" s="1260"/>
      <c r="H5" s="1138" t="s">
        <v>1551</v>
      </c>
      <c r="I5" s="945">
        <f>ROUND(E31/D31,2)</f>
        <v>0.33</v>
      </c>
      <c r="J5" s="2835"/>
      <c r="K5" s="2835"/>
      <c r="L5" s="2835"/>
      <c r="M5" s="2835"/>
      <c r="N5" s="2835"/>
      <c r="O5" s="2835"/>
      <c r="P5" s="2835"/>
    </row>
    <row r="6" spans="1:16" ht="15" thickBot="1">
      <c r="A6" s="1780"/>
      <c r="B6" s="3328" t="s">
        <v>1556</v>
      </c>
      <c r="C6" s="3328"/>
      <c r="D6" s="48">
        <f>ROUND($D$3*E6/$E$3,2)</f>
        <v>30128</v>
      </c>
      <c r="E6" s="49">
        <f>E3-E5</f>
        <v>10083.39</v>
      </c>
      <c r="F6" s="2835"/>
      <c r="G6" s="2829" t="s">
        <v>1557</v>
      </c>
      <c r="H6" s="1261" t="s">
        <v>1558</v>
      </c>
      <c r="I6" s="2830">
        <f>ROUND(F31/D31,2)</f>
        <v>0.33</v>
      </c>
      <c r="J6" s="2835"/>
      <c r="K6" s="2835"/>
      <c r="L6" s="2835"/>
      <c r="M6" s="2835"/>
      <c r="N6" s="2835"/>
      <c r="O6" s="2835"/>
      <c r="P6" s="2835"/>
    </row>
    <row r="7" spans="1:16" ht="15.75" thickBot="1">
      <c r="A7" s="3320"/>
      <c r="B7" s="3321"/>
      <c r="C7" s="3322"/>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30128</v>
      </c>
      <c r="E8" s="51">
        <f>SUMIF('数据-基础表'!BB10:BK10,"地上",'数据-基础表'!BB5:BK5)</f>
        <v>10083.39</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30128</v>
      </c>
      <c r="E16" s="53">
        <f>SUM(E8:E15)</f>
        <v>10083.39</v>
      </c>
      <c r="F16" s="2835"/>
      <c r="G16" s="2836"/>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3190</v>
      </c>
      <c r="D19" s="48">
        <f>ROUND($D$3*E19/$E$3,2)</f>
        <v>30128</v>
      </c>
      <c r="E19" s="56">
        <f t="shared" ref="E19:E26" si="1">SUM(F19:G19)</f>
        <v>10083.39</v>
      </c>
      <c r="F19" s="2975">
        <f>'数据-基础表'!I5+'数据-基础表'!M15</f>
        <v>10083.39</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30128</v>
      </c>
      <c r="S19" s="1139">
        <f t="shared" si="5"/>
        <v>10083.39</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30128</v>
      </c>
      <c r="E27" s="1256">
        <f>IF(SUM(E19:E26)='数据-基础表'!BA5,SUM(E19:E26),IF(F27="地上面积有误","面积有误","地下面积有误"))</f>
        <v>10083.39</v>
      </c>
      <c r="F27" s="1255">
        <f>IF(SUM(F19:F26)=E8,SUM(F19:F26),"地上面积有误")</f>
        <v>10083.39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30128</v>
      </c>
      <c r="S27" s="1138">
        <f>IF(SUM(S19:S26)=$E$3,SUM(S19:S26),SUM(S19:S26)&amp;"误差"&amp;ROUND(SUM(S19:S26)-E3,2))</f>
        <v>10083.39</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30128</v>
      </c>
      <c r="E31" s="685">
        <f>E27+E30</f>
        <v>10083.39</v>
      </c>
      <c r="F31" s="686">
        <f>F27+F30</f>
        <v>10083.39</v>
      </c>
      <c r="G31" s="687">
        <f>G27+G30</f>
        <v>0</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Z18" sqref="Z18:AA1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44697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56399</v>
      </c>
      <c r="F6" s="68">
        <f>SUMIF(项目基本情况!D$12:I$12,C6,项目基本情况!D$15:I$15)</f>
        <v>32.06</v>
      </c>
      <c r="G6" s="69">
        <f>IF(ISERROR(ROUND(POWER(1+H6,D6-F6)*(POWER(1+H6,F6)-1)/(POWER(1+H6,D6)-1),3)),0,ROUND(POWER(1+H6,D6-F6)*(POWER(1+H6,F6)-1)/(POWER(1+H6,D6)-1),3))</f>
        <v>0.85</v>
      </c>
      <c r="H6" s="741">
        <v>4.4999999999999998E-2</v>
      </c>
      <c r="I6" s="741">
        <v>0.05</v>
      </c>
      <c r="J6" s="70">
        <v>7.4999999999999997E-2</v>
      </c>
      <c r="K6" s="1142">
        <f>SUMIF('数据-汇总表'!C$19:C$33,A6,'数据-汇总表'!E$19:E$33)</f>
        <v>10083.39</v>
      </c>
      <c r="L6" s="3237">
        <v>2500</v>
      </c>
      <c r="M6" s="71">
        <f t="shared" ref="M6:M14" si="0">ROUND(K6*L6/10000,0)</f>
        <v>2521</v>
      </c>
      <c r="N6" s="740">
        <f>ROUND(1-(2022-2006)/60,2)</f>
        <v>0.73</v>
      </c>
      <c r="O6" s="71" t="str">
        <f>IF($N$5="成新度","——",ROUND(M6*N6,0))</f>
        <v>——</v>
      </c>
      <c r="P6" s="72" t="str">
        <f>IF($N$5="成新度","——",M6-O6)</f>
        <v>——</v>
      </c>
      <c r="Q6" s="743">
        <v>0.1</v>
      </c>
      <c r="R6" s="73">
        <f ca="1">SUMIF('数据-汇总表'!C$19:C$33,A6,'数据-汇总表'!R$19:R$27)</f>
        <v>30128</v>
      </c>
      <c r="S6" s="54">
        <f>IF('数据-汇总表'!$I$17="按面积比例",SUMIF('数据-汇总表'!C$19:C$33,A6,'数据-汇总表'!K$19:K$33),SUMIF('数据-汇总表'!C$19:C$33,A6,'数据-汇总表'!N$19:N$33))</f>
        <v>0</v>
      </c>
      <c r="T6" s="1287">
        <f>ROUND($L$14*S6/10000,0)</f>
        <v>0</v>
      </c>
      <c r="U6" s="74">
        <v>2.5</v>
      </c>
      <c r="V6" s="75">
        <v>2.5000000000000001E-2</v>
      </c>
      <c r="W6" s="75">
        <v>0.1</v>
      </c>
      <c r="X6" s="1152"/>
      <c r="Y6" s="76">
        <f>N6</f>
        <v>0.73</v>
      </c>
      <c r="Z6" s="77"/>
      <c r="AA6" s="70"/>
      <c r="AB6" s="70"/>
      <c r="AC6" s="1152"/>
      <c r="AD6" s="78"/>
      <c r="AE6" s="1153">
        <f ca="1">IF(AN6="",0,SUMIF(INDIRECT("'"&amp;AN6&amp;"'"&amp;"!E:E"),$AE$5,INDIRECT("'"&amp;AN6&amp;"'"&amp;"!F:F")))</f>
        <v>32.06</v>
      </c>
      <c r="AF6" s="1483"/>
      <c r="AG6" s="143">
        <f>IF(AF6="",0,AE6-AF6)</f>
        <v>0</v>
      </c>
      <c r="AH6" s="79"/>
      <c r="AI6" s="81">
        <v>365</v>
      </c>
      <c r="AJ6" s="82"/>
      <c r="AK6" s="83">
        <v>1.4999999999999999E-2</v>
      </c>
      <c r="AL6" s="84">
        <v>1.5E-3</v>
      </c>
      <c r="AM6" s="85">
        <v>0.01</v>
      </c>
      <c r="AN6" s="1852" t="s">
        <v>3192</v>
      </c>
      <c r="AO6" s="55">
        <f ca="1">SUMIF(INDIRECT("'"&amp;AN6&amp;"'"&amp;"!A:A"),"总价",INDIRECT("'"&amp;AN6&amp;"'"&amp;"!B:B"))</f>
        <v>13368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0.85</v>
      </c>
      <c r="H16" s="95">
        <f>ROUND(SUMPRODUCT(H6:H13,K6:K13)/SUMPRODUCT((H6:H13&gt;0)*(K6:K13)),3)</f>
        <v>4.4999999999999998E-2</v>
      </c>
      <c r="I16" s="96"/>
      <c r="J16" s="96"/>
      <c r="K16" s="97">
        <f>SUM(K6:K15)</f>
        <v>10083.39</v>
      </c>
      <c r="L16" s="98">
        <f>ROUND(M16*10000/SUM(K6:K14),0)</f>
        <v>2500</v>
      </c>
      <c r="M16" s="98">
        <f>SUM(M6:M14)</f>
        <v>2521</v>
      </c>
      <c r="N16" s="99">
        <f>ROUND(SUMPRODUCT(M6:M14,N6:N14)/M16,3)</f>
        <v>0.73</v>
      </c>
      <c r="O16" s="98">
        <f>SUM(O6:O14)</f>
        <v>0</v>
      </c>
      <c r="P16" s="98">
        <f>SUM(P6:P14)</f>
        <v>0</v>
      </c>
      <c r="Q16" s="100">
        <f>ROUND(SUMPRODUCT(Q6:Q13,K6:K13)/SUMPRODUCT((Q6:Q13&gt;0)*(K6:K13)),2)</f>
        <v>0.1</v>
      </c>
      <c r="R16" s="1146">
        <f ca="1">SUM(R6:R13)</f>
        <v>30128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c r="C19" s="2979" t="s">
        <v>2805</v>
      </c>
      <c r="D19" s="2854"/>
      <c r="E19" s="2851"/>
      <c r="F19" s="2851"/>
      <c r="G19" s="2851"/>
      <c r="H19" s="2851"/>
      <c r="I19" s="2851"/>
      <c r="J19" s="3236"/>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2803</v>
      </c>
      <c r="D20" s="2854"/>
      <c r="E20" s="2851"/>
      <c r="F20" s="2851"/>
      <c r="G20" s="2851"/>
      <c r="H20" s="2851"/>
      <c r="I20" s="2851"/>
      <c r="J20" s="2851"/>
      <c r="K20" s="2850"/>
      <c r="L20" s="2850"/>
      <c r="M20" s="2849"/>
      <c r="N20" s="3235"/>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202</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0.01</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0.01</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3193</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56</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29" t="s">
        <v>2786</v>
      </c>
      <c r="B1" s="3330"/>
      <c r="C1" s="3330"/>
      <c r="D1" s="3330"/>
      <c r="E1" s="3330"/>
      <c r="F1" s="3330"/>
      <c r="G1" s="333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8"/>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8" sqref="G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10083.39</v>
      </c>
      <c r="C1" s="2864"/>
      <c r="D1" s="2864"/>
      <c r="E1" s="2864"/>
      <c r="F1" s="2864"/>
      <c r="G1" s="2865"/>
      <c r="H1" s="2866"/>
      <c r="I1" s="2866"/>
      <c r="J1" s="2866"/>
      <c r="K1" s="2866"/>
    </row>
    <row r="2" spans="1:11" ht="16.5">
      <c r="A2" s="2687" t="s">
        <v>1078</v>
      </c>
      <c r="B2" s="2687">
        <f>SUM(C14:C23)</f>
        <v>30128</v>
      </c>
      <c r="C2" s="2864"/>
      <c r="D2" s="2864"/>
      <c r="E2" s="2864"/>
      <c r="F2" s="2864"/>
      <c r="G2" s="2865"/>
      <c r="H2" s="2866"/>
      <c r="I2" s="2866"/>
      <c r="J2" s="2866"/>
      <c r="K2" s="2866"/>
    </row>
    <row r="3" spans="1:11" ht="16.5">
      <c r="A3" s="2687" t="s">
        <v>1087</v>
      </c>
      <c r="B3" s="2689">
        <f>项目基本情况!D3</f>
        <v>44697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11736</v>
      </c>
      <c r="C5" s="2687">
        <f ca="1">ROUND(B5*10000/$B$1,0)</f>
        <v>11639</v>
      </c>
      <c r="D5" s="2687">
        <f ca="1">ROUND(B5*10000/$B$2,0)</f>
        <v>3895</v>
      </c>
      <c r="E5" s="2864"/>
      <c r="F5" s="2865"/>
      <c r="G5" s="2865"/>
      <c r="H5" s="2866"/>
      <c r="I5" s="2866"/>
      <c r="J5" s="2866"/>
      <c r="K5" s="2866"/>
    </row>
    <row r="6" spans="1:11" ht="16.5">
      <c r="A6" s="2687" t="s">
        <v>1081</v>
      </c>
      <c r="B6" s="2687">
        <f ca="1">SUM(G14:G23)</f>
        <v>11736</v>
      </c>
      <c r="C6" s="2687">
        <f ca="1">ROUND(B6*10000/$B$1,0)</f>
        <v>11639</v>
      </c>
      <c r="D6" s="2687">
        <f ca="1">ROUND(B6*10000/$B$2,0)</f>
        <v>3895</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10083.39</v>
      </c>
      <c r="C14" s="2693">
        <f>结果表!C118</f>
        <v>30128</v>
      </c>
      <c r="D14" s="2693">
        <f ca="1">结果表!H118</f>
        <v>11736</v>
      </c>
      <c r="E14" s="2693">
        <f ca="1">ROUND(D14*10000/B14,0)</f>
        <v>11639</v>
      </c>
      <c r="F14" s="2693">
        <f ca="1">ROUND(D14*10000/C14,0)</f>
        <v>3895</v>
      </c>
      <c r="G14" s="2693">
        <f ca="1">结果表!D122</f>
        <v>11736</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F28" sqref="F2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北京市房地产</v>
      </c>
      <c r="B2" s="3366"/>
      <c r="C2" s="3366"/>
      <c r="D2" s="3366"/>
      <c r="E2" s="3366"/>
      <c r="F2" s="3366"/>
      <c r="G2" s="3366"/>
      <c r="H2" s="3366"/>
      <c r="I2" s="3367"/>
    </row>
    <row r="3" spans="1:12" ht="12.75">
      <c r="A3" s="3369" t="s">
        <v>1709</v>
      </c>
      <c r="B3" s="3370"/>
      <c r="C3" s="3370"/>
      <c r="D3" s="3370"/>
      <c r="E3" s="3370"/>
      <c r="F3" s="3370"/>
      <c r="G3" s="3370"/>
      <c r="H3" s="3370"/>
      <c r="I3" s="3370"/>
    </row>
    <row r="4" spans="1:12" ht="14.25">
      <c r="A4" s="1891" t="s">
        <v>1710</v>
      </c>
      <c r="B4" s="1892" t="s">
        <v>1711</v>
      </c>
      <c r="C4" s="1893" t="s">
        <v>3205</v>
      </c>
      <c r="D4" s="1893" t="s">
        <v>3192</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332">
        <v>25</v>
      </c>
      <c r="C5" s="3348"/>
      <c r="D5" s="3368"/>
      <c r="E5" s="136" t="s">
        <v>1714</v>
      </c>
      <c r="F5" s="1894"/>
      <c r="G5" s="1894"/>
      <c r="H5" s="1894"/>
      <c r="I5" s="1508"/>
    </row>
    <row r="6" spans="1:12" ht="12.75">
      <c r="A6" s="3345"/>
      <c r="B6" s="3332"/>
      <c r="C6" s="3349"/>
      <c r="D6" s="3368"/>
      <c r="E6" s="136" t="s">
        <v>1715</v>
      </c>
      <c r="F6" s="1894"/>
      <c r="G6" s="1894"/>
      <c r="H6" s="1894"/>
      <c r="I6" s="1508"/>
    </row>
    <row r="7" spans="1:12" ht="12.75">
      <c r="A7" s="3345"/>
      <c r="B7" s="3332"/>
      <c r="C7" s="3350"/>
      <c r="D7" s="3368"/>
      <c r="E7" s="136" t="s">
        <v>1716</v>
      </c>
      <c r="F7" s="1894"/>
      <c r="G7" s="1894"/>
      <c r="H7" s="1894"/>
      <c r="I7" s="1508"/>
    </row>
    <row r="8" spans="1:12" ht="12.75">
      <c r="A8" s="3345" t="s">
        <v>1717</v>
      </c>
      <c r="B8" s="3332">
        <v>15</v>
      </c>
      <c r="C8" s="3348"/>
      <c r="D8" s="3368"/>
      <c r="E8" s="136" t="s">
        <v>1718</v>
      </c>
      <c r="F8" s="1894"/>
      <c r="G8" s="1894"/>
      <c r="H8" s="1894"/>
      <c r="I8" s="1508"/>
    </row>
    <row r="9" spans="1:12" ht="12.75">
      <c r="A9" s="3345"/>
      <c r="B9" s="3332"/>
      <c r="C9" s="3350"/>
      <c r="D9" s="3368"/>
      <c r="E9" s="136" t="s">
        <v>1719</v>
      </c>
      <c r="F9" s="1894"/>
      <c r="G9" s="1894"/>
      <c r="H9" s="1894"/>
      <c r="I9" s="1508"/>
    </row>
    <row r="10" spans="1:12" ht="12.75">
      <c r="A10" s="3345" t="s">
        <v>1720</v>
      </c>
      <c r="B10" s="3332">
        <v>15</v>
      </c>
      <c r="C10" s="3348"/>
      <c r="D10" s="3368"/>
      <c r="E10" s="136" t="s">
        <v>1721</v>
      </c>
      <c r="F10" s="1894"/>
      <c r="G10" s="1894"/>
      <c r="H10" s="1894"/>
      <c r="I10" s="1508"/>
    </row>
    <row r="11" spans="1:12" ht="12.75">
      <c r="A11" s="3345"/>
      <c r="B11" s="3332"/>
      <c r="C11" s="3350"/>
      <c r="D11" s="3368"/>
      <c r="E11" s="136" t="s">
        <v>1722</v>
      </c>
      <c r="F11" s="1894"/>
      <c r="G11" s="1894"/>
      <c r="H11" s="1894"/>
      <c r="I11" s="1508"/>
    </row>
    <row r="12" spans="1:12" ht="12.75">
      <c r="A12" s="3345" t="s">
        <v>1723</v>
      </c>
      <c r="B12" s="3332">
        <v>15</v>
      </c>
      <c r="C12" s="3348"/>
      <c r="D12" s="3368"/>
      <c r="E12" s="136" t="s">
        <v>1724</v>
      </c>
      <c r="F12" s="1894"/>
      <c r="G12" s="1894"/>
      <c r="H12" s="1894"/>
      <c r="I12" s="1508"/>
    </row>
    <row r="13" spans="1:12" ht="12.75">
      <c r="A13" s="3345"/>
      <c r="B13" s="3332"/>
      <c r="C13" s="3350"/>
      <c r="D13" s="3368"/>
      <c r="E13" s="136" t="s">
        <v>1725</v>
      </c>
      <c r="F13" s="1894"/>
      <c r="G13" s="1894"/>
      <c r="H13" s="1894"/>
      <c r="I13" s="1508"/>
    </row>
    <row r="14" spans="1:12" ht="12.75">
      <c r="A14" s="3345" t="s">
        <v>1726</v>
      </c>
      <c r="B14" s="3332">
        <v>30</v>
      </c>
      <c r="C14" s="3348">
        <v>4</v>
      </c>
      <c r="D14" s="3368">
        <v>6</v>
      </c>
      <c r="E14" s="136" t="s">
        <v>1727</v>
      </c>
      <c r="F14" s="1894"/>
      <c r="G14" s="1894"/>
      <c r="H14" s="1894"/>
      <c r="I14" s="1508"/>
    </row>
    <row r="15" spans="1:12" ht="12.75">
      <c r="A15" s="3345"/>
      <c r="B15" s="3332"/>
      <c r="C15" s="3349"/>
      <c r="D15" s="3368"/>
      <c r="E15" s="136" t="s">
        <v>1728</v>
      </c>
      <c r="F15" s="1894"/>
      <c r="G15" s="1894"/>
      <c r="H15" s="1894"/>
      <c r="I15" s="1508"/>
    </row>
    <row r="16" spans="1:12" ht="12.75">
      <c r="A16" s="3345"/>
      <c r="B16" s="3332"/>
      <c r="C16" s="3350"/>
      <c r="D16" s="3368"/>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355" t="s">
        <v>2631</v>
      </c>
      <c r="F18" s="3356"/>
      <c r="G18" s="3356"/>
      <c r="H18" s="3356"/>
      <c r="I18" s="3356"/>
      <c r="K18" s="308" t="s">
        <v>1734</v>
      </c>
      <c r="L18" s="308">
        <f>IF(C1="",'数据-汇总表'!E3,SUMIF(项目类型,C1,'数据-汇总表'!E17:E26)+SUMIF(项目类型,C1,'数据-汇总表'!I17:I26))</f>
        <v>10083.39</v>
      </c>
      <c r="M18" s="308">
        <f>IF(C1="",'数据-汇总表'!E3,SUMIF(项目类型,C1,'数据-汇总表'!E17:E26))</f>
        <v>10083.39</v>
      </c>
    </row>
    <row r="19" spans="1:36" ht="15">
      <c r="A19" s="1898" t="s">
        <v>1735</v>
      </c>
      <c r="B19" s="1899" t="s">
        <v>1736</v>
      </c>
      <c r="C19" s="139">
        <f ca="1">SUMIF(INDIRECT("'"&amp;C4&amp;"'"&amp;"!A:A"),结果表!B19,INDIRECT("'"&amp;C4&amp;"'"&amp;"!B:B"))</f>
        <v>9289</v>
      </c>
      <c r="D19" s="140">
        <f ca="1">SUMIF(INDIRECT("'"&amp;D4&amp;"'"&amp;"!A:A"),结果表!B19,INDIRECT("'"&amp;D4&amp;"'"&amp;"!B:B"))</f>
        <v>13368</v>
      </c>
      <c r="E19" s="1898" t="s">
        <v>1737</v>
      </c>
      <c r="F19" s="1899" t="s">
        <v>1736</v>
      </c>
      <c r="G19" s="141">
        <f ca="1">ROUND(C19*$C$18+D19*$D$18,0)</f>
        <v>11736</v>
      </c>
      <c r="H19" s="1900" t="s">
        <v>1738</v>
      </c>
      <c r="I19" s="134"/>
      <c r="K19" s="308" t="s">
        <v>1739</v>
      </c>
      <c r="L19" s="308">
        <f>IF(C1="",'数据-汇总表'!D3,SUMIF(项目类型,C1,'数据-汇总表'!D17:D26)+SUMIF(项目类型,C1,'数据-汇总表'!H17:H27))</f>
        <v>30128</v>
      </c>
      <c r="M19" s="308">
        <f>IF(C1="",'数据-汇总表'!D3,SUMIF(项目类型,C1,'数据-汇总表'!D17:D26))</f>
        <v>30128</v>
      </c>
    </row>
    <row r="20" spans="1:36" ht="15">
      <c r="A20" s="1901"/>
      <c r="B20" s="1138" t="s">
        <v>1740</v>
      </c>
      <c r="C20" s="142">
        <f ca="1">SUMIF(INDIRECT("'"&amp;C4&amp;"'"&amp;"!A:A"),结果表!B20,INDIRECT("'"&amp;C4&amp;"'"&amp;"!B:B"))</f>
        <v>9212</v>
      </c>
      <c r="D20" s="143">
        <f ca="1">SUMIF(INDIRECT("'"&amp;D4&amp;"'"&amp;"!A:A"),结果表!B20,INDIRECT("'"&amp;D4&amp;"'"&amp;"!B:B"))</f>
        <v>13257</v>
      </c>
      <c r="E20" s="1901"/>
      <c r="F20" s="1138" t="s">
        <v>1740</v>
      </c>
      <c r="G20" s="144">
        <f ca="1">ROUND(C20*$C$18+D20*$D$18,0)</f>
        <v>11639</v>
      </c>
      <c r="H20" s="898" t="s">
        <v>1741</v>
      </c>
      <c r="I20" s="134"/>
    </row>
    <row r="21" spans="1:36" ht="15" customHeight="1" thickBot="1">
      <c r="A21" s="918"/>
      <c r="B21" s="1902" t="s">
        <v>1742</v>
      </c>
      <c r="C21" s="728">
        <f ca="1">ROUND(C19*10000/L19,0)</f>
        <v>3083</v>
      </c>
      <c r="D21" s="729">
        <f ca="1">ROUND(D19*10000/L19,0)</f>
        <v>4437</v>
      </c>
      <c r="E21" s="918"/>
      <c r="F21" s="1902" t="s">
        <v>1742</v>
      </c>
      <c r="G21" s="145">
        <f ca="1">ROUND(G19*10000/L19,0)</f>
        <v>3895</v>
      </c>
      <c r="H21" s="1903" t="s">
        <v>1741</v>
      </c>
      <c r="I21" s="134"/>
    </row>
    <row r="22" spans="1:36" ht="15" thickBot="1">
      <c r="A22" s="1825" t="s">
        <v>1743</v>
      </c>
      <c r="B22" s="1904"/>
      <c r="C22" s="1905"/>
      <c r="D22" s="730">
        <f ca="1">IF(C19&lt;D19,D19/C19-1,C19/D19-1)</f>
        <v>0.43912154160835404</v>
      </c>
      <c r="E22" s="134"/>
      <c r="F22" s="134"/>
      <c r="G22" s="134"/>
      <c r="H22" s="134"/>
      <c r="I22" s="134"/>
    </row>
    <row r="23" spans="1:36" ht="13.5" thickBot="1">
      <c r="A23" s="1884"/>
      <c r="B23" s="1884"/>
      <c r="C23" s="1884"/>
      <c r="D23" s="1884"/>
      <c r="E23" s="134"/>
      <c r="F23" s="134"/>
      <c r="G23" s="134"/>
      <c r="H23" s="134"/>
      <c r="I23" s="134"/>
    </row>
    <row r="24" spans="1:36" ht="14.25">
      <c r="A24" s="3339" t="s">
        <v>1744</v>
      </c>
      <c r="B24" s="1899" t="s">
        <v>1736</v>
      </c>
      <c r="C24" s="141">
        <f>IF(B30=0,0,D30)</f>
        <v>0</v>
      </c>
      <c r="D24" s="1906"/>
      <c r="E24" s="134"/>
      <c r="F24" s="134"/>
      <c r="G24" s="134"/>
      <c r="H24" s="134"/>
      <c r="I24" s="134"/>
    </row>
    <row r="25" spans="1:36" ht="14.25">
      <c r="A25" s="3340"/>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11736</v>
      </c>
      <c r="D32" s="1912" t="s">
        <v>3208</v>
      </c>
      <c r="E32" s="134"/>
      <c r="F32" s="134"/>
      <c r="G32" s="134"/>
      <c r="H32" s="134"/>
      <c r="I32" s="134"/>
    </row>
    <row r="33" spans="1:15" ht="15">
      <c r="A33" s="875" t="s">
        <v>1751</v>
      </c>
      <c r="B33" s="1913"/>
      <c r="C33" s="1914" t="s">
        <v>3209</v>
      </c>
      <c r="D33" s="1915" t="s">
        <v>3205</v>
      </c>
      <c r="E33" s="1916" t="s">
        <v>1752</v>
      </c>
      <c r="F33" s="1917" t="str">
        <f>IF(D32="楼面单价","取值（单价）","取值（总价）")</f>
        <v>取值（总价）</v>
      </c>
      <c r="G33" s="134"/>
      <c r="H33" s="134"/>
      <c r="I33" s="134"/>
    </row>
    <row r="34" spans="1:15" ht="15">
      <c r="A34" s="1918"/>
      <c r="B34" s="1919" t="s">
        <v>1753</v>
      </c>
      <c r="C34" s="153">
        <f ca="1">IF(C33="自定义",F34,C32-C35)</f>
        <v>8509</v>
      </c>
      <c r="D34" s="951">
        <f ca="1">IF(C33="自定义",ROUND(C34/C32,3),IF(C33="收益比率",SUMIF(INDIRECT("'"&amp;D33&amp;"'"&amp;"!b:b"),"土地收益比率",INDIRECT("'"&amp;D33&amp;"'"&amp;"!c:c")),SUMIF(INDIRECT("'"&amp;D33&amp;"'"&amp;"!b:b"),"土地成本比率",INDIRECT("'"&amp;D33&amp;"'"&amp;"!c:c"))))</f>
        <v>0.72499999999999998</v>
      </c>
      <c r="E34" s="1920" t="s">
        <v>1754</v>
      </c>
      <c r="F34" s="1451"/>
      <c r="G34" s="134"/>
      <c r="H34" s="134"/>
      <c r="I34" s="134"/>
    </row>
    <row r="35" spans="1:15" ht="15.75" thickBot="1">
      <c r="A35" s="1921"/>
      <c r="B35" s="1922" t="s">
        <v>1755</v>
      </c>
      <c r="C35" s="1285">
        <f ca="1">IF(C33="自定义",F35,ROUND(C32*D35,0))</f>
        <v>3227</v>
      </c>
      <c r="D35" s="1286">
        <f ca="1">IF(C33="自定义",ROUND(C35/C32,3),IF(C33="收益比率",SUMIF(INDIRECT("'"&amp;D33&amp;"'"&amp;"!b:b"),"建筑物收益比率",INDIRECT("'"&amp;D33&amp;"'"&amp;"!c:c")),SUMIF(INDIRECT("'"&amp;D33&amp;"'"&amp;"!b:b"),"建筑物成本比率",INDIRECT("'"&amp;D33&amp;"'"&amp;"!c:c"))))</f>
        <v>0.27500000000000002</v>
      </c>
      <c r="E35" s="1923" t="s">
        <v>1756</v>
      </c>
      <c r="F35" s="159"/>
      <c r="G35" s="134"/>
      <c r="H35" s="134"/>
      <c r="I35" s="134"/>
    </row>
    <row r="36" spans="1:15" ht="15.75" thickBot="1">
      <c r="A36" s="3359" t="s">
        <v>1757</v>
      </c>
      <c r="B36" s="1924" t="s">
        <v>1758</v>
      </c>
      <c r="C36" s="150"/>
      <c r="D36" s="1925"/>
      <c r="E36" s="1926"/>
      <c r="F36" s="1927"/>
      <c r="G36" s="134"/>
      <c r="H36" s="134"/>
      <c r="I36" s="134"/>
    </row>
    <row r="37" spans="1:15" ht="15.75" thickBot="1">
      <c r="A37" s="3360"/>
      <c r="B37" s="1811" t="s">
        <v>1759</v>
      </c>
      <c r="C37" s="152"/>
      <c r="D37" s="1254"/>
      <c r="E37" s="1254"/>
      <c r="F37" s="1927"/>
      <c r="G37" s="134"/>
      <c r="H37" s="134"/>
      <c r="I37" s="134"/>
    </row>
    <row r="38" spans="1:15" ht="15.75" thickBot="1">
      <c r="A38" s="336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11736</v>
      </c>
      <c r="E45" s="161" t="s">
        <v>1772</v>
      </c>
      <c r="F45" s="162">
        <v>1</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8">
        <v>1</v>
      </c>
      <c r="K46" s="3398" t="s">
        <v>1776</v>
      </c>
      <c r="L46" s="3398"/>
      <c r="M46" s="3418"/>
      <c r="N46" s="3418"/>
      <c r="O46" s="3418"/>
    </row>
    <row r="47" spans="1:15" ht="12" customHeight="1">
      <c r="A47" s="165" t="s">
        <v>1777</v>
      </c>
      <c r="B47" s="166"/>
      <c r="C47" s="167"/>
      <c r="D47" s="1200" t="s">
        <v>1778</v>
      </c>
      <c r="E47" s="308" t="s">
        <v>1779</v>
      </c>
      <c r="F47" s="168" t="s">
        <v>1780</v>
      </c>
      <c r="G47" s="2721" t="s">
        <v>1781</v>
      </c>
      <c r="H47" s="2722"/>
      <c r="I47" s="164"/>
      <c r="J47" s="2698">
        <v>2</v>
      </c>
      <c r="K47" s="3398" t="s">
        <v>1782</v>
      </c>
      <c r="L47" s="3398"/>
      <c r="M47" s="3419">
        <f>'数据-取费表'!B2</f>
        <v>44697</v>
      </c>
      <c r="N47" s="3419"/>
      <c r="O47" s="3419"/>
    </row>
    <row r="48" spans="1:15" ht="25.5">
      <c r="A48" s="3364" t="s">
        <v>1783</v>
      </c>
      <c r="B48" s="3347"/>
      <c r="C48" s="3347"/>
      <c r="D48" s="2498">
        <f ca="1">IF(H48="情况1",0,IF(H48="情况2",D52,IF(H48="情况3",D53,IF(H48="情况4",D54))))</f>
        <v>615</v>
      </c>
      <c r="E48" s="2508" t="str">
        <f>IF(H48="情况4","(销售额-原购置价)×税（费）率","销售额×税（费）率")</f>
        <v>销售额×税（费）率</v>
      </c>
      <c r="F48" s="2723">
        <f>IF(H48="情况1","免征",'数据-取费表'!B41)</f>
        <v>5.5000000000000007E-2</v>
      </c>
      <c r="G48" s="2724" t="s">
        <v>1784</v>
      </c>
      <c r="H48" s="2725" t="s">
        <v>3210</v>
      </c>
      <c r="I48" s="1943"/>
      <c r="J48" s="2698">
        <v>3</v>
      </c>
      <c r="K48" s="3398" t="s">
        <v>1785</v>
      </c>
      <c r="L48" s="3398"/>
      <c r="M48" s="3420">
        <f ca="1">H101</f>
        <v>11736</v>
      </c>
      <c r="N48" s="3420"/>
      <c r="O48" s="3420"/>
    </row>
    <row r="49" spans="1:35" ht="25.5" customHeight="1">
      <c r="A49" s="2507" t="s">
        <v>1786</v>
      </c>
      <c r="B49" s="3331" t="s">
        <v>1787</v>
      </c>
      <c r="C49" s="3331"/>
      <c r="D49" s="1726">
        <v>0</v>
      </c>
      <c r="E49" s="330" t="s">
        <v>1788</v>
      </c>
      <c r="F49" s="2599" t="s">
        <v>34</v>
      </c>
      <c r="G49" s="3404"/>
      <c r="H49" s="2479" t="s">
        <v>2634</v>
      </c>
      <c r="I49" s="2480"/>
      <c r="J49" s="2698">
        <v>4</v>
      </c>
      <c r="K49" s="3398" t="str">
        <f>IF(项目基本情况!E8="房地产抵押价值","房地产抵押价值","抵押担保权已注销时的房地产抵押价值")</f>
        <v>抵押担保权已注销时的房地产抵押价值</v>
      </c>
      <c r="L49" s="3398"/>
      <c r="M49" s="3420" t="str">
        <f>IF(项目基本情况!E8="房地产抵押价值",H107,H109)</f>
        <v>——</v>
      </c>
      <c r="N49" s="3420"/>
      <c r="O49" s="3420"/>
    </row>
    <row r="50" spans="1:35" ht="25.5" customHeight="1">
      <c r="A50" s="2726"/>
      <c r="B50" s="3331" t="s">
        <v>1789</v>
      </c>
      <c r="C50" s="3331"/>
      <c r="D50" s="2727"/>
      <c r="E50" s="338"/>
      <c r="F50" s="2599"/>
      <c r="G50" s="3405"/>
      <c r="H50" s="2481" t="s">
        <v>2635</v>
      </c>
      <c r="I50" s="2480"/>
      <c r="J50" s="3417" t="s">
        <v>1790</v>
      </c>
      <c r="K50" s="3417"/>
      <c r="L50" s="3417"/>
      <c r="M50" s="3417"/>
      <c r="N50" s="3417"/>
      <c r="O50" s="3417"/>
    </row>
    <row r="51" spans="1:35" ht="20.45" customHeight="1">
      <c r="A51" s="2728"/>
      <c r="B51" s="3331" t="s">
        <v>1791</v>
      </c>
      <c r="C51" s="3331"/>
      <c r="D51" s="1200"/>
      <c r="E51" s="333"/>
      <c r="F51" s="2599"/>
      <c r="G51" s="3406"/>
      <c r="H51" s="2481" t="s">
        <v>2636</v>
      </c>
      <c r="I51" s="2480"/>
      <c r="J51" s="2699" t="s">
        <v>1792</v>
      </c>
      <c r="K51" s="3398" t="s">
        <v>1793</v>
      </c>
      <c r="L51" s="3398"/>
      <c r="M51" s="2699" t="s">
        <v>1794</v>
      </c>
      <c r="N51" s="2699" t="s">
        <v>1795</v>
      </c>
      <c r="O51" s="2699" t="s">
        <v>1796</v>
      </c>
    </row>
    <row r="52" spans="1:35" ht="24" customHeight="1">
      <c r="A52" s="2509" t="s">
        <v>1797</v>
      </c>
      <c r="B52" s="3331" t="s">
        <v>1798</v>
      </c>
      <c r="C52" s="3331"/>
      <c r="D52" s="1200">
        <f ca="1">ROUND(D45*'数据-取费表'!B41/(1+'数据-取费表'!C42),0)</f>
        <v>615</v>
      </c>
      <c r="E52" s="2508" t="s">
        <v>1799</v>
      </c>
      <c r="F52" s="2729">
        <f>'数据-取费表'!B41</f>
        <v>5.5000000000000007E-2</v>
      </c>
      <c r="G52" s="2730"/>
      <c r="H52" s="2719"/>
      <c r="I52" s="1944"/>
      <c r="J52" s="2698">
        <v>1</v>
      </c>
      <c r="K52" s="3399" t="s">
        <v>1800</v>
      </c>
      <c r="L52" s="3399"/>
      <c r="M52" s="2700">
        <f ca="1">D48</f>
        <v>615</v>
      </c>
      <c r="N52" s="2698" t="str">
        <f>E48</f>
        <v>销售额×税（费）率</v>
      </c>
      <c r="O52" s="2701">
        <f>F48</f>
        <v>5.5000000000000007E-2</v>
      </c>
    </row>
    <row r="53" spans="1:35" ht="12" customHeight="1">
      <c r="A53" s="2509" t="s">
        <v>1801</v>
      </c>
      <c r="B53" s="3357" t="s">
        <v>2791</v>
      </c>
      <c r="C53" s="3358"/>
      <c r="D53" s="1200">
        <f ca="1">ROUND(D45*'数据-取费表'!B41/(1+'数据-取费表'!C42),0)</f>
        <v>615</v>
      </c>
      <c r="E53" s="2508" t="s">
        <v>1799</v>
      </c>
      <c r="F53" s="2729">
        <f>'数据-取费表'!B41</f>
        <v>5.5000000000000007E-2</v>
      </c>
      <c r="G53" s="2730"/>
      <c r="H53" s="2719"/>
      <c r="I53" s="1944"/>
      <c r="J53" s="2698">
        <v>2</v>
      </c>
      <c r="K53" s="3399" t="s">
        <v>1802</v>
      </c>
      <c r="L53" s="3399"/>
      <c r="M53" s="2700">
        <f t="shared" ref="M53:O54" ca="1" si="0">D55</f>
        <v>6</v>
      </c>
      <c r="N53" s="2698" t="str">
        <f t="shared" si="0"/>
        <v>销售额×税（费）率</v>
      </c>
      <c r="O53" s="2701">
        <f t="shared" si="0"/>
        <v>5.0000000000000001E-4</v>
      </c>
    </row>
    <row r="54" spans="1:35" ht="12" customHeight="1">
      <c r="A54" s="2509" t="s">
        <v>1803</v>
      </c>
      <c r="B54" s="3357" t="s">
        <v>2792</v>
      </c>
      <c r="C54" s="3358"/>
      <c r="D54" s="1200">
        <f ca="1">C68</f>
        <v>615</v>
      </c>
      <c r="E54" s="333" t="s">
        <v>1804</v>
      </c>
      <c r="F54" s="2729">
        <f>'数据-取费表'!B41</f>
        <v>5.5000000000000007E-2</v>
      </c>
      <c r="G54" s="2730"/>
      <c r="H54" s="2731"/>
      <c r="I54" s="1944"/>
      <c r="J54" s="2698">
        <v>3</v>
      </c>
      <c r="K54" s="3399" t="s">
        <v>1805</v>
      </c>
      <c r="L54" s="3399"/>
      <c r="M54" s="2700">
        <f t="shared" ca="1" si="0"/>
        <v>6089</v>
      </c>
      <c r="N54" s="2698" t="str">
        <f t="shared" si="0"/>
        <v>增值额×税（费）率</v>
      </c>
      <c r="O54" s="2702" t="str">
        <f t="shared" si="0"/>
        <v>——</v>
      </c>
    </row>
    <row r="55" spans="1:35" ht="24" customHeight="1">
      <c r="A55" s="3346" t="s">
        <v>1806</v>
      </c>
      <c r="B55" s="3347"/>
      <c r="C55" s="3347"/>
      <c r="D55" s="2498">
        <f ca="1">IF(H55="个人住宅",0,ROUND(D45*I55,0))</f>
        <v>6</v>
      </c>
      <c r="E55" s="2508" t="s">
        <v>1807</v>
      </c>
      <c r="F55" s="2729">
        <f>IF(H55="正常",I55,"免征")</f>
        <v>5.0000000000000001E-4</v>
      </c>
      <c r="G55" s="2730"/>
      <c r="H55" s="2725" t="s">
        <v>3204</v>
      </c>
      <c r="I55" s="170">
        <f>'数据-取费表'!B49</f>
        <v>5.0000000000000001E-4</v>
      </c>
      <c r="J55" s="2698" t="str">
        <f>IF(H59="非个人房产","",4)</f>
        <v/>
      </c>
      <c r="K55" s="3399" t="str">
        <f>IF(H59="非个人房产","——","个人所得税")</f>
        <v>——</v>
      </c>
      <c r="L55" s="3399"/>
      <c r="M55" s="2703" t="str">
        <f>D59</f>
        <v>——</v>
      </c>
      <c r="N55" s="2179" t="str">
        <f>E59</f>
        <v>——</v>
      </c>
      <c r="O55" s="2704" t="str">
        <f>F59</f>
        <v>——</v>
      </c>
    </row>
    <row r="56" spans="1:35" ht="24.75">
      <c r="A56" s="3346" t="s">
        <v>1808</v>
      </c>
      <c r="B56" s="3347"/>
      <c r="C56" s="3347"/>
      <c r="D56" s="2498">
        <f ca="1">IF(H56="个人住宅",D57,D58)</f>
        <v>6089</v>
      </c>
      <c r="E56" s="2508" t="s">
        <v>1809</v>
      </c>
      <c r="F56" s="2729" t="str">
        <f>IF(H56="正常",F58,"免征")</f>
        <v>——</v>
      </c>
      <c r="G56" s="2732" t="s">
        <v>1810</v>
      </c>
      <c r="H56" s="2733" t="s">
        <v>3204</v>
      </c>
      <c r="I56" s="1945"/>
      <c r="J56" s="2698" t="str">
        <f>IF(项目基本情况!K6="上海银行",IF(J55="",4,J55+1),"")</f>
        <v/>
      </c>
      <c r="K56" s="3422" t="str">
        <f>IF(项目基本情况!K6="上海银行","其他处置费用","")</f>
        <v/>
      </c>
      <c r="L56" s="3423"/>
      <c r="M56" s="2700" t="str">
        <f>IF(项目基本情况!K6="上海银行",M69,"")</f>
        <v/>
      </c>
      <c r="N56" s="3422" t="str">
        <f>IF(项目基本情况!K6="上海银行","包含处置中涉及的律师、诉讼、拍卖、评估等费用","")</f>
        <v/>
      </c>
      <c r="O56" s="3425"/>
    </row>
    <row r="57" spans="1:35" ht="12.75">
      <c r="A57" s="2509" t="s">
        <v>1786</v>
      </c>
      <c r="B57" s="3357" t="s">
        <v>1811</v>
      </c>
      <c r="C57" s="3358"/>
      <c r="D57" s="1726">
        <v>0</v>
      </c>
      <c r="E57" s="330" t="s">
        <v>1788</v>
      </c>
      <c r="F57" s="308"/>
      <c r="G57" s="2730"/>
      <c r="H57" s="2734"/>
      <c r="I57" s="1945"/>
      <c r="J57" s="3399">
        <f>IF(AND(J55="",J56=""),4,IF(项目基本情况!K6="上海银行",结果表!J56+1,结果表!J55+1))</f>
        <v>4</v>
      </c>
      <c r="K57" s="3399" t="s">
        <v>1812</v>
      </c>
      <c r="L57" s="2705" t="s">
        <v>1813</v>
      </c>
      <c r="M57" s="2706"/>
      <c r="N57" s="2707">
        <f ca="1">SUMIF(M52:M56,"&lt;9e307")</f>
        <v>6710</v>
      </c>
      <c r="O57" s="2708"/>
      <c r="P57" s="2868" t="e">
        <f ca="1">N57/M49</f>
        <v>#VALUE!</v>
      </c>
    </row>
    <row r="58" spans="1:35" ht="24.75">
      <c r="A58" s="2509" t="s">
        <v>1797</v>
      </c>
      <c r="B58" s="3357" t="s">
        <v>1814</v>
      </c>
      <c r="C58" s="3331"/>
      <c r="D58" s="2498">
        <f ca="1">IF(H58="转让取得",C81,C97)</f>
        <v>6089</v>
      </c>
      <c r="E58" s="2508" t="s">
        <v>1809</v>
      </c>
      <c r="F58" s="308" t="s">
        <v>34</v>
      </c>
      <c r="G58" s="2730"/>
      <c r="H58" s="2733" t="s">
        <v>3211</v>
      </c>
      <c r="I58" s="1945"/>
      <c r="J58" s="3399"/>
      <c r="K58" s="3399"/>
      <c r="L58" s="2705" t="s">
        <v>1815</v>
      </c>
      <c r="M58" s="2709"/>
      <c r="N58" s="2710" t="str">
        <f ca="1">NUMBERSTRING(INT(N57*10000),2)&amp;"元整"</f>
        <v>陆仟柒佰壹拾万元整</v>
      </c>
      <c r="O58" s="2711"/>
    </row>
    <row r="59" spans="1:35" ht="24.75" thickBot="1">
      <c r="A59" s="3402" t="s">
        <v>1816</v>
      </c>
      <c r="B59" s="3403"/>
      <c r="C59" s="3403"/>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3" t="s">
        <v>3214</v>
      </c>
      <c r="I59" s="2482" t="s">
        <v>2637</v>
      </c>
      <c r="J59" s="3400">
        <f>J57+1</f>
        <v>5</v>
      </c>
      <c r="K59" s="3399" t="s">
        <v>1817</v>
      </c>
      <c r="L59" s="2698" t="s">
        <v>1813</v>
      </c>
      <c r="M59" s="2712"/>
      <c r="N59" s="2713" t="e">
        <f ca="1">M49-N57</f>
        <v>#VALUE!</v>
      </c>
      <c r="O59" s="2714"/>
    </row>
    <row r="60" spans="1:35" ht="12" customHeight="1">
      <c r="A60" s="1946"/>
      <c r="B60" s="1884"/>
      <c r="C60" s="1884"/>
      <c r="D60" s="1884"/>
      <c r="E60" s="1714"/>
      <c r="F60" s="1945"/>
      <c r="G60" s="1945"/>
      <c r="H60" s="1947"/>
      <c r="I60" s="134"/>
      <c r="J60" s="3401"/>
      <c r="K60" s="3399"/>
      <c r="L60" s="2705" t="s">
        <v>1815</v>
      </c>
      <c r="M60" s="2709"/>
      <c r="N60" s="2710" t="e">
        <f ca="1">NUMBERSTRING(INT(N59*10000),2)&amp;"元整"</f>
        <v>#VALUE!</v>
      </c>
      <c r="O60" s="2711"/>
    </row>
    <row r="61" spans="1:35" ht="13.5" thickBot="1">
      <c r="A61" s="3344" t="s">
        <v>1818</v>
      </c>
      <c r="B61" s="3344"/>
      <c r="C61" s="3344"/>
      <c r="D61" s="3344"/>
      <c r="E61" s="3344"/>
      <c r="F61" s="1945"/>
      <c r="G61" s="1945"/>
      <c r="H61" s="1947"/>
      <c r="I61" s="134"/>
      <c r="J61" s="2698">
        <f>J59+1</f>
        <v>6</v>
      </c>
      <c r="K61" s="3399" t="s">
        <v>1819</v>
      </c>
      <c r="L61" s="3399"/>
      <c r="M61" s="2715"/>
      <c r="N61" s="2716" t="e">
        <f ca="1">ROUND(N59*10000/'数据-汇总表'!E3,0)</f>
        <v>#VALUE!</v>
      </c>
      <c r="O61" s="2717"/>
    </row>
    <row r="62" spans="1:35" ht="12.75">
      <c r="A62" s="3362" t="s">
        <v>1820</v>
      </c>
      <c r="B62" s="3363"/>
      <c r="C62" s="2160"/>
      <c r="D62" s="2160" t="s">
        <v>1821</v>
      </c>
      <c r="E62" s="171" t="s">
        <v>1822</v>
      </c>
      <c r="F62" s="1945"/>
      <c r="G62" s="1945"/>
      <c r="H62" s="1947"/>
      <c r="I62" s="134"/>
    </row>
    <row r="63" spans="1:35" ht="12.75">
      <c r="A63" s="178" t="s">
        <v>594</v>
      </c>
      <c r="B63" s="172" t="s">
        <v>1823</v>
      </c>
      <c r="C63" s="2739">
        <f ca="1">ROUND((C64+C65)/(1+'数据-取费表'!C42),0)</f>
        <v>11177</v>
      </c>
      <c r="D63" s="172"/>
      <c r="E63" s="173"/>
      <c r="F63" s="1945"/>
      <c r="G63" s="1945"/>
      <c r="H63" s="1947"/>
      <c r="I63" s="134"/>
      <c r="J63" s="3424" t="s">
        <v>1824</v>
      </c>
      <c r="K63" s="1453" t="s">
        <v>1825</v>
      </c>
      <c r="L63" s="1453" t="e">
        <f>IF(M49&gt;10000,M49*0.5%,IF(AND(M49&gt;1000,M49&lt;=10000),M49*1%,IF(AND(M49&gt;100,M49&lt;=1000),M49*3%,IF(AND(M49&gt;10,M49&lt;=100),M49*5%,M49*8%))))</f>
        <v>#VALUE!</v>
      </c>
      <c r="M63" s="308" t="e">
        <f>ROUND(L63,1)</f>
        <v>#VALUE!</v>
      </c>
      <c r="N63" s="2718"/>
      <c r="Z63" s="1889"/>
      <c r="AI63" s="1890"/>
    </row>
    <row r="64" spans="1:35" ht="14.25" customHeight="1">
      <c r="A64" s="174" t="s">
        <v>589</v>
      </c>
      <c r="B64" s="175" t="s">
        <v>1826</v>
      </c>
      <c r="C64" s="2740">
        <f ca="1">D45</f>
        <v>11736</v>
      </c>
      <c r="D64" s="175" t="s">
        <v>32</v>
      </c>
      <c r="E64" s="177"/>
      <c r="F64" s="1945"/>
      <c r="G64" s="1945"/>
      <c r="H64" s="1947"/>
      <c r="I64" s="134"/>
      <c r="J64" s="3424"/>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9"/>
      <c r="AI64" s="1890"/>
    </row>
    <row r="65" spans="1:35" ht="14.25" customHeight="1">
      <c r="A65" s="174" t="s">
        <v>590</v>
      </c>
      <c r="B65" s="175" t="s">
        <v>1829</v>
      </c>
      <c r="C65" s="2741"/>
      <c r="D65" s="175"/>
      <c r="E65" s="177"/>
      <c r="F65" s="1945"/>
      <c r="G65" s="1945"/>
      <c r="H65" s="1947"/>
      <c r="I65" s="134"/>
      <c r="J65" s="3424"/>
      <c r="K65" s="1453" t="s">
        <v>1830</v>
      </c>
      <c r="L65" s="1453" t="e">
        <f>IF(M49&gt;1000,M49*0.1%,IF(AND(M49&gt;500,M49&lt;=1000),M49*0.5%,IF(AND(M49&gt;50,M49&lt;=500),M49*1%,IF(AND(M49&gt;1,M49&lt;=50),M49*1.5%))))</f>
        <v>#VALUE!</v>
      </c>
      <c r="M65" s="308" t="e">
        <f t="shared" si="1"/>
        <v>#VALUE!</v>
      </c>
      <c r="N65" s="2719" t="s">
        <v>1828</v>
      </c>
      <c r="Z65" s="1889"/>
      <c r="AI65" s="1890"/>
    </row>
    <row r="66" spans="1:35" ht="14.25" customHeight="1">
      <c r="A66" s="178" t="s">
        <v>591</v>
      </c>
      <c r="B66" s="179" t="s">
        <v>1831</v>
      </c>
      <c r="C66" s="2742"/>
      <c r="D66" s="179" t="s">
        <v>32</v>
      </c>
      <c r="E66" s="1460" t="s">
        <v>1096</v>
      </c>
      <c r="F66" s="1945"/>
      <c r="G66" s="1945"/>
      <c r="H66" s="1947"/>
      <c r="I66" s="134"/>
      <c r="J66" s="3424"/>
      <c r="K66" s="1453" t="s">
        <v>1832</v>
      </c>
      <c r="L66" s="1453" t="e">
        <f>M49*0.5%</f>
        <v>#VALUE!</v>
      </c>
      <c r="M66" s="308" t="e">
        <f>IF(L66&gt;0.5,0.5,ROUND(L66,0))</f>
        <v>#VALUE!</v>
      </c>
      <c r="N66" s="2719" t="s">
        <v>1833</v>
      </c>
      <c r="Z66" s="1889"/>
      <c r="AI66" s="1890"/>
    </row>
    <row r="67" spans="1:35" ht="14.25" customHeight="1">
      <c r="A67" s="178" t="s">
        <v>592</v>
      </c>
      <c r="B67" s="179" t="s">
        <v>1834</v>
      </c>
      <c r="C67" s="2743">
        <f ca="1">C63-C66</f>
        <v>11177</v>
      </c>
      <c r="D67" s="175" t="s">
        <v>32</v>
      </c>
      <c r="E67" s="177"/>
      <c r="F67" s="1945"/>
      <c r="G67" s="1945"/>
      <c r="H67" s="1947"/>
      <c r="I67" s="134"/>
      <c r="J67" s="3424"/>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9"/>
      <c r="AI67" s="1890"/>
    </row>
    <row r="68" spans="1:35" ht="14.25" customHeight="1" thickBot="1">
      <c r="A68" s="181" t="s">
        <v>593</v>
      </c>
      <c r="B68" s="182" t="s">
        <v>1836</v>
      </c>
      <c r="C68" s="2744">
        <f ca="1">IF(C67&lt;=0,0,ROUND(C67*D68,0))</f>
        <v>615</v>
      </c>
      <c r="D68" s="2745">
        <f>'数据-取费表'!B41</f>
        <v>5.5000000000000007E-2</v>
      </c>
      <c r="E68" s="184"/>
      <c r="F68" s="1945"/>
      <c r="G68" s="1945"/>
      <c r="H68" s="1947"/>
      <c r="I68" s="134"/>
      <c r="J68" s="3424"/>
      <c r="K68" s="1453" t="s">
        <v>1837</v>
      </c>
      <c r="L68" s="1453" t="e">
        <f>IF(M49&gt;10000,M49*0.5%,IF(AND(M49&gt;5000,M49&lt;=10000),M49*1%,IF(AND(M49&gt;1000,M49&lt;=5000),M49*2%,IF(AND(M49&gt;200,M49&lt;=1000),M49*3%,M49*5%))))</f>
        <v>#VALUE!</v>
      </c>
      <c r="M68" s="308" t="e">
        <f>ROUND(L68,1)</f>
        <v>#VALUE!</v>
      </c>
      <c r="N68" s="2718"/>
      <c r="Z68" s="1889"/>
      <c r="AI68" s="1890"/>
    </row>
    <row r="69" spans="1:35" s="1909" customFormat="1" ht="16.5" customHeight="1">
      <c r="A69" s="1948"/>
      <c r="B69" s="1949"/>
      <c r="C69" s="1950"/>
      <c r="D69" s="1951"/>
      <c r="E69" s="1952"/>
      <c r="F69" s="1714"/>
      <c r="G69" s="1714"/>
      <c r="H69" s="1713"/>
      <c r="I69" s="1884"/>
      <c r="J69" s="3424"/>
      <c r="K69" s="1453" t="s">
        <v>1838</v>
      </c>
      <c r="L69" s="1453"/>
      <c r="M69" s="308" t="e">
        <f>ROUND(SUM(M63:M68),0)</f>
        <v>#VALUE!</v>
      </c>
      <c r="N69" s="2720"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3" t="s">
        <v>1839</v>
      </c>
      <c r="B70" s="3384"/>
      <c r="C70" s="3384"/>
      <c r="D70" s="3384"/>
      <c r="E70" s="3384"/>
      <c r="F70" s="3384"/>
      <c r="G70" s="3384"/>
      <c r="H70" s="3384"/>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2" t="s">
        <v>1820</v>
      </c>
      <c r="B71" s="3363"/>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11177</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56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56</v>
      </c>
      <c r="D78" s="2752">
        <f>'数据-取费表'!B43</f>
        <v>5.000000000000001E-3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11121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198.58928571428572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6653</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11177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650</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457</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f>ROUND(4433850/10000,0)</f>
        <v>443</v>
      </c>
      <c r="D88" s="2752"/>
      <c r="E88" s="199" t="s">
        <v>1858</v>
      </c>
      <c r="F88" s="2501"/>
      <c r="G88" s="200" t="s">
        <v>1859</v>
      </c>
      <c r="H88" s="1961" t="s">
        <v>3213</v>
      </c>
      <c r="I88" s="1958"/>
      <c r="J88" s="2696"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14</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26" t="s">
        <v>2629</v>
      </c>
      <c r="H90" s="3427"/>
      <c r="I90" s="1958"/>
      <c r="J90" s="2696"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41" t="s">
        <v>1864</v>
      </c>
      <c r="F91" s="3342"/>
      <c r="G91" s="3342"/>
      <c r="H91" s="1962" t="s">
        <v>3212</v>
      </c>
      <c r="I91" s="1963">
        <f>ROUND('数据-取费表'!K19/10000,0)</f>
        <v>0</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46</v>
      </c>
      <c r="D92" s="2758">
        <v>0.1</v>
      </c>
      <c r="E92" s="3341" t="s">
        <v>1867</v>
      </c>
      <c r="F92" s="3342"/>
      <c r="G92" s="3342"/>
      <c r="H92" s="3351"/>
      <c r="I92" s="1958"/>
      <c r="J92" s="2697"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56</v>
      </c>
      <c r="D93" s="2752">
        <f>'数据-取费表'!B43</f>
        <v>5.000000000000001E-3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91</v>
      </c>
      <c r="D94" s="2752">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10527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16.195384615384615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6089</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60" t="str">
        <f>C4</f>
        <v>成本法</v>
      </c>
      <c r="D101" s="2761" t="str">
        <f>D4</f>
        <v>收益法</v>
      </c>
      <c r="E101" s="3421" t="s">
        <v>1876</v>
      </c>
      <c r="F101" s="3375"/>
      <c r="G101" s="1964" t="s">
        <v>1877</v>
      </c>
      <c r="H101" s="2770">
        <f ca="1">H118</f>
        <v>11736</v>
      </c>
      <c r="I101" s="134"/>
    </row>
    <row r="102" spans="1:35" ht="18.75" customHeight="1">
      <c r="A102" s="3377" t="s">
        <v>1878</v>
      </c>
      <c r="B102" s="2759" t="s">
        <v>1877</v>
      </c>
      <c r="C102" s="2760">
        <f ca="1">C19</f>
        <v>9289</v>
      </c>
      <c r="D102" s="2761">
        <f ca="1">D19</f>
        <v>13368</v>
      </c>
      <c r="E102" s="3421"/>
      <c r="F102" s="3375"/>
      <c r="G102" s="1964" t="s">
        <v>1879</v>
      </c>
      <c r="H102" s="2730">
        <f ca="1">I118</f>
        <v>11639</v>
      </c>
      <c r="I102" s="134"/>
    </row>
    <row r="103" spans="1:35" ht="42.75" customHeight="1">
      <c r="A103" s="3377"/>
      <c r="B103" s="2759" t="s">
        <v>1879</v>
      </c>
      <c r="C103" s="2762">
        <f ca="1">C20</f>
        <v>9212</v>
      </c>
      <c r="D103" s="2763">
        <f ca="1">D20</f>
        <v>13257</v>
      </c>
      <c r="E103" s="3415" t="s">
        <v>1880</v>
      </c>
      <c r="F103" s="3416"/>
      <c r="G103" s="1965" t="s">
        <v>1881</v>
      </c>
      <c r="H103" s="2770">
        <f>IF(D36="正常操作",H104+H105+H106,H105+H106)</f>
        <v>0</v>
      </c>
      <c r="I103" s="134"/>
    </row>
    <row r="104" spans="1:35" ht="18.75" customHeight="1">
      <c r="A104" s="3377" t="s">
        <v>1882</v>
      </c>
      <c r="B104" s="2764" t="s">
        <v>1877</v>
      </c>
      <c r="C104" s="2765">
        <f ca="1">H118</f>
        <v>11736</v>
      </c>
      <c r="D104" s="2766"/>
      <c r="E104" s="1811" t="s">
        <v>1883</v>
      </c>
      <c r="F104" s="1802"/>
      <c r="G104" s="1965" t="s">
        <v>1881</v>
      </c>
      <c r="H104" s="2771">
        <f>IF(D36="同一抵押权人同一抵押物续贷",C36&amp;"（续贷，未扣减，详见特别提示）",C36)</f>
        <v>0</v>
      </c>
      <c r="I104" s="134"/>
    </row>
    <row r="105" spans="1:35" ht="18.75" customHeight="1" thickBot="1">
      <c r="A105" s="3378"/>
      <c r="B105" s="2767" t="s">
        <v>1879</v>
      </c>
      <c r="C105" s="2768">
        <f ca="1">I118</f>
        <v>11639</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4" t="str">
        <f>IF(项目基本情况!E8="已注销","——","3.房地产抵押价值")</f>
        <v>3.房地产抵押价值</v>
      </c>
      <c r="F107" s="3375"/>
      <c r="G107" s="1964" t="s">
        <v>1877</v>
      </c>
      <c r="H107" s="2770">
        <f ca="1">IF(E107="——","——",H101-H103)</f>
        <v>11736</v>
      </c>
      <c r="I107" s="134"/>
    </row>
    <row r="108" spans="1:35" ht="18.75" customHeight="1">
      <c r="A108" s="134"/>
      <c r="B108" s="134"/>
      <c r="C108" s="134"/>
      <c r="D108" s="134"/>
      <c r="E108" s="3374"/>
      <c r="F108" s="3375"/>
      <c r="G108" s="1964" t="s">
        <v>1879</v>
      </c>
      <c r="H108" s="2730">
        <f ca="1">ROUND(H107*10000/'数据-汇总表'!E3,0)</f>
        <v>11639</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64" t="s">
        <v>1877</v>
      </c>
      <c r="H109" s="2773" t="str">
        <f>IF(E109="——","——",H101-H105-H106)</f>
        <v>——</v>
      </c>
      <c r="I109" s="134"/>
    </row>
    <row r="110" spans="1:35" ht="18.75" customHeight="1">
      <c r="A110" s="134"/>
      <c r="B110" s="134"/>
      <c r="C110" s="134"/>
      <c r="D110" s="134"/>
      <c r="E110" s="3374"/>
      <c r="F110" s="3375"/>
      <c r="G110" s="1964" t="s">
        <v>1879</v>
      </c>
      <c r="H110" s="2730"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v>
      </c>
      <c r="F111" s="3376"/>
      <c r="G111" s="1964" t="s">
        <v>1877</v>
      </c>
      <c r="H111" s="2770" t="str">
        <f>IF(E111="——","——",N59)</f>
        <v>——</v>
      </c>
      <c r="I111" s="134"/>
    </row>
    <row r="112" spans="1:35" ht="18.75" customHeight="1" thickBot="1">
      <c r="A112" s="134"/>
      <c r="B112" s="134"/>
      <c r="C112" s="134"/>
      <c r="D112" s="134"/>
      <c r="E112" s="3410"/>
      <c r="F112" s="3411"/>
      <c r="G112" s="1967" t="s">
        <v>1879</v>
      </c>
      <c r="H112" s="2774"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5" t="str">
        <f>项目基本情况!S2</f>
        <v>北京市房地产</v>
      </c>
      <c r="B118" s="2503">
        <f>M18</f>
        <v>10083.39</v>
      </c>
      <c r="C118" s="2503">
        <f>M19</f>
        <v>30128</v>
      </c>
      <c r="D118" s="2503">
        <f ca="1">ROUND(IF(D32="总价",C34,E118*B118/10000),0)</f>
        <v>8509</v>
      </c>
      <c r="E118" s="2503">
        <f ca="1">ROUND(IF(C33="自定义",IF(D32="楼面单价",C34,D118*10000/B118),I118-G118),0)</f>
        <v>8439</v>
      </c>
      <c r="F118" s="2503">
        <f ca="1">ROUND(IF(D32="总价",C35,G118*B118/10000),0)</f>
        <v>3227</v>
      </c>
      <c r="G118" s="2503">
        <f ca="1">ROUND(IF(D32="楼面单价",C35,F118*10000/B118),0)</f>
        <v>3200</v>
      </c>
      <c r="H118" s="2503">
        <f ca="1">ROUND(IF(D32="总价",C32,I118*B118/10000),0)</f>
        <v>11736</v>
      </c>
      <c r="I118" s="2503">
        <f ca="1">ROUND(IF(D32="楼面单价",C32,H118*10000/B118),0)</f>
        <v>11639</v>
      </c>
      <c r="K118" s="734">
        <f ca="1">D118/(C118/666.67)</f>
        <v>188.28647869091873</v>
      </c>
    </row>
    <row r="119" spans="1:27" ht="18.75" customHeight="1">
      <c r="A119" s="3345" t="s">
        <v>1897</v>
      </c>
      <c r="B119" s="3345"/>
      <c r="C119" s="3345"/>
      <c r="D119" s="3385" t="str">
        <f ca="1">NUMBERSTRING(INT(D118*10000),2)&amp;"元整"</f>
        <v>捌仟伍佰零玖万元整</v>
      </c>
      <c r="E119" s="3387"/>
      <c r="F119" s="3385" t="str">
        <f ca="1">NUMBERSTRING(INT(F118*10000),2)&amp;"元整"</f>
        <v>叁仟贰佰贰拾柒万元整</v>
      </c>
      <c r="G119" s="3387"/>
      <c r="H119" s="3385" t="str">
        <f ca="1">NUMBERSTRING(INT(H118*10000),2)&amp;"元整"</f>
        <v>壹亿壹仟柒佰叁拾陆万元整</v>
      </c>
      <c r="I119" s="3387"/>
    </row>
    <row r="120" spans="1:27" ht="18.75" customHeight="1">
      <c r="A120" s="3412" t="str">
        <f>IF(项目基本情况!B9="房地产市场价值","",MID(E103,3,LEN(E103)-2))</f>
        <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
      </c>
      <c r="B122" s="3376"/>
      <c r="C122" s="3376"/>
      <c r="D122" s="3412">
        <f ca="1">H107</f>
        <v>11736</v>
      </c>
      <c r="E122" s="3413"/>
      <c r="F122" s="3413"/>
      <c r="G122" s="3413"/>
      <c r="H122" s="3413"/>
      <c r="I122" s="3414"/>
      <c r="AA122" s="734"/>
    </row>
    <row r="123" spans="1:27" ht="18.75" customHeight="1">
      <c r="A123" s="3345" t="s">
        <v>1897</v>
      </c>
      <c r="B123" s="3345"/>
      <c r="C123" s="3345"/>
      <c r="D123" s="3385" t="str">
        <f ca="1">NUMBERSTRING(INT(D122*10000),2)&amp;"元整"</f>
        <v>壹亿壹仟柒佰叁拾陆万元整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1897</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
      </c>
      <c r="B126" s="3376"/>
      <c r="C126" s="3376"/>
      <c r="D126" s="3412" t="str">
        <f>H111</f>
        <v>——</v>
      </c>
      <c r="E126" s="3413"/>
      <c r="F126" s="3413"/>
      <c r="G126" s="3413"/>
      <c r="H126" s="3413"/>
      <c r="I126" s="3414"/>
      <c r="AA126" s="734"/>
    </row>
    <row r="127" spans="1:27" ht="18.75" customHeight="1">
      <c r="A127" s="3345" t="s">
        <v>1897</v>
      </c>
      <c r="B127" s="3345"/>
      <c r="C127" s="3345"/>
      <c r="D127" s="3385" t="e">
        <f>NUMBERSTRING(INT(D126*10000),2)&amp;"元整"</f>
        <v>#VALUE!</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9289</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9212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5269</v>
      </c>
      <c r="D5" s="217" t="s">
        <v>1914</v>
      </c>
      <c r="E5" s="218" t="s">
        <v>1915</v>
      </c>
      <c r="F5" s="218" t="s">
        <v>1916</v>
      </c>
      <c r="G5" s="219"/>
    </row>
    <row r="6" spans="1:9" s="220" customFormat="1" ht="13.5" customHeight="1">
      <c r="A6" s="867" t="s">
        <v>1917</v>
      </c>
      <c r="B6" s="221" t="s">
        <v>1918</v>
      </c>
      <c r="C6" s="222">
        <f>[2]基准地价修正!$E$33</f>
        <v>4917</v>
      </c>
      <c r="D6" s="223"/>
      <c r="E6" s="224"/>
      <c r="F6" s="224"/>
      <c r="G6" s="225"/>
    </row>
    <row r="7" spans="1:9" s="220" customFormat="1" ht="13.5" customHeight="1">
      <c r="A7" s="867" t="s">
        <v>1919</v>
      </c>
      <c r="B7" s="221" t="s">
        <v>1920</v>
      </c>
      <c r="C7" s="226">
        <f>ROUND(C6*F7,0)</f>
        <v>150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202</v>
      </c>
      <c r="D8" s="228"/>
      <c r="E8" s="226"/>
      <c r="F8" s="227"/>
      <c r="G8" s="1993" t="s">
        <v>3194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3195</v>
      </c>
      <c r="H9" s="1252"/>
      <c r="I9" s="1995" t="s">
        <v>1924</v>
      </c>
    </row>
    <row r="10" spans="1:9" s="220" customFormat="1" ht="13.5" customHeight="1">
      <c r="A10" s="868" t="s">
        <v>620</v>
      </c>
      <c r="B10" s="230" t="s">
        <v>1925</v>
      </c>
      <c r="C10" s="231">
        <f ca="1">ROUND(D10*E10/10000,0)</f>
        <v>202</v>
      </c>
      <c r="D10" s="935">
        <f ca="1">IF(B1="",'数据-汇总表'!E6,IF(INDIRECT("'数据-取费表'!c"&amp;$G$1)="住宅",INDIRECT("'数据-取费表'!s"&amp;$G$1),INDIRECT("'数据-取费表'!k"&amp;$G$1)+INDIRECT("'数据-取费表'!s"&amp;$G$1)))</f>
        <v>10083.39</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10083.39</v>
      </c>
      <c r="E19" s="217">
        <f>'数据-取费表'!B31</f>
        <v>200</v>
      </c>
      <c r="F19" s="237"/>
      <c r="G19" s="1993" t="s">
        <v>3196</v>
      </c>
    </row>
    <row r="20" spans="1:7" s="220" customFormat="1" ht="13.5" customHeight="1">
      <c r="A20" s="261" t="s">
        <v>1938</v>
      </c>
      <c r="B20" s="216" t="s">
        <v>1939</v>
      </c>
      <c r="C20" s="238">
        <f ca="1">ROUND((C5+C19)*F20,0)</f>
        <v>53</v>
      </c>
      <c r="D20" s="238"/>
      <c r="E20" s="238"/>
      <c r="F20" s="239">
        <f>'数据-取费表'!B37</f>
        <v>0.01</v>
      </c>
      <c r="G20" s="240" t="s">
        <v>1940</v>
      </c>
    </row>
    <row r="21" spans="1:7" s="220" customFormat="1" ht="13.5" customHeight="1">
      <c r="A21" s="261" t="s">
        <v>1941</v>
      </c>
      <c r="B21" s="216" t="s">
        <v>1942</v>
      </c>
      <c r="C21" s="241">
        <f>F21</f>
        <v>0.01</v>
      </c>
      <c r="D21" s="242" t="s">
        <v>1943</v>
      </c>
      <c r="E21" s="238"/>
      <c r="F21" s="239">
        <f>'数据-取费表'!B38</f>
        <v>0.01</v>
      </c>
      <c r="G21" s="240" t="s">
        <v>1944</v>
      </c>
    </row>
    <row r="22" spans="1:7" s="220" customFormat="1" ht="13.5" customHeight="1">
      <c r="A22" s="261" t="s">
        <v>1945</v>
      </c>
      <c r="B22" s="216" t="s">
        <v>1946</v>
      </c>
      <c r="C22" s="1217">
        <f ca="1">ROUND(SUM(C23:C25),0)</f>
        <v>454</v>
      </c>
      <c r="D22" s="241">
        <f ca="1">C26</f>
        <v>4.0000000000000002E-4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452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532</v>
      </c>
      <c r="D27" s="241">
        <f ca="1">C29</f>
        <v>1E-3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532</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6738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2837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2521</v>
      </c>
      <c r="D34" s="223"/>
      <c r="E34" s="226"/>
      <c r="F34" s="263">
        <f ca="1">IF('数据-取费表'!B24=0,1,IF(B1="",'数据-取费表'!N16,INDIRECT("'数据-取费表'!n"&amp;$G$1)))</f>
        <v>1</v>
      </c>
      <c r="G34" s="225" t="s">
        <v>1971</v>
      </c>
    </row>
    <row r="35" spans="1:7" ht="13.5" customHeight="1">
      <c r="A35" s="869" t="s">
        <v>615</v>
      </c>
      <c r="B35" s="221" t="s">
        <v>1972</v>
      </c>
      <c r="C35" s="226">
        <f ca="1">ROUND(C34*F35,0)</f>
        <v>76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202</v>
      </c>
      <c r="D37" s="223">
        <f ca="1">D19</f>
        <v>10083.39</v>
      </c>
      <c r="E37" s="255">
        <f>'数据-取费表'!B35</f>
        <v>200</v>
      </c>
      <c r="F37" s="265"/>
      <c r="G37" s="267" t="s">
        <v>1977</v>
      </c>
    </row>
    <row r="38" spans="1:7" ht="13.5" customHeight="1">
      <c r="A38" s="869" t="s">
        <v>618</v>
      </c>
      <c r="B38" s="221" t="s">
        <v>1978</v>
      </c>
      <c r="C38" s="226">
        <f ca="1">ROUND(C34*F38,0)</f>
        <v>38</v>
      </c>
      <c r="D38" s="226"/>
      <c r="E38" s="226"/>
      <c r="F38" s="265">
        <f>'数据-取费表'!B36</f>
        <v>1.4999999999999999E-2</v>
      </c>
      <c r="G38" s="225" t="s">
        <v>1973</v>
      </c>
    </row>
    <row r="39" spans="1:7" s="220" customFormat="1" ht="13.5" customHeight="1">
      <c r="A39" s="261" t="s">
        <v>1979</v>
      </c>
      <c r="B39" s="216" t="s">
        <v>1980</v>
      </c>
      <c r="C39" s="238">
        <f ca="1">ROUND(C33*F20,0)</f>
        <v>28</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120</v>
      </c>
      <c r="D41" s="241">
        <f ca="1">C44</f>
        <v>4.0000000000000002E-4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119</v>
      </c>
      <c r="D42" s="244"/>
      <c r="E42" s="244"/>
      <c r="F42" s="245"/>
      <c r="G42" s="3428" t="s">
        <v>1989</v>
      </c>
    </row>
    <row r="43" spans="1:7" ht="13.5" customHeight="1">
      <c r="A43" s="869" t="s">
        <v>611</v>
      </c>
      <c r="B43" s="221" t="s">
        <v>1990</v>
      </c>
      <c r="C43" s="244">
        <f ca="1">ROUND(IF('数据-取费表'!B22&lt;=1,C39*F22*'数据-取费表'!B21/2,C39*(POWER((1+F22),'数据-取费表'!B21/2)-1)),0)</f>
        <v>1</v>
      </c>
      <c r="D43" s="244"/>
      <c r="E43" s="244"/>
      <c r="F43" s="245"/>
      <c r="G43" s="3429"/>
    </row>
    <row r="44" spans="1:7" ht="13.5" customHeight="1">
      <c r="A44" s="869" t="s">
        <v>612</v>
      </c>
      <c r="B44" s="221" t="s">
        <v>1991</v>
      </c>
      <c r="C44" s="244">
        <f ca="1">ROUND(IF('数据-取费表'!B22&lt;=1,C40*F22*'数据-取费表'!B21/2,C40*(POWER((1+F22),'数据-取费表'!B21/2)-1)),4)</f>
        <v>4.0000000000000002E-4</v>
      </c>
      <c r="D44" s="244"/>
      <c r="E44" s="244"/>
      <c r="F44" s="245"/>
      <c r="G44" s="3430"/>
    </row>
    <row r="45" spans="1:7" s="220" customFormat="1" ht="13.5" customHeight="1">
      <c r="A45" s="261" t="s">
        <v>1992</v>
      </c>
      <c r="B45" s="250" t="s">
        <v>1958</v>
      </c>
      <c r="C45" s="251">
        <f ca="1">C46</f>
        <v>287</v>
      </c>
      <c r="D45" s="241">
        <f ca="1">C47</f>
        <v>1E-3</v>
      </c>
      <c r="E45" s="242" t="s">
        <v>1984</v>
      </c>
      <c r="F45" s="2488">
        <f ca="1">F27</f>
        <v>0.1</v>
      </c>
      <c r="G45" s="253" t="s">
        <v>1993</v>
      </c>
    </row>
    <row r="46" spans="1:7" s="220" customFormat="1" ht="13.5" customHeight="1">
      <c r="A46" s="869" t="s">
        <v>610</v>
      </c>
      <c r="B46" s="254" t="s">
        <v>1994</v>
      </c>
      <c r="C46" s="255">
        <f ca="1">ROUND((C33+C39)*F27,0)</f>
        <v>287</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3495</v>
      </c>
      <c r="D49" s="238"/>
      <c r="E49" s="238"/>
      <c r="F49" s="270"/>
      <c r="G49" s="240" t="s">
        <v>1999</v>
      </c>
    </row>
    <row r="50" spans="1:7" s="264" customFormat="1" ht="24">
      <c r="A50" s="261" t="s">
        <v>2000</v>
      </c>
      <c r="B50" s="216" t="s">
        <v>2001</v>
      </c>
      <c r="C50" s="238"/>
      <c r="D50" s="238"/>
      <c r="E50" s="238"/>
      <c r="F50" s="270">
        <f>IF('数据-取费表'!B24=0,'数据-取费表'!N16,1)</f>
        <v>0.73</v>
      </c>
      <c r="G50" s="253" t="s">
        <v>2002</v>
      </c>
    </row>
    <row r="51" spans="1:7" ht="16.5" customHeight="1">
      <c r="A51" s="261" t="s">
        <v>2003</v>
      </c>
      <c r="B51" s="216" t="s">
        <v>2004</v>
      </c>
      <c r="C51" s="238">
        <f ca="1">ROUND(C49*F50,0)</f>
        <v>2551</v>
      </c>
      <c r="D51" s="238"/>
      <c r="E51" s="238"/>
      <c r="F51" s="270"/>
      <c r="G51" s="240" t="s">
        <v>2005</v>
      </c>
    </row>
    <row r="52" spans="1:7" s="214" customFormat="1" ht="16.5" thickBot="1">
      <c r="A52" s="271" t="s">
        <v>2006</v>
      </c>
      <c r="B52" s="272"/>
      <c r="C52" s="273">
        <f ca="1">C31+C51</f>
        <v>9289</v>
      </c>
      <c r="D52" s="272"/>
      <c r="E52" s="272"/>
      <c r="F52" s="272"/>
      <c r="G52" s="274"/>
    </row>
    <row r="55" spans="1:7" ht="15">
      <c r="B55" s="276" t="s">
        <v>2007</v>
      </c>
      <c r="C55" s="277"/>
    </row>
    <row r="56" spans="1:7">
      <c r="B56" s="279" t="s">
        <v>1237</v>
      </c>
      <c r="C56" s="281">
        <f ca="1">1-C57</f>
        <v>0.72499999999999998</v>
      </c>
    </row>
    <row r="57" spans="1:7">
      <c r="B57" s="279" t="s">
        <v>1238</v>
      </c>
      <c r="C57" s="280">
        <f ca="1">ROUND(C51/C52,3)</f>
        <v>0.27500000000000002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北京市房地产市场价值预评估</v>
      </c>
      <c r="C37" s="3239"/>
      <c r="D37" s="3239"/>
      <c r="E37" s="3239"/>
      <c r="F37" s="3239"/>
      <c r="G37" s="3239"/>
      <c r="H37" s="3239"/>
      <c r="I37" s="3239"/>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3066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3041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2016678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2016678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2016678</v>
      </c>
      <c r="D10" s="935">
        <f ca="1">IF(B1="",'数据-汇总表'!E6,IF(INDIRECT("'数据-取费表'!c"&amp;$G$1)="住宅",INDIRECT("'数据-取费表'!s"&amp;$G$1),INDIRECT("'数据-取费表'!k"&amp;$G$1)+INDIRECT("'数据-取费表'!s"&amp;$G$1)))</f>
        <v>10083.39</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2016678</v>
      </c>
      <c r="D19" s="939">
        <f ca="1">D9+D10</f>
        <v>10083.39</v>
      </c>
      <c r="E19" s="217">
        <f>'数据-取费表'!B31</f>
        <v>200</v>
      </c>
      <c r="F19" s="237"/>
      <c r="G19" s="1993"/>
    </row>
    <row r="20" spans="1:7" s="220" customFormat="1" ht="13.5" customHeight="1">
      <c r="A20" s="261" t="s">
        <v>2019</v>
      </c>
      <c r="B20" s="216" t="s">
        <v>2020</v>
      </c>
      <c r="C20" s="238">
        <f ca="1">ROUND((C5+C19)*F20,0)</f>
        <v>40334</v>
      </c>
      <c r="D20" s="238"/>
      <c r="E20" s="238"/>
      <c r="F20" s="239">
        <f>'数据-取费表'!B37</f>
        <v>0.01</v>
      </c>
      <c r="G20" s="240" t="s">
        <v>2021</v>
      </c>
    </row>
    <row r="21" spans="1:7" s="220" customFormat="1" ht="13.5" customHeight="1">
      <c r="A21" s="261" t="s">
        <v>2022</v>
      </c>
      <c r="B21" s="216" t="s">
        <v>2023</v>
      </c>
      <c r="C21" s="241">
        <f>F21</f>
        <v>0.01</v>
      </c>
      <c r="D21" s="242" t="s">
        <v>2024</v>
      </c>
      <c r="E21" s="238"/>
      <c r="F21" s="239">
        <f>'数据-取费表'!B38</f>
        <v>0.01</v>
      </c>
      <c r="G21" s="240" t="s">
        <v>2025</v>
      </c>
    </row>
    <row r="22" spans="1:7" s="220" customFormat="1" ht="13.5" customHeight="1">
      <c r="A22" s="261" t="s">
        <v>2026</v>
      </c>
      <c r="B22" s="216" t="s">
        <v>2027</v>
      </c>
      <c r="C22" s="1242">
        <f ca="1">ROUND(SUM(C23:C25),0)</f>
        <v>347610</v>
      </c>
      <c r="D22" s="241">
        <f ca="1">C26</f>
        <v>4.0000000000000002E-4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172958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172958</v>
      </c>
      <c r="D24" s="244"/>
      <c r="E24" s="244"/>
      <c r="F24" s="245"/>
      <c r="G24" s="246" t="s">
        <v>2031</v>
      </c>
    </row>
    <row r="25" spans="1:7" s="220" customFormat="1" ht="24">
      <c r="A25" s="869" t="s">
        <v>1921</v>
      </c>
      <c r="B25" s="221" t="s">
        <v>2032</v>
      </c>
      <c r="C25" s="1243">
        <f ca="1">ROUND(IF('数据-取费表'!B22&lt;=1,C20*F22*'数据-取费表'!B22/2,C20*(POWER((1+F22),'数据-取费表'!B22/2)-1)),0)</f>
        <v>1694</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407369</v>
      </c>
      <c r="D27" s="241">
        <f ca="1">C29</f>
        <v>1E-3</v>
      </c>
      <c r="E27" s="242" t="s">
        <v>1959</v>
      </c>
      <c r="F27" s="252">
        <f ca="1">IF(B1="",'数据-取费表'!Q16,INDIRECT("'数据-取费表'!q"&amp;$G$1))</f>
        <v>0.1</v>
      </c>
      <c r="G27" s="253" t="s">
        <v>1960</v>
      </c>
    </row>
    <row r="28" spans="1:7" s="220" customFormat="1" ht="13.5" customHeight="1">
      <c r="A28" s="869" t="s">
        <v>610</v>
      </c>
      <c r="B28" s="254" t="s">
        <v>1961</v>
      </c>
      <c r="C28" s="255">
        <f ca="1">ROUND((C5+C19+C20)*F27,0)</f>
        <v>407369</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5157732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28359534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25208475</v>
      </c>
      <c r="D34" s="223"/>
      <c r="E34" s="226"/>
      <c r="F34" s="263"/>
      <c r="G34" s="225"/>
    </row>
    <row r="35" spans="1:7" ht="13.5" customHeight="1">
      <c r="A35" s="869" t="s">
        <v>615</v>
      </c>
      <c r="B35" s="221" t="s">
        <v>1972</v>
      </c>
      <c r="C35" s="226">
        <f ca="1">ROUND(C34*F35,0)</f>
        <v>756254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2016678</v>
      </c>
      <c r="D37" s="223">
        <f ca="1">D19</f>
        <v>10083.39</v>
      </c>
      <c r="E37" s="255">
        <f>'数据-取费表'!B35</f>
        <v>200</v>
      </c>
      <c r="F37" s="265"/>
      <c r="G37" s="267"/>
    </row>
    <row r="38" spans="1:7" ht="13.5" customHeight="1">
      <c r="A38" s="869" t="s">
        <v>618</v>
      </c>
      <c r="B38" s="221" t="s">
        <v>1978</v>
      </c>
      <c r="C38" s="226">
        <f ca="1">ROUND(C34*F38,0)</f>
        <v>378127</v>
      </c>
      <c r="D38" s="226"/>
      <c r="E38" s="226"/>
      <c r="F38" s="265">
        <f>'数据-取费表'!B36</f>
        <v>1.4999999999999999E-2</v>
      </c>
      <c r="G38" s="225" t="s">
        <v>1973</v>
      </c>
    </row>
    <row r="39" spans="1:7" s="220" customFormat="1" ht="13.5" customHeight="1">
      <c r="A39" s="261" t="s">
        <v>1979</v>
      </c>
      <c r="B39" s="216" t="s">
        <v>1980</v>
      </c>
      <c r="C39" s="238">
        <f ca="1">ROUND(C33*F20,0)</f>
        <v>283595</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1203011</v>
      </c>
      <c r="D41" s="241">
        <f ca="1">C44</f>
        <v>4.0000000000000002E-4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1191100</v>
      </c>
      <c r="D42" s="244"/>
      <c r="E42" s="244"/>
      <c r="F42" s="245"/>
      <c r="G42" s="3428" t="s">
        <v>2036</v>
      </c>
    </row>
    <row r="43" spans="1:7" ht="13.5" customHeight="1">
      <c r="A43" s="869" t="s">
        <v>611</v>
      </c>
      <c r="B43" s="221" t="s">
        <v>1990</v>
      </c>
      <c r="C43" s="244">
        <f ca="1">ROUND(IF('数据-取费表'!B22&lt;=1,C39*F22*'数据-取费表'!B20/2,C39*(POWER((1+F22),'数据-取费表'!B20/2)-1)),0)</f>
        <v>11911</v>
      </c>
      <c r="D43" s="244"/>
      <c r="E43" s="244"/>
      <c r="F43" s="245"/>
      <c r="G43" s="3429"/>
    </row>
    <row r="44" spans="1:7" ht="13.5" customHeight="1">
      <c r="A44" s="869" t="s">
        <v>612</v>
      </c>
      <c r="B44" s="221" t="s">
        <v>1991</v>
      </c>
      <c r="C44" s="244">
        <f ca="1">ROUND(IF('数据-取费表'!B22&lt;=1,C40*F22*'数据-取费表'!B20/2,C40*(POWER((1+F22),'数据-取费表'!B20/2)-1)),4)</f>
        <v>4.0000000000000002E-4</v>
      </c>
      <c r="D44" s="244"/>
      <c r="E44" s="244"/>
      <c r="F44" s="245"/>
      <c r="G44" s="3430"/>
    </row>
    <row r="45" spans="1:7" s="220" customFormat="1" ht="13.5" customHeight="1">
      <c r="A45" s="261" t="s">
        <v>1992</v>
      </c>
      <c r="B45" s="250" t="s">
        <v>1958</v>
      </c>
      <c r="C45" s="251">
        <f ca="1">C46</f>
        <v>2864313</v>
      </c>
      <c r="D45" s="241">
        <f ca="1">C47</f>
        <v>1E-3</v>
      </c>
      <c r="E45" s="242" t="s">
        <v>1984</v>
      </c>
      <c r="F45" s="2488">
        <f ca="1">F27</f>
        <v>0.1</v>
      </c>
      <c r="G45" s="253" t="s">
        <v>1993</v>
      </c>
    </row>
    <row r="46" spans="1:7" s="220" customFormat="1" ht="13.5" customHeight="1">
      <c r="A46" s="869" t="s">
        <v>610</v>
      </c>
      <c r="B46" s="254" t="s">
        <v>1994</v>
      </c>
      <c r="C46" s="255">
        <f ca="1">ROUND((C33+C39)*F27,0)</f>
        <v>2864313</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34939599</v>
      </c>
      <c r="D49" s="238"/>
      <c r="E49" s="238"/>
      <c r="F49" s="270"/>
      <c r="G49" s="240" t="s">
        <v>1999</v>
      </c>
    </row>
    <row r="50" spans="1:7" s="264" customFormat="1">
      <c r="A50" s="261" t="s">
        <v>2000</v>
      </c>
      <c r="B50" s="216" t="s">
        <v>2001</v>
      </c>
      <c r="C50" s="238"/>
      <c r="D50" s="238"/>
      <c r="E50" s="238"/>
      <c r="F50" s="270">
        <f>IF('数据-取费表'!B24=0,'数据-取费表'!N16,1)</f>
        <v>0.73</v>
      </c>
      <c r="G50" s="253"/>
    </row>
    <row r="51" spans="1:7" ht="16.5" customHeight="1">
      <c r="A51" s="261" t="s">
        <v>2003</v>
      </c>
      <c r="B51" s="216" t="s">
        <v>2038</v>
      </c>
      <c r="C51" s="238">
        <f ca="1">ROUND(C49*F50,0)</f>
        <v>25505907</v>
      </c>
      <c r="D51" s="238"/>
      <c r="E51" s="238"/>
      <c r="F51" s="270"/>
      <c r="G51" s="240" t="s">
        <v>2005</v>
      </c>
    </row>
    <row r="52" spans="1:7" s="214" customFormat="1" ht="16.5" thickBot="1">
      <c r="A52" s="271" t="s">
        <v>2006</v>
      </c>
      <c r="B52" s="272"/>
      <c r="C52" s="273">
        <f ca="1">C31+C51</f>
        <v>30663639</v>
      </c>
      <c r="D52" s="272"/>
      <c r="E52" s="272"/>
      <c r="F52" s="272"/>
      <c r="G52" s="274"/>
    </row>
    <row r="55" spans="1:7" ht="15">
      <c r="B55" s="276" t="s">
        <v>2007</v>
      </c>
      <c r="C55" s="277"/>
    </row>
    <row r="56" spans="1:7">
      <c r="B56" s="279" t="s">
        <v>1237</v>
      </c>
      <c r="C56" s="281">
        <f ca="1">1-C57</f>
        <v>0.16800000000000004</v>
      </c>
    </row>
    <row r="57" spans="1:7">
      <c r="B57" s="279" t="s">
        <v>1238</v>
      </c>
      <c r="C57" s="280">
        <f ca="1">ROUND(C51/C52,3)</f>
        <v>0.83199999999999996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10083.39</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10083.39</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202</v>
      </c>
      <c r="D20" s="936">
        <f ca="1">IF(C1="",'数据-汇总表'!E6,IF(INDIRECT("'数据-取费表'!c"&amp;$K$1)="住宅",INDIRECT("'数据-取费表'!s"&amp;$K$1),INDIRECT("'数据-取费表'!k"&amp;$K$1)+INDIRECT("'数据-取费表'!s"&amp;$K$1)))</f>
        <v>10083.39</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0.01</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0.01</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H36" sqref="H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32.06</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13368</v>
      </c>
      <c r="C2" s="1522" t="s">
        <v>1240</v>
      </c>
      <c r="D2" s="1522"/>
      <c r="E2" s="1523"/>
      <c r="F2" s="1524"/>
      <c r="G2" s="2884"/>
      <c r="H2" s="2873"/>
      <c r="I2" s="2873"/>
      <c r="J2" s="2873"/>
      <c r="K2" s="2874"/>
      <c r="L2" s="2873"/>
      <c r="M2" s="2873"/>
    </row>
    <row r="3" spans="1:37" ht="18" customHeight="1" thickBot="1">
      <c r="A3" s="1525" t="s">
        <v>1241</v>
      </c>
      <c r="B3" s="1526">
        <f ca="1">IF(ISERROR(B2*10000/F43),0,ROUND(B2*10000/F43,0))</f>
        <v>13257</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829</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828</v>
      </c>
      <c r="D6" s="160" t="s">
        <v>2608</v>
      </c>
      <c r="E6" s="308" t="s">
        <v>1129</v>
      </c>
      <c r="F6" s="309">
        <f ca="1">INDIRECT("'数据-取费表'!u"&amp;$G$1)</f>
        <v>2.5</v>
      </c>
      <c r="G6" s="1519"/>
      <c r="H6" s="1182" t="s">
        <v>822</v>
      </c>
      <c r="I6" s="3433" t="s">
        <v>1127</v>
      </c>
      <c r="J6" s="307">
        <f ca="1">ROUND(M6*M8*M7*(1-M9)/10000,0)</f>
        <v>0</v>
      </c>
      <c r="K6" s="160"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10083.39</v>
      </c>
      <c r="G7" s="1519"/>
      <c r="H7" s="310"/>
      <c r="I7" s="3434"/>
      <c r="J7" s="312"/>
      <c r="K7" s="313"/>
      <c r="L7" s="308" t="s">
        <v>1130</v>
      </c>
      <c r="M7" s="309">
        <f ca="1">F7</f>
        <v>10083.39</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0.1</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3197</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2551</v>
      </c>
      <c r="D13" s="1194" t="s">
        <v>1139</v>
      </c>
      <c r="E13" s="1194" t="s">
        <v>1140</v>
      </c>
      <c r="F13" s="1195">
        <f ca="1">INDIRECT("'数据-取费表'!y"&amp;$G$1)</f>
        <v>0.73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2521</v>
      </c>
      <c r="D14" s="1480" t="s">
        <v>1142</v>
      </c>
      <c r="E14" s="1477"/>
      <c r="F14" s="325"/>
      <c r="G14" s="1519"/>
      <c r="H14" s="1094" t="s">
        <v>822</v>
      </c>
      <c r="I14" s="308" t="s">
        <v>1143</v>
      </c>
      <c r="J14" s="24">
        <f ca="1">C29</f>
        <v>3495</v>
      </c>
      <c r="K14" s="15"/>
      <c r="L14" s="897"/>
      <c r="M14" s="898"/>
    </row>
    <row r="15" spans="1:37" s="1532" customFormat="1" ht="18" customHeight="1" thickBot="1">
      <c r="A15" s="1094" t="s">
        <v>823</v>
      </c>
      <c r="B15" s="308" t="s">
        <v>1144</v>
      </c>
      <c r="C15" s="24">
        <f ca="1">ROUND(C14*F15,0)</f>
        <v>76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86</v>
      </c>
      <c r="K16" s="1200" t="s">
        <v>1149</v>
      </c>
      <c r="L16" s="1201"/>
      <c r="M16" s="1185"/>
    </row>
    <row r="17" spans="1:37" s="1532" customFormat="1" ht="18" customHeight="1">
      <c r="A17" s="1094" t="s">
        <v>1114</v>
      </c>
      <c r="B17" s="308" t="s">
        <v>1150</v>
      </c>
      <c r="C17" s="24">
        <f ca="1">ROUND(F17*(F43+INDIRECT("'数据-取费表'!S"&amp;$G$1))/10000,0)</f>
        <v>202</v>
      </c>
      <c r="D17" s="308" t="s">
        <v>1151</v>
      </c>
      <c r="E17" s="308" t="s">
        <v>1152</v>
      </c>
      <c r="F17" s="26">
        <f>'数据-取费表'!B35</f>
        <v>200</v>
      </c>
      <c r="G17" s="1531"/>
      <c r="H17" s="1094" t="s">
        <v>822</v>
      </c>
      <c r="I17" s="308" t="s">
        <v>1153</v>
      </c>
      <c r="J17" s="2485">
        <f ca="1">ROUND(IF(AND(项目基本情况!B11="自然人",项目基本情况!B10="北京市"),J6*M17/(1+'数据-取费表'!C42),J18+J19+J20),0)</f>
        <v>34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2837</v>
      </c>
      <c r="D19" s="136" t="s">
        <v>1160</v>
      </c>
      <c r="E19" s="1495"/>
      <c r="F19" s="26"/>
      <c r="G19" s="1519"/>
      <c r="H19" s="1094" t="s">
        <v>823</v>
      </c>
      <c r="I19" s="308" t="s">
        <v>1161</v>
      </c>
      <c r="J19" s="24">
        <f ca="1">IF(K19="按租金收入计税",ROUND(J6*M19/(1+'数据-取费表'!C42),2),ROUND(C29*M19*0.7,2))</f>
        <v>29.36</v>
      </c>
      <c r="K19" s="1505" t="s">
        <v>1162</v>
      </c>
      <c r="L19" s="308" t="s">
        <v>1146</v>
      </c>
      <c r="M19" s="328">
        <f>IF(K19="按租金收入计税",'数据-取费表'!B51,'数据-取费表'!B50)</f>
        <v>1.2E-2</v>
      </c>
    </row>
    <row r="20" spans="1:37" s="1532" customFormat="1" ht="18" customHeight="1">
      <c r="A20" s="1094" t="s">
        <v>826</v>
      </c>
      <c r="B20" s="308" t="s">
        <v>1163</v>
      </c>
      <c r="C20" s="24">
        <f ca="1">ROUND(C19*F20,0)</f>
        <v>28</v>
      </c>
      <c r="D20" s="329" t="s">
        <v>1164</v>
      </c>
      <c r="E20" s="308" t="s">
        <v>1146</v>
      </c>
      <c r="F20" s="328">
        <f>'数据-取费表'!B37</f>
        <v>0.01</v>
      </c>
      <c r="G20" s="1531"/>
      <c r="H20" s="1094" t="s">
        <v>1113</v>
      </c>
      <c r="I20" s="160" t="s">
        <v>1165</v>
      </c>
      <c r="J20" s="25">
        <f ca="1">ROUND(M20*M21/10000,2)</f>
        <v>4.5199999999999996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0.01</v>
      </c>
      <c r="G21" s="1531"/>
      <c r="H21" s="332"/>
      <c r="I21" s="317"/>
      <c r="J21" s="29"/>
      <c r="K21" s="333"/>
      <c r="L21" s="308" t="s">
        <v>1171</v>
      </c>
      <c r="M21" s="309">
        <f ca="1">INDIRECT("'数据-取费表'!r"&amp;$G$1)</f>
        <v>30128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52.4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120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-86</v>
      </c>
      <c r="K25" s="1208" t="s">
        <v>1188</v>
      </c>
      <c r="L25" s="1209"/>
      <c r="M25" s="1210"/>
    </row>
    <row r="26" spans="1:37">
      <c r="A26" s="1094" t="s">
        <v>821</v>
      </c>
      <c r="B26" s="308" t="s">
        <v>1189</v>
      </c>
      <c r="C26" s="24">
        <f ca="1">ROUND((C19+C20)*F26,0)</f>
        <v>287</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3495</v>
      </c>
      <c r="D29" s="1205"/>
      <c r="E29" s="1203"/>
      <c r="F29" s="1206"/>
      <c r="G29" s="1531"/>
      <c r="H29" s="340" t="s">
        <v>820</v>
      </c>
      <c r="I29" s="341" t="s">
        <v>1203</v>
      </c>
      <c r="J29" s="342">
        <f ca="1">ROUND(J26/(1+F40)^F41,0)</f>
        <v>0</v>
      </c>
      <c r="K29" s="343" t="s">
        <v>1204</v>
      </c>
      <c r="L29" s="344"/>
      <c r="M29" s="345">
        <f ca="1">INDIRECT("'数据-取费表'!k"&amp;$G$1)</f>
        <v>10083.39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208</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143</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IF(项目基本情况!B11="自然人","——",ROUND(C6*F32/(1+'数据-取费表'!C42),2))</f>
        <v>43.37</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94.63</v>
      </c>
      <c r="D33" s="1505" t="s">
        <v>3198</v>
      </c>
      <c r="E33" s="308" t="s">
        <v>1146</v>
      </c>
      <c r="F33" s="328">
        <f>IF(D33="按票据","——",IF(D33="按租金收入计税",'数据-取费表'!B51,'数据-取费表'!B50))</f>
        <v>0.12</v>
      </c>
      <c r="G33" s="1519"/>
      <c r="H33" s="2878"/>
      <c r="I33" s="1533">
        <f>'数据-取费表'!K19*0.7*1.2%/10000</f>
        <v>0</v>
      </c>
      <c r="J33" s="1534"/>
      <c r="K33" s="2879"/>
      <c r="L33" s="2878"/>
      <c r="M33" s="2878"/>
    </row>
    <row r="34" spans="1:18" ht="18" customHeight="1">
      <c r="A34" s="1182" t="s">
        <v>1113</v>
      </c>
      <c r="B34" s="160" t="s">
        <v>1165</v>
      </c>
      <c r="C34" s="25">
        <f ca="1">IF(项目基本情况!B11="自然人","——",ROUND(F34*F35/10000,2))</f>
        <v>4.5199999999999996</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30128</v>
      </c>
      <c r="G35" s="1519"/>
      <c r="H35" s="2875"/>
      <c r="I35" s="1533"/>
      <c r="J35" s="1534"/>
      <c r="K35" s="2879"/>
      <c r="L35" s="2878"/>
      <c r="M35" s="2878"/>
    </row>
    <row r="36" spans="1:18" ht="18" customHeight="1">
      <c r="A36" s="1215" t="s">
        <v>826</v>
      </c>
      <c r="B36" s="308" t="s">
        <v>1173</v>
      </c>
      <c r="C36" s="24">
        <f ca="1">ROUND(C29*F36,1)</f>
        <v>52.4</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3.8</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8.3000000000000007</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621</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13368</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32.06</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13257</v>
      </c>
      <c r="D43" s="343" t="s">
        <v>1212</v>
      </c>
      <c r="E43" s="344" t="s">
        <v>1213</v>
      </c>
      <c r="F43" s="345">
        <f ca="1">INDIRECT("'数据-取费表'!k"&amp;$G$1)</f>
        <v>10083.39</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-18966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3207</v>
      </c>
      <c r="K47" s="1551" t="s">
        <v>1251</v>
      </c>
      <c r="L47" s="1552">
        <f ca="1">INDIRECT("'数据-取费表'!d"&amp;$G$1)</f>
        <v>50</v>
      </c>
      <c r="M47" s="1515" t="str">
        <f>IF(ISNUMBER(FIND("住宅",C1)),"住宅","非住宅")</f>
        <v>非住宅</v>
      </c>
      <c r="O47" s="1553" t="s">
        <v>827</v>
      </c>
      <c r="P47" s="1554" t="s">
        <v>1252</v>
      </c>
      <c r="Q47" s="1555">
        <f ca="1">C40+J29</f>
        <v>13368</v>
      </c>
      <c r="R47" s="1555" t="s">
        <v>1253</v>
      </c>
    </row>
    <row r="48" spans="1:18" s="1519" customFormat="1" ht="28.5" thickBot="1">
      <c r="A48" s="1223" t="s">
        <v>863</v>
      </c>
      <c r="B48" s="306" t="s">
        <v>1125</v>
      </c>
      <c r="C48" s="1494">
        <f ca="1">C49+C53+C55</f>
        <v>0</v>
      </c>
      <c r="D48" s="1225"/>
      <c r="E48" s="1226"/>
      <c r="F48" s="1074"/>
      <c r="G48" s="731"/>
      <c r="H48" s="732"/>
      <c r="I48" s="1556" t="s">
        <v>1254</v>
      </c>
      <c r="J48" s="1557" t="s">
        <v>3199</v>
      </c>
      <c r="K48" s="1558" t="s">
        <v>1255</v>
      </c>
      <c r="L48" s="1559">
        <f ca="1">INDIRECT("'数据-取费表'!f"&amp;$G$1)</f>
        <v>32.06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2006</v>
      </c>
      <c r="K49" s="1558" t="s">
        <v>1259</v>
      </c>
      <c r="L49" s="1562"/>
      <c r="O49" s="1563" t="s">
        <v>829</v>
      </c>
      <c r="P49" s="1554" t="s">
        <v>1260</v>
      </c>
      <c r="Q49" s="1555">
        <f ca="1">C29</f>
        <v>3495</v>
      </c>
      <c r="R49" s="1555" t="s">
        <v>1253</v>
      </c>
    </row>
    <row r="50" spans="1:18" s="1519" customFormat="1" ht="13.5" thickBot="1">
      <c r="A50" s="1088"/>
      <c r="B50" s="1091"/>
      <c r="C50" s="1231"/>
      <c r="D50" s="1065"/>
      <c r="E50" s="1168" t="s">
        <v>1130</v>
      </c>
      <c r="F50" s="1169">
        <f ca="1">F7</f>
        <v>10083.39</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34</v>
      </c>
      <c r="K51" s="1569" t="s">
        <v>1265</v>
      </c>
      <c r="L51" s="1570">
        <f ca="1">ROUND(-PV(INDIRECT("'数据-取费表'!h"&amp;$G$1),J51,(C39-C13*C76),0),0)</f>
        <v>7411</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f>'数据-取费表'!I6+3%</f>
        <v>0.08</v>
      </c>
      <c r="K52" s="1572" t="s">
        <v>1268</v>
      </c>
      <c r="L52" s="1573"/>
      <c r="O52" s="1563" t="s">
        <v>832</v>
      </c>
      <c r="P52" s="1554" t="s">
        <v>1269</v>
      </c>
      <c r="Q52" s="1555">
        <f ca="1">J53</f>
        <v>32.06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32.06</v>
      </c>
      <c r="K53" s="3431" t="s">
        <v>1272</v>
      </c>
      <c r="L53" s="3432"/>
      <c r="O53" s="1553" t="s">
        <v>833</v>
      </c>
      <c r="P53" s="1554" t="s">
        <v>1273</v>
      </c>
      <c r="Q53" s="1555">
        <f ca="1">Q47+Q48</f>
        <v>13368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2551</v>
      </c>
      <c r="D56" s="1582"/>
      <c r="E56" s="1583"/>
      <c r="F56" s="1575"/>
      <c r="I56" s="1584" t="s">
        <v>1278</v>
      </c>
      <c r="J56" s="1585" t="s">
        <v>3177</v>
      </c>
      <c r="K56" s="1556" t="s">
        <v>1279</v>
      </c>
      <c r="L56" s="1559" t="str">
        <f ca="1">IF(L48&lt;J51,"——",L48-J53)</f>
        <v>——</v>
      </c>
      <c r="O56" s="1553" t="s">
        <v>827</v>
      </c>
      <c r="P56" s="1554" t="s">
        <v>1252</v>
      </c>
      <c r="Q56" s="1555">
        <f ca="1">C40+J29</f>
        <v>13368</v>
      </c>
      <c r="R56" s="1555" t="s">
        <v>1253</v>
      </c>
    </row>
    <row r="57" spans="1:18" s="1519" customFormat="1" ht="24.75" thickBot="1">
      <c r="A57" s="1586"/>
      <c r="B57" s="1062" t="s">
        <v>1202</v>
      </c>
      <c r="C57" s="244">
        <f ca="1">C29</f>
        <v>3495</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354</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298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293.58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4.5199999999999996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13368</v>
      </c>
      <c r="R62" s="1555" t="s">
        <v>834</v>
      </c>
    </row>
    <row r="63" spans="1:18" s="1519" customFormat="1" ht="13.5" thickBot="1">
      <c r="A63" s="332"/>
      <c r="B63" s="1068"/>
      <c r="C63" s="29"/>
      <c r="D63" s="1078"/>
      <c r="E63" s="1062" t="s">
        <v>1223</v>
      </c>
      <c r="F63" s="309">
        <f t="shared" ca="1" si="0"/>
        <v>30128</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52.4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3.8</v>
      </c>
      <c r="D65" s="1076" t="s">
        <v>1178</v>
      </c>
      <c r="E65" s="1062" t="s">
        <v>1179</v>
      </c>
      <c r="F65" s="336">
        <f t="shared" ca="1" si="0"/>
        <v>1.5E-3</v>
      </c>
      <c r="I65" s="1597" t="s">
        <v>1303</v>
      </c>
      <c r="J65" s="1598">
        <v>40</v>
      </c>
      <c r="K65" s="1598">
        <v>30</v>
      </c>
      <c r="L65" s="1598">
        <v>50</v>
      </c>
      <c r="M65" s="1600">
        <v>0.02</v>
      </c>
      <c r="O65" s="1553" t="s">
        <v>827</v>
      </c>
      <c r="P65" s="1554" t="s">
        <v>1304</v>
      </c>
      <c r="Q65" s="1555">
        <f ca="1">C40+J29</f>
        <v>13368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-354</v>
      </c>
      <c r="D67" s="1075" t="s">
        <v>1188</v>
      </c>
      <c r="E67" s="1080"/>
      <c r="F67" s="1081"/>
      <c r="O67" s="1563" t="s">
        <v>829</v>
      </c>
      <c r="P67" s="1554" t="s">
        <v>1286</v>
      </c>
      <c r="Q67" s="1601">
        <f ca="1">L51</f>
        <v>7411</v>
      </c>
      <c r="R67" s="1555" t="s">
        <v>1306</v>
      </c>
    </row>
    <row r="68" spans="1:18" s="1519" customFormat="1" ht="16.5" thickBot="1">
      <c r="A68" s="1059" t="s">
        <v>819</v>
      </c>
      <c r="B68" s="1060" t="s">
        <v>1209</v>
      </c>
      <c r="C68" s="307">
        <f ca="1">ROUND(C67*(1-((1+F70)/(1+F68))^F69)/(F68-F70),0)</f>
        <v>-5598</v>
      </c>
      <c r="D68" s="1077" t="s">
        <v>1193</v>
      </c>
      <c r="E68" s="1062" t="s">
        <v>1194</v>
      </c>
      <c r="F68" s="318">
        <f ca="1">F40</f>
        <v>0.05</v>
      </c>
      <c r="O68" s="1563" t="s">
        <v>830</v>
      </c>
      <c r="P68" s="1602" t="s">
        <v>1307</v>
      </c>
      <c r="Q68" s="1555">
        <f ca="1">ROUND(Q69-Q70*Q71,0)</f>
        <v>430</v>
      </c>
      <c r="R68" s="1555" t="s">
        <v>838</v>
      </c>
    </row>
    <row r="69" spans="1:18" s="1519" customFormat="1" ht="13.5" thickBot="1">
      <c r="A69" s="1063"/>
      <c r="B69" s="1064"/>
      <c r="C69" s="312"/>
      <c r="D69" s="1082" t="s">
        <v>1197</v>
      </c>
      <c r="E69" s="1062" t="s">
        <v>1198</v>
      </c>
      <c r="F69" s="339">
        <f ca="1">F41</f>
        <v>32.06</v>
      </c>
      <c r="O69" s="1563" t="s">
        <v>835</v>
      </c>
      <c r="P69" s="1602" t="s">
        <v>1308</v>
      </c>
      <c r="Q69" s="1555">
        <f ca="1">C39</f>
        <v>621</v>
      </c>
      <c r="R69" s="1555" t="s">
        <v>1253</v>
      </c>
    </row>
    <row r="70" spans="1:18" s="1519" customFormat="1" ht="13.5" thickBot="1">
      <c r="A70" s="1066"/>
      <c r="B70" s="1067"/>
      <c r="C70" s="316"/>
      <c r="D70" s="1078"/>
      <c r="E70" s="1062" t="s">
        <v>1201</v>
      </c>
      <c r="F70" s="1166"/>
      <c r="O70" s="1563" t="s">
        <v>836</v>
      </c>
      <c r="P70" s="1602" t="s">
        <v>1309</v>
      </c>
      <c r="Q70" s="1555">
        <f ca="1">C13</f>
        <v>2551</v>
      </c>
      <c r="R70" s="1555" t="s">
        <v>1253</v>
      </c>
    </row>
    <row r="71" spans="1:18" s="1519" customFormat="1" ht="13.5" thickBot="1">
      <c r="A71" s="1083" t="s">
        <v>820</v>
      </c>
      <c r="B71" s="1084" t="s">
        <v>1211</v>
      </c>
      <c r="C71" s="342">
        <f ca="1">ROUND(C68*10000/F71,0)</f>
        <v>-5552</v>
      </c>
      <c r="D71" s="1085" t="s">
        <v>1212</v>
      </c>
      <c r="E71" s="1086" t="s">
        <v>1213</v>
      </c>
      <c r="F71" s="345">
        <f ca="1">F43</f>
        <v>10083.39</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191</v>
      </c>
      <c r="D75" s="1519"/>
      <c r="E75" s="1519"/>
      <c r="F75" s="1519"/>
      <c r="K75" s="1537"/>
      <c r="L75" s="1519"/>
      <c r="O75" s="1553" t="s">
        <v>833</v>
      </c>
      <c r="P75" s="1554" t="s">
        <v>1273</v>
      </c>
      <c r="Q75" s="1555">
        <f ca="1">Q65+Q66</f>
        <v>13368</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0.69199999999999995</v>
      </c>
    </row>
    <row r="80" spans="1:18">
      <c r="B80" s="346" t="s">
        <v>1235</v>
      </c>
      <c r="C80" s="280">
        <f ca="1">ROUND(C75/C39,3)</f>
        <v>0.308</v>
      </c>
    </row>
    <row r="81" spans="2:3">
      <c r="B81" s="276" t="s">
        <v>1236</v>
      </c>
      <c r="C81" s="244"/>
    </row>
    <row r="82" spans="2:3">
      <c r="B82" s="279" t="s">
        <v>1237</v>
      </c>
      <c r="C82" s="281">
        <f ca="1">1-C83</f>
        <v>0.80899999999999994</v>
      </c>
    </row>
    <row r="83" spans="2:3">
      <c r="B83" s="279" t="s">
        <v>1238</v>
      </c>
      <c r="C83" s="280">
        <f ca="1">ROUND(C13/C40,3)</f>
        <v>0.191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2605</v>
      </c>
      <c r="E6" s="308" t="s">
        <v>1129</v>
      </c>
      <c r="F6" s="309">
        <f ca="1">INDIRECT("'数据-取费表'!u"&amp;$G$1)</f>
        <v>0</v>
      </c>
      <c r="G6" s="1519"/>
      <c r="H6" s="1182" t="s">
        <v>822</v>
      </c>
      <c r="I6" s="3433" t="s">
        <v>1127</v>
      </c>
      <c r="J6" s="307">
        <f ca="1">ROUND(M6*M8*M7*(1-M9),0)</f>
        <v>0</v>
      </c>
      <c r="K6" s="1511" t="s">
        <v>2606</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0.01</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0.01</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20" t="s">
        <v>2819</v>
      </c>
      <c r="B2" s="3023" t="e">
        <f>C40</f>
        <v>#DIV/0!</v>
      </c>
      <c r="C2" s="3024" t="s">
        <v>2820</v>
      </c>
      <c r="D2" s="3024"/>
      <c r="E2" s="3025"/>
      <c r="F2" s="3026"/>
      <c r="G2" s="3027"/>
      <c r="H2" s="3028"/>
      <c r="I2" s="3029"/>
      <c r="J2" s="3442" t="s">
        <v>2821</v>
      </c>
      <c r="K2" s="3443"/>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44" t="s">
        <v>2831</v>
      </c>
      <c r="K3" s="3445"/>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44" t="s">
        <v>2833</v>
      </c>
      <c r="K4" s="3445"/>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50" t="s">
        <v>2837</v>
      </c>
      <c r="B6" s="3451"/>
      <c r="C6" s="3452"/>
      <c r="D6" s="3050"/>
      <c r="E6" s="3051"/>
      <c r="F6" s="3052"/>
      <c r="G6" s="3053"/>
      <c r="H6" s="3028"/>
      <c r="I6" s="3029"/>
      <c r="J6" s="3436">
        <v>1</v>
      </c>
      <c r="K6" s="3437"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36"/>
      <c r="K7" s="3438"/>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53" t="s">
        <v>2851</v>
      </c>
      <c r="C8" s="3454"/>
      <c r="D8" s="3069" t="s">
        <v>2852</v>
      </c>
      <c r="E8" s="3070" t="s">
        <v>2853</v>
      </c>
      <c r="F8" s="3071" t="s">
        <v>2854</v>
      </c>
      <c r="G8" s="3072"/>
      <c r="H8" s="3028"/>
      <c r="I8" s="3029"/>
      <c r="J8" s="3436"/>
      <c r="K8" s="3438"/>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53" t="s">
        <v>2857</v>
      </c>
      <c r="C9" s="3454"/>
      <c r="D9" s="3069">
        <f>ROUND(D6*E9,0)</f>
        <v>0</v>
      </c>
      <c r="E9" s="3073"/>
      <c r="F9" s="3074" t="s">
        <v>2858</v>
      </c>
      <c r="G9" s="3053"/>
      <c r="H9" s="3028"/>
      <c r="I9" s="3029"/>
      <c r="J9" s="3436"/>
      <c r="K9" s="3438"/>
      <c r="L9" s="3063" t="s">
        <v>2859</v>
      </c>
      <c r="M9" s="3064"/>
      <c r="N9" s="3040"/>
      <c r="O9" s="3065"/>
      <c r="P9" s="3065"/>
      <c r="Q9" s="3066">
        <v>365</v>
      </c>
      <c r="R9" s="3067">
        <f t="shared" si="0"/>
        <v>0</v>
      </c>
      <c r="S9" s="3021"/>
      <c r="T9" s="3021"/>
      <c r="U9" s="3021"/>
      <c r="V9" s="3029"/>
    </row>
    <row r="10" spans="1:22" s="3033" customFormat="1" ht="13.15" customHeight="1">
      <c r="A10" s="3068">
        <v>2</v>
      </c>
      <c r="B10" s="3453" t="s">
        <v>2860</v>
      </c>
      <c r="C10" s="3454"/>
      <c r="D10" s="3069">
        <f>ROUND(D6*E10,0)</f>
        <v>0</v>
      </c>
      <c r="E10" s="3073"/>
      <c r="F10" s="3074" t="s">
        <v>2861</v>
      </c>
      <c r="G10" s="3053"/>
      <c r="H10" s="3028"/>
      <c r="I10" s="3029"/>
      <c r="J10" s="3436"/>
      <c r="K10" s="3438"/>
      <c r="L10" s="3063" t="s">
        <v>2862</v>
      </c>
      <c r="M10" s="3064"/>
      <c r="N10" s="3040"/>
      <c r="O10" s="3065"/>
      <c r="P10" s="3065"/>
      <c r="Q10" s="3066">
        <v>365</v>
      </c>
      <c r="R10" s="3067">
        <f t="shared" si="0"/>
        <v>0</v>
      </c>
      <c r="S10" s="3021"/>
      <c r="T10" s="3021"/>
      <c r="U10" s="3021"/>
      <c r="V10" s="3029"/>
    </row>
    <row r="11" spans="1:22" s="3033" customFormat="1" ht="13.15" customHeight="1">
      <c r="A11" s="3068">
        <v>3</v>
      </c>
      <c r="B11" s="3453" t="s">
        <v>2863</v>
      </c>
      <c r="C11" s="3454"/>
      <c r="D11" s="3069">
        <f>D12+D14+D15+D16</f>
        <v>0</v>
      </c>
      <c r="E11" s="3075" t="e">
        <f>D11/D6</f>
        <v>#DIV/0!</v>
      </c>
      <c r="F11" s="3071"/>
      <c r="G11" s="3072"/>
      <c r="H11" s="3028"/>
      <c r="I11" s="3029"/>
      <c r="J11" s="3436"/>
      <c r="K11" s="3438"/>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46" t="s">
        <v>2866</v>
      </c>
      <c r="C12" s="3447"/>
      <c r="D12" s="3077">
        <f>ROUND(D13*1.2%*(1-30%),0)</f>
        <v>0</v>
      </c>
      <c r="E12" s="3078">
        <v>1.2E-2</v>
      </c>
      <c r="F12" s="3071" t="s">
        <v>2867</v>
      </c>
      <c r="G12" s="3072"/>
      <c r="H12" s="3028"/>
      <c r="I12" s="3029"/>
      <c r="J12" s="3436"/>
      <c r="K12" s="3438"/>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36"/>
      <c r="K13" s="3438"/>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46" t="s">
        <v>2872</v>
      </c>
      <c r="C14" s="3447"/>
      <c r="D14" s="3077">
        <f>ROUND(E14*B5/10000,0)</f>
        <v>0</v>
      </c>
      <c r="E14" s="3066"/>
      <c r="F14" s="3071" t="s">
        <v>2873</v>
      </c>
      <c r="G14" s="3072"/>
      <c r="H14" s="3028"/>
      <c r="I14" s="3029"/>
      <c r="J14" s="3436"/>
      <c r="K14" s="3439"/>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46" t="s">
        <v>2876</v>
      </c>
      <c r="C15" s="3447"/>
      <c r="D15" s="3077">
        <f>ROUND(D6*E15,0)</f>
        <v>0</v>
      </c>
      <c r="E15" s="3078">
        <v>5.5E-2</v>
      </c>
      <c r="F15" s="3071" t="s">
        <v>2877</v>
      </c>
      <c r="G15" s="3053"/>
      <c r="H15" s="3028"/>
      <c r="I15" s="3029"/>
      <c r="J15" s="3436">
        <v>2</v>
      </c>
      <c r="K15" s="3437"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46" t="s">
        <v>2885</v>
      </c>
      <c r="C16" s="3447"/>
      <c r="D16" s="3088">
        <f>D6*E16</f>
        <v>0</v>
      </c>
      <c r="E16" s="3089"/>
      <c r="F16" s="3074" t="s">
        <v>2886</v>
      </c>
      <c r="G16" s="3053"/>
      <c r="H16" s="3028"/>
      <c r="I16" s="3029"/>
      <c r="J16" s="3436"/>
      <c r="K16" s="3438"/>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48" t="s">
        <v>2888</v>
      </c>
      <c r="C17" s="3449"/>
      <c r="D17" s="3091">
        <f>ROUND(D6*E17,0)</f>
        <v>0</v>
      </c>
      <c r="E17" s="3092"/>
      <c r="F17" s="3093" t="s">
        <v>2889</v>
      </c>
      <c r="G17" s="3053"/>
      <c r="H17" s="3028"/>
      <c r="I17" s="3029"/>
      <c r="J17" s="3436"/>
      <c r="K17" s="3438"/>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36"/>
      <c r="K18" s="3438"/>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36"/>
      <c r="K19" s="3439"/>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6">
        <v>3</v>
      </c>
      <c r="K20" s="3437"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36"/>
      <c r="K21" s="3438"/>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36"/>
      <c r="K22" s="3438"/>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36"/>
      <c r="K23" s="3438"/>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36"/>
      <c r="K24" s="3439"/>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40">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41"/>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42" t="s">
        <v>2821</v>
      </c>
      <c r="K32" s="3443"/>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44" t="s">
        <v>2831</v>
      </c>
      <c r="K33" s="3445"/>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44" t="s">
        <v>2833</v>
      </c>
      <c r="K34" s="3445"/>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36">
        <v>1</v>
      </c>
      <c r="K36" s="3437"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36"/>
      <c r="K37" s="3438"/>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6"/>
      <c r="K38" s="3438"/>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36"/>
      <c r="K39" s="3438"/>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36"/>
      <c r="K40" s="3439"/>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40">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41"/>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13368</v>
      </c>
      <c r="C2" s="2009" t="s">
        <v>2099</v>
      </c>
      <c r="D2" s="2010" t="s">
        <v>2100</v>
      </c>
      <c r="E2" s="2782">
        <f>SUM(E6:E13)</f>
        <v>10083.39</v>
      </c>
      <c r="F2" s="2885"/>
      <c r="G2" s="1625"/>
      <c r="H2" s="1625"/>
      <c r="I2" s="1625"/>
      <c r="J2" s="1625"/>
      <c r="K2" s="1625"/>
      <c r="L2" s="1625"/>
      <c r="M2" s="1625"/>
      <c r="N2" s="1625"/>
      <c r="O2" s="1625"/>
      <c r="P2" s="1625"/>
      <c r="Q2" s="1625"/>
      <c r="R2" s="1625"/>
      <c r="S2" s="1625"/>
    </row>
    <row r="3" spans="1:22" ht="15.75">
      <c r="A3" s="2007" t="s">
        <v>1119</v>
      </c>
      <c r="B3" s="2776">
        <f ca="1">ROUND(B2*10000/E2,0)</f>
        <v>13257</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55" t="s">
        <v>2102</v>
      </c>
      <c r="C5" s="3456"/>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13368</v>
      </c>
      <c r="C6" s="2009" t="s">
        <v>2099</v>
      </c>
      <c r="D6" s="2887"/>
      <c r="E6" s="2781">
        <f>IF(OR(A6=0,F6="否"),0,'数据-取费表'!K6+'数据-取费表'!S6)</f>
        <v>10083.39</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10083.39</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3"/>
      <c r="M4" s="2894"/>
      <c r="N4" s="2894"/>
      <c r="O4" s="2894"/>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ht="15">
      <c r="A5" s="364"/>
      <c r="B5" s="365"/>
      <c r="C5" s="3494" t="s">
        <v>2122</v>
      </c>
      <c r="D5" s="3495"/>
      <c r="E5" s="3501" t="s">
        <v>2123</v>
      </c>
      <c r="F5" s="3502"/>
      <c r="G5" s="3494" t="s">
        <v>2124</v>
      </c>
      <c r="H5" s="3495"/>
      <c r="I5" s="3494" t="s">
        <v>2125</v>
      </c>
      <c r="J5" s="3495"/>
      <c r="K5" s="202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202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44697</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70"/>
      <c r="Q18" s="1487"/>
      <c r="R18" s="714"/>
      <c r="S18" s="715"/>
      <c r="T18" s="714"/>
      <c r="U18" s="715"/>
      <c r="V18" s="714"/>
      <c r="W18" s="715"/>
      <c r="X18" s="1490"/>
      <c r="Y18" s="346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70"/>
      <c r="Q20" s="1487"/>
      <c r="R20" s="714"/>
      <c r="S20" s="715"/>
      <c r="T20" s="714"/>
      <c r="U20" s="715"/>
      <c r="V20" s="714"/>
      <c r="W20" s="715"/>
      <c r="X20" s="1490"/>
      <c r="Y20" s="346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70"/>
      <c r="Q22" s="1487"/>
      <c r="R22" s="714"/>
      <c r="S22" s="715"/>
      <c r="T22" s="714"/>
      <c r="U22" s="715"/>
      <c r="V22" s="714"/>
      <c r="W22" s="715"/>
      <c r="X22" s="1490"/>
      <c r="Y22" s="346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2"/>
      <c r="M48" s="2903"/>
      <c r="N48" s="2903"/>
      <c r="O48" s="290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10083.39</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91"/>
      <c r="AC5" s="3473"/>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91"/>
      <c r="AC6" s="3474"/>
    </row>
    <row r="7" spans="1:29" s="113" customFormat="1" ht="15.75" thickBot="1">
      <c r="A7" s="368" t="s">
        <v>2128</v>
      </c>
      <c r="B7" s="369"/>
      <c r="C7" s="370">
        <f>'数据-取费表'!B2</f>
        <v>44697</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70"/>
      <c r="Q18" s="1487"/>
      <c r="R18" s="714"/>
      <c r="S18" s="715"/>
      <c r="T18" s="714"/>
      <c r="U18" s="715"/>
      <c r="V18" s="714"/>
      <c r="W18" s="715"/>
      <c r="X18" s="1490"/>
      <c r="Y18" s="346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70"/>
      <c r="Q20" s="1487"/>
      <c r="R20" s="714"/>
      <c r="S20" s="715"/>
      <c r="T20" s="714"/>
      <c r="U20" s="715"/>
      <c r="V20" s="714"/>
      <c r="W20" s="715"/>
      <c r="X20" s="1490"/>
      <c r="Y20" s="346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70"/>
      <c r="Q22" s="1487"/>
      <c r="R22" s="714"/>
      <c r="S22" s="715"/>
      <c r="T22" s="714"/>
      <c r="U22" s="715"/>
      <c r="V22" s="714"/>
      <c r="W22" s="715"/>
      <c r="X22" s="1490"/>
      <c r="Y22" s="346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2"/>
      <c r="M48" s="2903"/>
      <c r="N48" s="2894"/>
      <c r="O48" s="2903"/>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10083.39</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ht="15">
      <c r="A5" s="364"/>
      <c r="B5" s="365"/>
      <c r="C5" s="3494" t="s">
        <v>2122</v>
      </c>
      <c r="D5" s="3495"/>
      <c r="E5" s="3501" t="s">
        <v>2123</v>
      </c>
      <c r="F5" s="3502"/>
      <c r="G5" s="3494" t="s">
        <v>2124</v>
      </c>
      <c r="H5" s="3495"/>
      <c r="I5" s="3494" t="s">
        <v>2125</v>
      </c>
      <c r="J5" s="3495"/>
      <c r="K5" s="567"/>
      <c r="L5" s="2893"/>
      <c r="M5" s="2894"/>
      <c r="N5" s="2894"/>
      <c r="O5" s="2894"/>
      <c r="P5" s="3511"/>
      <c r="Q5" s="3482"/>
      <c r="R5" s="3487"/>
      <c r="S5" s="3488"/>
      <c r="T5" s="3487"/>
      <c r="U5" s="3488"/>
      <c r="V5" s="3491"/>
      <c r="W5" s="3491"/>
      <c r="X5" s="1490"/>
      <c r="Y5" s="3487"/>
      <c r="Z5" s="3488"/>
      <c r="AA5" s="3473"/>
      <c r="AB5" s="3473"/>
      <c r="AC5" s="3507"/>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512"/>
      <c r="Q6" s="3484"/>
      <c r="R6" s="3487"/>
      <c r="S6" s="3488"/>
      <c r="T6" s="3489"/>
      <c r="U6" s="3490"/>
      <c r="V6" s="3491"/>
      <c r="W6" s="3491"/>
      <c r="X6" s="1490"/>
      <c r="Y6" s="3489"/>
      <c r="Z6" s="3490"/>
      <c r="AA6" s="3474"/>
      <c r="AB6" s="3474"/>
      <c r="AC6" s="3508"/>
    </row>
    <row r="7" spans="1:29" s="113" customFormat="1" ht="15.75" thickBot="1">
      <c r="A7" s="368" t="s">
        <v>2128</v>
      </c>
      <c r="B7" s="369"/>
      <c r="C7" s="370">
        <f>'数据-取费表'!B2</f>
        <v>44697</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70"/>
      <c r="Q16" s="1487"/>
      <c r="R16" s="714"/>
      <c r="S16" s="715"/>
      <c r="T16" s="714"/>
      <c r="U16" s="715"/>
      <c r="V16" s="714"/>
      <c r="W16" s="715"/>
      <c r="X16" s="1490"/>
      <c r="Y16" s="346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70"/>
      <c r="Q18" s="1487"/>
      <c r="R18" s="714"/>
      <c r="S18" s="715"/>
      <c r="T18" s="714"/>
      <c r="U18" s="715"/>
      <c r="V18" s="714"/>
      <c r="W18" s="715"/>
      <c r="X18" s="1490"/>
      <c r="Y18" s="346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70"/>
      <c r="Q20" s="1487"/>
      <c r="R20" s="714"/>
      <c r="S20" s="715"/>
      <c r="T20" s="714"/>
      <c r="U20" s="715"/>
      <c r="V20" s="714"/>
      <c r="W20" s="715"/>
      <c r="X20" s="1490"/>
      <c r="Y20" s="346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70"/>
      <c r="Q22" s="1487"/>
      <c r="R22" s="714"/>
      <c r="S22" s="715"/>
      <c r="T22" s="714"/>
      <c r="U22" s="715"/>
      <c r="V22" s="714"/>
      <c r="W22" s="715"/>
      <c r="X22" s="1490"/>
      <c r="Y22" s="346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70"/>
      <c r="Q24" s="1487"/>
      <c r="R24" s="714"/>
      <c r="S24" s="715"/>
      <c r="T24" s="714"/>
      <c r="U24" s="715"/>
      <c r="V24" s="714"/>
      <c r="W24" s="715"/>
      <c r="X24" s="1490"/>
      <c r="Y24" s="346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2"/>
      <c r="M49" s="2894"/>
      <c r="N49" s="2894"/>
      <c r="O49" s="2894"/>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10083.39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44697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估价对象为北京市房地产，为所有。根据《国有土地使用证》[]，估价对象（分摊）出让国有建设用地使用权面积为30128平方米，建筑面积为10083.39平方米。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估价对象为北京市房地产,属开发建设的工业项目，该项目尚在开发建设中。根据《国有土地使用证》[]，估价对象（分摊）出让国有建设用地使用权面积为30128平方米，规划建筑面积为10083.39平方米。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8.75">
      <c r="A14" s="1621" t="s">
        <v>1342</v>
      </c>
    </row>
    <row r="15" spans="1:1" ht="18">
      <c r="A15" s="1622" t="str">
        <f>TEXT(项目基本情况!D3,"yyyy年m月d日;;")&amp;IF(项目基本情况!D3=项目基本情况!B3,"（评估专业人员实地查勘之日）","")</f>
        <v>2022年5月16日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44697</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3"/>
      <c r="Q15" s="1487"/>
      <c r="R15" s="714"/>
      <c r="S15" s="715"/>
      <c r="T15" s="714"/>
      <c r="U15" s="715"/>
      <c r="V15" s="714"/>
      <c r="W15" s="715"/>
      <c r="X15" s="1490"/>
      <c r="Y15" s="346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63"/>
      <c r="Q17" s="1487"/>
      <c r="R17" s="714"/>
      <c r="S17" s="715"/>
      <c r="T17" s="714"/>
      <c r="U17" s="715"/>
      <c r="V17" s="714"/>
      <c r="W17" s="715"/>
      <c r="X17" s="1490"/>
      <c r="Y17" s="346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63"/>
      <c r="Q19" s="1487"/>
      <c r="R19" s="714"/>
      <c r="S19" s="715"/>
      <c r="T19" s="714"/>
      <c r="U19" s="715"/>
      <c r="V19" s="714"/>
      <c r="W19" s="715"/>
      <c r="X19" s="1490"/>
      <c r="Y19" s="346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2"/>
      <c r="M38" s="2903"/>
      <c r="N38" s="2903"/>
      <c r="O38" s="2903"/>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44697</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3"/>
      <c r="Q15" s="1487"/>
      <c r="R15" s="714"/>
      <c r="S15" s="715"/>
      <c r="T15" s="714"/>
      <c r="U15" s="715"/>
      <c r="V15" s="714"/>
      <c r="W15" s="715"/>
      <c r="X15" s="1490"/>
      <c r="Y15" s="346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63"/>
      <c r="Q17" s="1487"/>
      <c r="R17" s="714"/>
      <c r="S17" s="715"/>
      <c r="T17" s="714"/>
      <c r="U17" s="715"/>
      <c r="V17" s="714"/>
      <c r="W17" s="715"/>
      <c r="X17" s="1490"/>
      <c r="Y17" s="346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63"/>
      <c r="Q19" s="1487"/>
      <c r="R19" s="714"/>
      <c r="S19" s="715"/>
      <c r="T19" s="714"/>
      <c r="U19" s="715"/>
      <c r="V19" s="714"/>
      <c r="W19" s="715"/>
      <c r="X19" s="1490"/>
      <c r="Y19" s="346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2"/>
      <c r="M36" s="2903"/>
      <c r="N36" s="2894"/>
      <c r="O36" s="2903"/>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ht="15">
      <c r="A5" s="364"/>
      <c r="B5" s="365"/>
      <c r="C5" s="3494" t="s">
        <v>2122</v>
      </c>
      <c r="D5" s="3495"/>
      <c r="E5" s="3501" t="s">
        <v>2123</v>
      </c>
      <c r="F5" s="3502"/>
      <c r="G5" s="3494" t="s">
        <v>2124</v>
      </c>
      <c r="H5" s="3495"/>
      <c r="I5" s="3494" t="s">
        <v>2125</v>
      </c>
      <c r="J5" s="3495"/>
      <c r="K5" s="567"/>
      <c r="L5" s="2893"/>
      <c r="M5" s="2894"/>
      <c r="N5" s="2894"/>
      <c r="O5" s="2894"/>
      <c r="P5" s="3481"/>
      <c r="Q5" s="3482"/>
      <c r="R5" s="3487"/>
      <c r="S5" s="3488"/>
      <c r="T5" s="3487"/>
      <c r="U5" s="3488"/>
      <c r="V5" s="3491"/>
      <c r="W5" s="3491"/>
      <c r="X5" s="1490"/>
      <c r="Y5" s="3487"/>
      <c r="Z5" s="3488"/>
      <c r="AA5" s="3473"/>
      <c r="AB5" s="3473"/>
      <c r="AC5" s="3473"/>
    </row>
    <row r="6" spans="1:30" ht="15.75" thickBot="1">
      <c r="A6" s="366"/>
      <c r="B6" s="367"/>
      <c r="C6" s="3492" t="s">
        <v>2126</v>
      </c>
      <c r="D6" s="3493"/>
      <c r="E6" s="3499" t="s">
        <v>2126</v>
      </c>
      <c r="F6" s="3500"/>
      <c r="G6" s="3492" t="s">
        <v>2126</v>
      </c>
      <c r="H6" s="3493"/>
      <c r="I6" s="3492" t="s">
        <v>2126</v>
      </c>
      <c r="J6" s="3493"/>
      <c r="K6" s="567" t="s">
        <v>2127</v>
      </c>
      <c r="L6" s="2893"/>
      <c r="M6" s="2894"/>
      <c r="N6" s="2894"/>
      <c r="O6" s="2894"/>
      <c r="P6" s="3483"/>
      <c r="Q6" s="3484"/>
      <c r="R6" s="3487"/>
      <c r="S6" s="3488"/>
      <c r="T6" s="3489"/>
      <c r="U6" s="3490"/>
      <c r="V6" s="3491"/>
      <c r="W6" s="3491"/>
      <c r="X6" s="1490"/>
      <c r="Y6" s="3489"/>
      <c r="Z6" s="3490"/>
      <c r="AA6" s="3474"/>
      <c r="AB6" s="3474"/>
      <c r="AC6" s="3474"/>
    </row>
    <row r="7" spans="1:30" s="113" customFormat="1" ht="15.75" thickBot="1">
      <c r="A7" s="368" t="s">
        <v>2128</v>
      </c>
      <c r="B7" s="369"/>
      <c r="C7" s="370">
        <f>'数据-取费表'!B2</f>
        <v>44697</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118</v>
      </c>
      <c r="G10" s="422"/>
      <c r="H10" s="132">
        <f>ROUND(100/'数据-取费表'!G16,0)</f>
        <v>118</v>
      </c>
      <c r="I10" s="422"/>
      <c r="J10" s="132">
        <f>ROUND(100/'数据-取费表'!G16,0)</f>
        <v>118</v>
      </c>
      <c r="K10" s="628"/>
      <c r="L10" s="2897"/>
      <c r="M10" s="2898"/>
      <c r="N10" s="2898"/>
      <c r="O10" s="2951"/>
      <c r="P10" s="3460"/>
      <c r="Q10" s="1478" t="str">
        <f t="shared" si="6"/>
        <v>土地使用年限（年）</v>
      </c>
      <c r="R10" s="710" t="s">
        <v>17</v>
      </c>
      <c r="S10" s="711">
        <f t="shared" si="0"/>
        <v>118</v>
      </c>
      <c r="T10" s="710" t="s">
        <v>17</v>
      </c>
      <c r="U10" s="711">
        <f t="shared" si="1"/>
        <v>118</v>
      </c>
      <c r="V10" s="710" t="s">
        <v>17</v>
      </c>
      <c r="W10" s="711">
        <f t="shared" si="2"/>
        <v>118</v>
      </c>
      <c r="X10" s="712"/>
      <c r="Y10" s="3332"/>
      <c r="Z10" s="55" t="str">
        <f t="shared" si="7"/>
        <v>土地使用年限（年）</v>
      </c>
      <c r="AA10" s="713">
        <f t="shared" si="3"/>
        <v>0.84745762711864403</v>
      </c>
      <c r="AB10" s="713">
        <f t="shared" si="4"/>
        <v>0.84745762711864403</v>
      </c>
      <c r="AC10" s="713">
        <f t="shared" si="5"/>
        <v>0.84745762711864403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63"/>
      <c r="Q16" s="1487"/>
      <c r="R16" s="714"/>
      <c r="S16" s="715"/>
      <c r="T16" s="714"/>
      <c r="U16" s="715"/>
      <c r="V16" s="714"/>
      <c r="W16" s="715"/>
      <c r="X16" s="1490"/>
      <c r="Y16" s="346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63"/>
      <c r="Q18" s="1487"/>
      <c r="R18" s="714"/>
      <c r="S18" s="715"/>
      <c r="T18" s="714"/>
      <c r="U18" s="715"/>
      <c r="V18" s="714"/>
      <c r="W18" s="715"/>
      <c r="X18" s="1490"/>
      <c r="Y18" s="346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63"/>
      <c r="Q20" s="1487"/>
      <c r="R20" s="714"/>
      <c r="S20" s="715"/>
      <c r="T20" s="714"/>
      <c r="U20" s="715"/>
      <c r="V20" s="714"/>
      <c r="W20" s="715"/>
      <c r="X20" s="1490"/>
      <c r="Y20" s="346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63"/>
      <c r="Q22" s="1487"/>
      <c r="R22" s="714"/>
      <c r="S22" s="715"/>
      <c r="T22" s="714"/>
      <c r="U22" s="715"/>
      <c r="V22" s="714"/>
      <c r="W22" s="715"/>
      <c r="X22" s="1490"/>
      <c r="Y22" s="346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63"/>
      <c r="Q24" s="1487"/>
      <c r="R24" s="714"/>
      <c r="S24" s="715"/>
      <c r="T24" s="714"/>
      <c r="U24" s="715"/>
      <c r="V24" s="714"/>
      <c r="W24" s="715"/>
      <c r="X24" s="1490"/>
      <c r="Y24" s="346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63"/>
      <c r="Q26" s="1487"/>
      <c r="R26" s="714"/>
      <c r="S26" s="715"/>
      <c r="T26" s="714"/>
      <c r="U26" s="715"/>
      <c r="V26" s="714"/>
      <c r="W26" s="715"/>
      <c r="X26" s="1490"/>
      <c r="Y26" s="346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63"/>
      <c r="Q28" s="1478"/>
      <c r="R28" s="710"/>
      <c r="S28" s="711"/>
      <c r="T28" s="710"/>
      <c r="U28" s="711"/>
      <c r="V28" s="710"/>
      <c r="W28" s="711"/>
      <c r="X28" s="712"/>
      <c r="Y28" s="346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60" t="str">
        <f>A46</f>
        <v>成交单价</v>
      </c>
      <c r="Q46" s="3460"/>
      <c r="R46" s="3491">
        <f>E46</f>
        <v>0</v>
      </c>
      <c r="S46" s="3491"/>
      <c r="T46" s="3491">
        <f>G46</f>
        <v>0</v>
      </c>
      <c r="U46" s="3491"/>
      <c r="V46" s="3491">
        <f>I46</f>
        <v>0</v>
      </c>
      <c r="W46" s="3491"/>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2"/>
      <c r="M47" s="2903"/>
      <c r="N47" s="2903"/>
      <c r="O47" s="2903"/>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10083.39</v>
      </c>
      <c r="F56" s="998" t="e">
        <f t="shared" ref="F56:F64" si="15">ROUND(B56*E56/10000,0)</f>
        <v>#DIV/0!</v>
      </c>
      <c r="G56" s="3471"/>
      <c r="H56" s="3460"/>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10083.39</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E41" sqref="E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3"/>
      <c r="M4" s="2894"/>
      <c r="N4" s="2894"/>
      <c r="O4" s="2894"/>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f>sheet1!A2</f>
        <v>0</v>
      </c>
      <c r="F5" s="3502"/>
      <c r="G5" s="3494">
        <f>sheet1!A3</f>
        <v>0</v>
      </c>
      <c r="H5" s="3495"/>
      <c r="I5" s="3494">
        <f>sheet1!A15</f>
        <v>0</v>
      </c>
      <c r="J5" s="3495"/>
      <c r="K5" s="567"/>
      <c r="L5" s="2893"/>
      <c r="M5" s="2894"/>
      <c r="N5" s="2894"/>
      <c r="O5" s="2894"/>
      <c r="P5" s="3481"/>
      <c r="Q5" s="3482"/>
      <c r="R5" s="3487"/>
      <c r="S5" s="3488"/>
      <c r="T5" s="3487"/>
      <c r="U5" s="3488"/>
      <c r="V5" s="3491"/>
      <c r="W5" s="3491"/>
      <c r="X5" s="1490"/>
      <c r="Y5" s="3487"/>
      <c r="Z5" s="3488"/>
      <c r="AA5" s="3473"/>
      <c r="AB5" s="3473"/>
      <c r="AC5" s="3473"/>
    </row>
    <row r="6" spans="1:29" ht="15.75" thickBot="1">
      <c r="A6" s="366"/>
      <c r="B6" s="367"/>
      <c r="C6" s="3523" t="s">
        <v>2376</v>
      </c>
      <c r="D6" s="3524"/>
      <c r="E6" s="3525" t="s">
        <v>2376</v>
      </c>
      <c r="F6" s="3526"/>
      <c r="G6" s="3523" t="s">
        <v>2376</v>
      </c>
      <c r="H6" s="3524"/>
      <c r="I6" s="3523" t="s">
        <v>2376</v>
      </c>
      <c r="J6" s="3524"/>
      <c r="K6" s="567" t="s">
        <v>2127</v>
      </c>
      <c r="L6" s="2893"/>
      <c r="M6" s="2894"/>
      <c r="N6" s="2894"/>
      <c r="O6" s="2894"/>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44697</v>
      </c>
      <c r="D7" s="371">
        <v>100</v>
      </c>
      <c r="E7" s="372">
        <f>sheet1!J2</f>
        <v>0</v>
      </c>
      <c r="F7" s="373">
        <f>SUMIF(65:65,YEAR(E7)&amp;"-"&amp;INT((MONTH(E7)+2)/3),66:66)</f>
        <v>0</v>
      </c>
      <c r="G7" s="2111">
        <f>sheet1!J3</f>
        <v>0</v>
      </c>
      <c r="H7" s="371">
        <f>SUMIF(65:65,YEAR(G7)&amp;"-"&amp;INT((MONTH(G7)+2)/3),66:66)</f>
        <v>0</v>
      </c>
      <c r="I7" s="2111">
        <f>sheet1!J15</f>
        <v>0</v>
      </c>
      <c r="J7" s="371">
        <f>SUMIF(65:65,YEAR(I7)&amp;"-"&amp;INT((MONTH(I7)+2)/3),66:66)</f>
        <v>0</v>
      </c>
      <c r="K7" s="568"/>
      <c r="L7" s="2895"/>
      <c r="M7" s="2896"/>
      <c r="N7" s="2896"/>
      <c r="O7" s="2896"/>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t="s">
        <v>3204</v>
      </c>
      <c r="F8" s="373">
        <f>SUMIF(68:68,E8,69:69)-SUMIF(68:68,C8,69:69)+100</f>
        <v>100</v>
      </c>
      <c r="G8" s="374" t="s">
        <v>3204</v>
      </c>
      <c r="H8" s="371">
        <f>SUMIF(68:68,G8,69:69)-SUMIF(68:68,C8,69:69)+100</f>
        <v>100</v>
      </c>
      <c r="I8" s="374" t="s">
        <v>3204</v>
      </c>
      <c r="J8" s="371">
        <f>SUMIF(68:68,I8,69:69)-SUMIF(68:68,C8,69:69)+100</f>
        <v>100</v>
      </c>
      <c r="K8" s="568"/>
      <c r="L8" s="2895"/>
      <c r="M8" s="2896"/>
      <c r="N8" s="2896"/>
      <c r="O8" s="2896"/>
      <c r="P8" s="3496" t="s">
        <v>2132</v>
      </c>
      <c r="Q8" s="3497"/>
      <c r="R8" s="710" t="s">
        <v>17</v>
      </c>
      <c r="S8" s="711">
        <f t="shared" si="0"/>
        <v>100</v>
      </c>
      <c r="T8" s="710" t="s">
        <v>17</v>
      </c>
      <c r="U8" s="711">
        <f t="shared" si="1"/>
        <v>100</v>
      </c>
      <c r="V8" s="710" t="s">
        <v>17</v>
      </c>
      <c r="W8" s="711">
        <f t="shared" si="2"/>
        <v>100</v>
      </c>
      <c r="X8" s="712"/>
      <c r="Y8" s="3496" t="s">
        <v>2132</v>
      </c>
      <c r="Z8" s="3497"/>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5"/>
      <c r="M9" s="2896"/>
      <c r="N9" s="2896"/>
      <c r="O9" s="2950"/>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118</v>
      </c>
      <c r="G10" s="391"/>
      <c r="H10" s="132">
        <f>ROUND(100/'数据-取费表'!G16,0)</f>
        <v>118</v>
      </c>
      <c r="I10" s="391"/>
      <c r="J10" s="132">
        <f>ROUND(100/'数据-取费表'!G16,0)</f>
        <v>118</v>
      </c>
      <c r="K10" s="628"/>
      <c r="L10" s="2897"/>
      <c r="M10" s="2898"/>
      <c r="N10" s="2898"/>
      <c r="O10" s="2951"/>
      <c r="P10" s="3460"/>
      <c r="Q10" s="1478" t="str">
        <f t="shared" si="6"/>
        <v>土地使用年限（年）</v>
      </c>
      <c r="R10" s="710" t="s">
        <v>17</v>
      </c>
      <c r="S10" s="711">
        <f t="shared" si="0"/>
        <v>118</v>
      </c>
      <c r="T10" s="710" t="s">
        <v>17</v>
      </c>
      <c r="U10" s="711">
        <f t="shared" si="1"/>
        <v>118</v>
      </c>
      <c r="V10" s="710" t="s">
        <v>17</v>
      </c>
      <c r="W10" s="711">
        <f t="shared" si="2"/>
        <v>118</v>
      </c>
      <c r="X10" s="712"/>
      <c r="Y10" s="3332"/>
      <c r="Z10" s="55" t="str">
        <f t="shared" si="7"/>
        <v>土地使用年限（年）</v>
      </c>
      <c r="AA10" s="713">
        <f t="shared" si="3"/>
        <v>0.84745762711864403</v>
      </c>
      <c r="AB10" s="713">
        <f t="shared" si="4"/>
        <v>0.84745762711864403</v>
      </c>
      <c r="AC10" s="713">
        <f t="shared" si="5"/>
        <v>0.84745762711864403</v>
      </c>
    </row>
    <row r="11" spans="1:29" ht="15">
      <c r="A11" s="387"/>
      <c r="B11" s="381" t="s">
        <v>2138</v>
      </c>
      <c r="C11" s="388">
        <f>'数据-汇总表'!I6</f>
        <v>0.33</v>
      </c>
      <c r="D11" s="132">
        <v>100</v>
      </c>
      <c r="E11" s="388">
        <v>1.54</v>
      </c>
      <c r="F11" s="132">
        <f>LOOKUP(E11,75:75,76:76)-LOOKUP(C11,75:75,76:76)+100</f>
        <v>98</v>
      </c>
      <c r="G11" s="389">
        <v>0.9</v>
      </c>
      <c r="H11" s="132">
        <f>LOOKUP(G11,75:75,76:76)-LOOKUP(C11,75:75,76:76)+100</f>
        <v>100</v>
      </c>
      <c r="I11" s="388">
        <v>1.5</v>
      </c>
      <c r="J11" s="132">
        <f>LOOKUP(I11,75:75,76:76)-LOOKUP(C11,75:75,76:76)+100</f>
        <v>98</v>
      </c>
      <c r="K11" s="629">
        <v>2</v>
      </c>
      <c r="L11" s="2899"/>
      <c r="M11" s="2894"/>
      <c r="N11" s="2894"/>
      <c r="O11" s="2952"/>
      <c r="P11" s="3460"/>
      <c r="Q11" s="1478" t="str">
        <f t="shared" si="6"/>
        <v>容积率</v>
      </c>
      <c r="R11" s="710" t="s">
        <v>17</v>
      </c>
      <c r="S11" s="711">
        <f t="shared" si="0"/>
        <v>98</v>
      </c>
      <c r="T11" s="710" t="s">
        <v>17</v>
      </c>
      <c r="U11" s="711">
        <f t="shared" si="1"/>
        <v>100</v>
      </c>
      <c r="V11" s="710" t="s">
        <v>17</v>
      </c>
      <c r="W11" s="711">
        <f t="shared" si="2"/>
        <v>98</v>
      </c>
      <c r="X11" s="712"/>
      <c r="Y11" s="3332"/>
      <c r="Z11" s="55" t="str">
        <f t="shared" si="7"/>
        <v>容积率</v>
      </c>
      <c r="AA11" s="713">
        <f t="shared" si="3"/>
        <v>1.0204081632653061</v>
      </c>
      <c r="AB11" s="713">
        <f t="shared" si="4"/>
        <v>1</v>
      </c>
      <c r="AC11" s="713">
        <f t="shared" si="5"/>
        <v>1.0204081632653061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t="s">
        <v>3201</v>
      </c>
      <c r="D16" s="407"/>
      <c r="E16" s="406" t="s">
        <v>3201</v>
      </c>
      <c r="F16" s="407"/>
      <c r="G16" s="406" t="s">
        <v>3201</v>
      </c>
      <c r="H16" s="409"/>
      <c r="I16" s="406" t="s">
        <v>3201</v>
      </c>
      <c r="J16" s="407"/>
      <c r="K16" s="628"/>
      <c r="L16" s="2900"/>
      <c r="M16" s="2894"/>
      <c r="N16" s="2894"/>
      <c r="O16" s="2952"/>
      <c r="P16" s="3463"/>
      <c r="Q16" s="1487"/>
      <c r="R16" s="714"/>
      <c r="S16" s="715"/>
      <c r="T16" s="714"/>
      <c r="U16" s="715"/>
      <c r="V16" s="714"/>
      <c r="W16" s="715"/>
      <c r="X16" s="1490"/>
      <c r="Y16" s="346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t="s">
        <v>3201</v>
      </c>
      <c r="D18" s="407"/>
      <c r="E18" s="406" t="s">
        <v>3201</v>
      </c>
      <c r="F18" s="407"/>
      <c r="G18" s="406" t="s">
        <v>3201</v>
      </c>
      <c r="H18" s="407"/>
      <c r="I18" s="406" t="s">
        <v>3201</v>
      </c>
      <c r="J18" s="407"/>
      <c r="K18" s="628"/>
      <c r="L18" s="2900"/>
      <c r="M18" s="2894"/>
      <c r="N18" s="2894"/>
      <c r="O18" s="2952"/>
      <c r="P18" s="3463"/>
      <c r="Q18" s="1487"/>
      <c r="R18" s="714"/>
      <c r="S18" s="715"/>
      <c r="T18" s="714"/>
      <c r="U18" s="715"/>
      <c r="V18" s="714"/>
      <c r="W18" s="715"/>
      <c r="X18" s="1490"/>
      <c r="Y18" s="346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t="s">
        <v>3201</v>
      </c>
      <c r="D20" s="407"/>
      <c r="E20" s="406" t="s">
        <v>3201</v>
      </c>
      <c r="F20" s="407"/>
      <c r="G20" s="406" t="s">
        <v>3201</v>
      </c>
      <c r="H20" s="407"/>
      <c r="I20" s="406" t="s">
        <v>3201</v>
      </c>
      <c r="J20" s="407"/>
      <c r="K20" s="751"/>
      <c r="L20" s="2900"/>
      <c r="M20" s="2894"/>
      <c r="N20" s="2894"/>
      <c r="O20" s="2952"/>
      <c r="P20" s="3463"/>
      <c r="Q20" s="1487"/>
      <c r="R20" s="714"/>
      <c r="S20" s="715"/>
      <c r="T20" s="714"/>
      <c r="U20" s="715"/>
      <c r="V20" s="714"/>
      <c r="W20" s="715"/>
      <c r="X20" s="1490"/>
      <c r="Y20" s="346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t="s">
        <v>3201</v>
      </c>
      <c r="D22" s="407"/>
      <c r="E22" s="406" t="s">
        <v>3201</v>
      </c>
      <c r="F22" s="407"/>
      <c r="G22" s="406" t="s">
        <v>3201</v>
      </c>
      <c r="H22" s="407"/>
      <c r="I22" s="406" t="s">
        <v>3201</v>
      </c>
      <c r="J22" s="407"/>
      <c r="K22" s="628"/>
      <c r="L22" s="2900"/>
      <c r="M22" s="2894"/>
      <c r="N22" s="2894"/>
      <c r="O22" s="2952"/>
      <c r="P22" s="3463"/>
      <c r="Q22" s="1487"/>
      <c r="R22" s="714"/>
      <c r="S22" s="715"/>
      <c r="T22" s="714"/>
      <c r="U22" s="715"/>
      <c r="V22" s="714"/>
      <c r="W22" s="715"/>
      <c r="X22" s="1490"/>
      <c r="Y22" s="346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t="s">
        <v>3201</v>
      </c>
      <c r="D24" s="407"/>
      <c r="E24" s="2115" t="s">
        <v>3201</v>
      </c>
      <c r="F24" s="407"/>
      <c r="G24" s="2115" t="s">
        <v>3201</v>
      </c>
      <c r="H24" s="407"/>
      <c r="I24" s="2115" t="s">
        <v>3201</v>
      </c>
      <c r="J24" s="407"/>
      <c r="K24" s="628"/>
      <c r="L24" s="2895"/>
      <c r="M24" s="2896"/>
      <c r="N24" s="2896"/>
      <c r="O24" s="2950"/>
      <c r="P24" s="3463"/>
      <c r="Q24" s="1478"/>
      <c r="R24" s="710"/>
      <c r="S24" s="711"/>
      <c r="T24" s="710"/>
      <c r="U24" s="711"/>
      <c r="V24" s="710"/>
      <c r="W24" s="711"/>
      <c r="X24" s="712"/>
      <c r="Y24" s="346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t="s">
        <v>3202</v>
      </c>
      <c r="D26" s="407"/>
      <c r="E26" s="2115" t="s">
        <v>3202</v>
      </c>
      <c r="F26" s="407"/>
      <c r="G26" s="2115" t="s">
        <v>3202</v>
      </c>
      <c r="H26" s="407"/>
      <c r="I26" s="2115" t="s">
        <v>3202</v>
      </c>
      <c r="J26" s="407"/>
      <c r="K26" s="628"/>
      <c r="L26" s="2895"/>
      <c r="M26" s="2896"/>
      <c r="N26" s="2896"/>
      <c r="O26" s="2950"/>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f>'数据-基础表'!A3</f>
        <v>30128</v>
      </c>
      <c r="D34" s="426">
        <v>100</v>
      </c>
      <c r="E34" s="635">
        <f>sheet1!E2</f>
        <v>0</v>
      </c>
      <c r="F34" s="426">
        <f>LOOKUP(E34,108:108,109:109)-LOOKUP(C34,108:108,109:109)+100</f>
        <v>101</v>
      </c>
      <c r="G34" s="635">
        <f>sheet1!E3</f>
        <v>0</v>
      </c>
      <c r="H34" s="426">
        <f>LOOKUP(G34,108:108,109:109)-LOOKUP(C34,108:108,109:109)+100</f>
        <v>101</v>
      </c>
      <c r="I34" s="487">
        <f>sheet1!E15</f>
        <v>0</v>
      </c>
      <c r="J34" s="426">
        <f>LOOKUP(I34,108:108,109:109)-LOOKUP(C34,108:108,109:109)+100</f>
        <v>101</v>
      </c>
      <c r="K34" s="570"/>
      <c r="L34" s="2900"/>
      <c r="M34" s="2894"/>
      <c r="N34" s="2894"/>
      <c r="O34" s="2952"/>
      <c r="P34" s="3467"/>
      <c r="Q34" s="1487" t="str">
        <f>B34</f>
        <v>宗地面积</v>
      </c>
      <c r="R34" s="714" t="s">
        <v>17</v>
      </c>
      <c r="S34" s="715">
        <f t="shared" si="10"/>
        <v>101</v>
      </c>
      <c r="T34" s="714" t="s">
        <v>17</v>
      </c>
      <c r="U34" s="715">
        <f t="shared" si="11"/>
        <v>101</v>
      </c>
      <c r="V34" s="714" t="s">
        <v>17</v>
      </c>
      <c r="W34" s="715">
        <f t="shared" si="12"/>
        <v>101</v>
      </c>
      <c r="X34" s="1490"/>
      <c r="Y34" s="3467"/>
      <c r="Z34" s="1491" t="str">
        <f t="shared" si="13"/>
        <v>宗地面积</v>
      </c>
      <c r="AA34" s="1488">
        <f t="shared" si="3"/>
        <v>0.99009900990099009</v>
      </c>
      <c r="AB34" s="1488">
        <f t="shared" si="4"/>
        <v>0.99009900990099009</v>
      </c>
      <c r="AC34" s="1488">
        <f t="shared" si="5"/>
        <v>0.99009900990099009</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5">
      <c r="A41" s="438" t="s">
        <v>2300</v>
      </c>
      <c r="B41" s="2119" t="s">
        <v>3203</v>
      </c>
      <c r="C41" s="638" t="s">
        <v>1</v>
      </c>
      <c r="D41" s="440"/>
      <c r="E41" s="441">
        <f>sheet1!P2</f>
        <v>0</v>
      </c>
      <c r="F41" s="442"/>
      <c r="G41" s="443">
        <f>sheet1!P3</f>
        <v>0</v>
      </c>
      <c r="H41" s="444"/>
      <c r="I41" s="441">
        <f>sheet1!P15</f>
        <v>0</v>
      </c>
      <c r="J41" s="444"/>
      <c r="K41" s="723"/>
      <c r="L41" s="2902"/>
      <c r="M41" s="2894"/>
      <c r="N41" s="2894"/>
      <c r="O41" s="2903"/>
      <c r="P41" s="3460" t="str">
        <f>A41</f>
        <v>成交单价</v>
      </c>
      <c r="Q41" s="3460"/>
      <c r="R41" s="3491">
        <f>E41</f>
        <v>0</v>
      </c>
      <c r="S41" s="3491"/>
      <c r="T41" s="3491">
        <f>G41</f>
        <v>0</v>
      </c>
      <c r="U41" s="3491"/>
      <c r="V41" s="3491">
        <f>I41</f>
        <v>0</v>
      </c>
      <c r="W41" s="3491"/>
      <c r="X41" s="699"/>
      <c r="Y41" s="721"/>
      <c r="Z41" s="699"/>
      <c r="AA41" s="699"/>
      <c r="AB41" s="699"/>
      <c r="AC41" s="699"/>
    </row>
    <row r="42" spans="1:31" ht="15.75" thickBot="1">
      <c r="A42" s="445" t="s">
        <v>2249</v>
      </c>
      <c r="B42" s="639"/>
      <c r="C42" s="448" t="e">
        <f>R43</f>
        <v>#DIV/0!</v>
      </c>
      <c r="D42" s="2489" t="s">
        <v>2638</v>
      </c>
      <c r="E42" s="448" t="e">
        <f>R42</f>
        <v>#DIV/0!</v>
      </c>
      <c r="F42" s="2490"/>
      <c r="G42" s="447" t="e">
        <f>T42</f>
        <v>#DIV/0!</v>
      </c>
      <c r="H42" s="2490"/>
      <c r="I42" s="448" t="e">
        <f>V42</f>
        <v>#DIV/0!</v>
      </c>
      <c r="J42" s="2490"/>
      <c r="K42" s="2492">
        <f>F42+H42+J42</f>
        <v>0</v>
      </c>
      <c r="L42" s="2902"/>
      <c r="M42" s="2894"/>
      <c r="N42" s="2894"/>
      <c r="O42" s="2903"/>
      <c r="P42" s="3460" t="str">
        <f>A42</f>
        <v>比较价值（元/平方米）</v>
      </c>
      <c r="Q42" s="3460"/>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57" t="str">
        <f>A43</f>
        <v>估价对象XX用房的比较价值（楼面单价，元/平方米）</v>
      </c>
      <c r="Q43" s="3458"/>
      <c r="R43" s="3521" t="e">
        <f>ROUND(IF(D42="简单平均",AVERAGE(R42:W42),R42*F42+T42*H42+V42*J42),0)</f>
        <v>#DIV/0!</v>
      </c>
      <c r="S43" s="3521"/>
      <c r="T43" s="3521"/>
      <c r="U43" s="3521"/>
      <c r="V43" s="3521"/>
      <c r="W43" s="3521"/>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75" t="s">
        <v>2344</v>
      </c>
      <c r="H50" s="3522"/>
      <c r="I50" s="1491" t="s">
        <v>2379</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10083.39</v>
      </c>
      <c r="F51" s="647" t="e">
        <f t="shared" ref="F51:F60" si="15">ROUND(B51*E51/10000,0)</f>
        <v>#DIV/0!</v>
      </c>
      <c r="G51" s="3471"/>
      <c r="H51" s="3460"/>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10083.39</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2380</v>
      </c>
      <c r="B66" s="294" t="str">
        <f>"北京市平均增长率"&amp;TEXT(基准地价修正!P24,"0.00%")</f>
        <v>北京市平均增长率0.00%</v>
      </c>
      <c r="C66" s="560">
        <v>100</v>
      </c>
      <c r="D66" s="552">
        <v>100</v>
      </c>
      <c r="E66" s="552">
        <f>D66-0.5</f>
        <v>99.5</v>
      </c>
      <c r="F66" s="552">
        <f t="shared" ref="F66:M66" si="20">E66-0.5</f>
        <v>99</v>
      </c>
      <c r="G66" s="552">
        <f t="shared" si="20"/>
        <v>98.5</v>
      </c>
      <c r="H66" s="552">
        <f t="shared" si="20"/>
        <v>98</v>
      </c>
      <c r="I66" s="552">
        <f t="shared" si="20"/>
        <v>97.5</v>
      </c>
      <c r="J66" s="552">
        <f t="shared" si="20"/>
        <v>97</v>
      </c>
      <c r="K66" s="552">
        <f t="shared" si="20"/>
        <v>96.5</v>
      </c>
      <c r="L66" s="552">
        <f t="shared" si="20"/>
        <v>96</v>
      </c>
      <c r="M66" s="552">
        <f t="shared" si="20"/>
        <v>95.5</v>
      </c>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3231" t="s">
        <v>3200</v>
      </c>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v>100</v>
      </c>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v>0</v>
      </c>
      <c r="D75" s="506">
        <v>1</v>
      </c>
      <c r="E75" s="506">
        <v>2</v>
      </c>
      <c r="F75" s="506">
        <v>3</v>
      </c>
      <c r="G75" s="506">
        <v>4</v>
      </c>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ht="28.5">
      <c r="A107" s="484" t="s">
        <v>2143</v>
      </c>
      <c r="B107" s="485" t="s">
        <v>2370</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v>0</v>
      </c>
      <c r="D108" s="552">
        <v>20000</v>
      </c>
      <c r="E108" s="552">
        <v>40000</v>
      </c>
      <c r="F108" s="552">
        <v>60000</v>
      </c>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v>100</v>
      </c>
      <c r="D109" s="548">
        <f>C109-1</f>
        <v>99</v>
      </c>
      <c r="E109" s="548">
        <f t="shared" ref="E109:F109" si="27">D109-1</f>
        <v>98</v>
      </c>
      <c r="F109" s="548">
        <f t="shared" si="27"/>
        <v>97</v>
      </c>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七级</v>
      </c>
      <c r="H2" s="2137" t="s">
        <v>2394</v>
      </c>
      <c r="I2" s="2139" t="str">
        <f>IF(E2="商业",项目基本情况!B38,IF(E2="办公",项目基本情况!C38,IF(E2="住宅",项目基本情况!D38,项目基本情况!E38)))</f>
        <v>Ⅶ-顺1</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5.6452</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0.33</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4.0521000000000003</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0"/>
      <c r="B4" s="3531"/>
      <c r="C4" s="3531"/>
      <c r="D4" s="3532"/>
      <c r="E4" s="3532"/>
      <c r="F4" s="3532"/>
      <c r="G4" s="3532"/>
      <c r="H4" s="3532"/>
      <c r="I4" s="3532"/>
      <c r="J4" s="3533"/>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3.2690999999999999</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2.6230000000000002</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2.2336</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1.9641999999999999</v>
      </c>
      <c r="T7" s="1327" t="e">
        <f t="shared" si="0"/>
        <v>#DIV/0!</v>
      </c>
      <c r="U7" s="1328"/>
      <c r="V7" s="1327" t="e">
        <f t="shared" si="1"/>
        <v>#DIV/0!</v>
      </c>
      <c r="W7" s="1493" t="s">
        <v>2413</v>
      </c>
      <c r="X7" s="1329" t="str">
        <f>G2</f>
        <v>七级</v>
      </c>
      <c r="Y7" s="1329" t="s">
        <v>2414</v>
      </c>
      <c r="Z7" s="1330">
        <f>G3</f>
        <v>0.33</v>
      </c>
      <c r="AA7" s="1331"/>
      <c r="AB7" s="1331"/>
      <c r="AC7" s="1332"/>
      <c r="AD7" s="1333"/>
      <c r="AE7" s="1333"/>
      <c r="AF7" s="1333"/>
      <c r="AG7" s="1333"/>
      <c r="AH7" s="1333"/>
      <c r="AI7" s="1333"/>
      <c r="AJ7" s="1334"/>
    </row>
    <row r="8" spans="1:36" ht="15">
      <c r="A8" s="353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2418</v>
      </c>
      <c r="X8" s="3528"/>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2442</v>
      </c>
      <c r="X11" s="1339" t="s">
        <v>2443</v>
      </c>
      <c r="Y11" s="1340">
        <f>$G$3</f>
        <v>0.33</v>
      </c>
      <c r="Z11" s="1340">
        <f t="shared" ref="Z11:AJ11" si="3">$G$3</f>
        <v>0.33</v>
      </c>
      <c r="AA11" s="1340">
        <f t="shared" si="3"/>
        <v>0.33</v>
      </c>
      <c r="AB11" s="1340">
        <f t="shared" si="3"/>
        <v>0.33</v>
      </c>
      <c r="AC11" s="1340">
        <f t="shared" si="3"/>
        <v>0.33</v>
      </c>
      <c r="AD11" s="1340">
        <f t="shared" si="3"/>
        <v>0.33</v>
      </c>
      <c r="AE11" s="1340">
        <f t="shared" si="3"/>
        <v>0.33</v>
      </c>
      <c r="AF11" s="1340">
        <f t="shared" si="3"/>
        <v>0.33</v>
      </c>
      <c r="AG11" s="1340">
        <f t="shared" si="3"/>
        <v>0.33</v>
      </c>
      <c r="AH11" s="1340">
        <f t="shared" si="3"/>
        <v>0.33</v>
      </c>
      <c r="AI11" s="1340">
        <f t="shared" si="3"/>
        <v>0.33</v>
      </c>
      <c r="AJ11" s="1340">
        <f t="shared" si="3"/>
        <v>0.33</v>
      </c>
    </row>
    <row r="12" spans="1:36" ht="25.5" thickBot="1">
      <c r="A12" s="3534"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2.3081818181818181</v>
      </c>
      <c r="Z13" s="1338">
        <f t="shared" ref="Z13:AJ13" si="5">(-0.163*(Z12^2)-0.59*Z12+7617)*(10^(-4))/Z11</f>
        <v>2.3081818181818181</v>
      </c>
      <c r="AA13" s="1338">
        <f t="shared" si="5"/>
        <v>2.3081818181818181</v>
      </c>
      <c r="AB13" s="1338">
        <f t="shared" si="5"/>
        <v>2.3081818181818181</v>
      </c>
      <c r="AC13" s="1338">
        <f t="shared" si="5"/>
        <v>2.3081818181818181</v>
      </c>
      <c r="AD13" s="1338">
        <f t="shared" si="5"/>
        <v>2.3081818181818181</v>
      </c>
      <c r="AE13" s="1338">
        <f t="shared" si="5"/>
        <v>2.3081818181818181</v>
      </c>
      <c r="AF13" s="1338">
        <f t="shared" si="5"/>
        <v>2.3081818181818181</v>
      </c>
      <c r="AG13" s="1338">
        <f t="shared" si="5"/>
        <v>2.3081818181818181</v>
      </c>
      <c r="AH13" s="1338">
        <f t="shared" si="5"/>
        <v>2.3081818181818181</v>
      </c>
      <c r="AI13" s="1338">
        <f t="shared" si="5"/>
        <v>2.3081818181818181</v>
      </c>
      <c r="AJ13" s="1338">
        <f t="shared" si="5"/>
        <v>2.3081818181818181</v>
      </c>
    </row>
    <row r="14" spans="1:36" ht="15">
      <c r="A14" s="353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3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4" t="s">
        <v>2461</v>
      </c>
      <c r="B16" s="2160" t="s">
        <v>2462</v>
      </c>
      <c r="C16" s="2322" t="e">
        <f>ROUND(IF(F17="与级别开发程度一致",0,(G17-E17)/C17),0)</f>
        <v>#DIV/0!</v>
      </c>
      <c r="D16" s="3550" t="s">
        <v>2466</v>
      </c>
      <c r="E16" s="3551"/>
      <c r="F16" s="3550" t="s">
        <v>2463</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8"/>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44697</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2481</v>
      </c>
      <c r="C21" s="857">
        <f>IF(B21="容积率修正",IF(G3&lt;=10,D22,J22),C23)</f>
        <v>0</v>
      </c>
      <c r="D21" s="2216"/>
      <c r="E21" s="2216"/>
      <c r="F21" s="2216"/>
      <c r="G21" s="2216"/>
      <c r="H21" s="2216"/>
      <c r="I21" s="2216"/>
      <c r="J21" s="2217"/>
      <c r="K21" s="1240"/>
      <c r="L21" s="2968"/>
      <c r="M21" s="2968"/>
      <c r="N21" s="2218"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2483</v>
      </c>
      <c r="B22" s="2219" t="s">
        <v>2484</v>
      </c>
      <c r="C22" s="1487" t="s">
        <v>2485</v>
      </c>
      <c r="D22" s="1487">
        <f>IF(E22=G22,F22,IF(G3&lt;=10,ROUND(F22+(H22-F22)*(G3-E22)/(G22-E22),4),"——"))</f>
        <v>0.83389999999999997</v>
      </c>
      <c r="E22" s="837">
        <f>ROUNDDOWN(G3,1)</f>
        <v>0.3</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487" t="s">
        <v>155</v>
      </c>
      <c r="J22" s="858" t="str">
        <f>IF(G3&gt;10,D113,"——")</f>
        <v>——</v>
      </c>
      <c r="K22" s="1240"/>
      <c r="L22" s="2968"/>
      <c r="M22" s="2968"/>
      <c r="N22" s="2218"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8"/>
      <c r="M24" s="2968"/>
      <c r="N24" s="2228"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2492</v>
      </c>
      <c r="C25" s="851"/>
      <c r="D25" s="2163"/>
      <c r="E25" s="2163"/>
      <c r="F25" s="2230"/>
      <c r="G25" s="2163"/>
      <c r="H25" s="2163"/>
      <c r="I25" s="2163"/>
      <c r="J25" s="2164"/>
      <c r="K25" s="1233"/>
      <c r="L25" s="2134"/>
      <c r="M25" s="2134"/>
      <c r="N25" s="2963" t="s">
        <v>2493</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6" t="s">
        <v>2392</v>
      </c>
      <c r="M26" s="2161" t="s">
        <v>2457</v>
      </c>
      <c r="N26" s="2161" t="s">
        <v>2458</v>
      </c>
      <c r="O26" s="2161" t="s">
        <v>2459</v>
      </c>
      <c r="P26" s="296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52"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8"/>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9"/>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2549</v>
      </c>
      <c r="B90" s="3539"/>
      <c r="C90" s="3539"/>
      <c r="D90" s="3539"/>
      <c r="E90" s="3539"/>
      <c r="F90" s="3539"/>
      <c r="G90" s="3539"/>
      <c r="H90" s="3539"/>
      <c r="I90" s="3539"/>
      <c r="J90" s="3539"/>
      <c r="K90" s="2294"/>
      <c r="L90" s="2294"/>
      <c r="M90" s="2294"/>
      <c r="N90" s="2294"/>
    </row>
    <row r="91" spans="1:37">
      <c r="A91" s="3541" t="s">
        <v>2550</v>
      </c>
      <c r="B91" s="3541" t="s">
        <v>2551</v>
      </c>
      <c r="C91" s="2248" t="s">
        <v>2552</v>
      </c>
      <c r="D91" s="2249"/>
      <c r="E91" s="2249"/>
      <c r="F91" s="2249"/>
      <c r="G91" s="2249"/>
      <c r="H91" s="2249"/>
      <c r="I91" s="2249"/>
      <c r="J91" s="2295"/>
      <c r="K91" s="2296"/>
      <c r="L91" s="2296"/>
      <c r="M91" s="2296"/>
      <c r="N91" s="2296"/>
    </row>
    <row r="92" spans="1:37">
      <c r="A92" s="3541"/>
      <c r="B92" s="3541"/>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2"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2554</v>
      </c>
      <c r="B101" s="2301" t="s">
        <v>2555</v>
      </c>
      <c r="C101" s="2302">
        <f>$G$3</f>
        <v>0.33</v>
      </c>
      <c r="D101" s="2302">
        <f t="shared" ref="D101:N101" si="31">$G$3</f>
        <v>0.33</v>
      </c>
      <c r="E101" s="2302">
        <f t="shared" si="31"/>
        <v>0.33</v>
      </c>
      <c r="F101" s="2302">
        <f t="shared" si="31"/>
        <v>0.33</v>
      </c>
      <c r="G101" s="2302">
        <f t="shared" si="31"/>
        <v>0.33</v>
      </c>
      <c r="H101" s="2302">
        <f t="shared" si="31"/>
        <v>0.33</v>
      </c>
      <c r="I101" s="2302">
        <f t="shared" si="31"/>
        <v>0.33</v>
      </c>
      <c r="J101" s="2302">
        <f t="shared" si="31"/>
        <v>0.33</v>
      </c>
      <c r="K101" s="2302">
        <f t="shared" si="31"/>
        <v>0.33</v>
      </c>
      <c r="L101" s="2302">
        <f t="shared" si="31"/>
        <v>0.33</v>
      </c>
      <c r="M101" s="2302">
        <f t="shared" si="31"/>
        <v>0.33</v>
      </c>
      <c r="N101" s="2302">
        <f t="shared" si="31"/>
        <v>0.33</v>
      </c>
    </row>
    <row r="102" spans="1:14">
      <c r="A102" s="3543"/>
      <c r="B102" s="2297">
        <v>1</v>
      </c>
      <c r="C102" s="2298">
        <f>1.9362/C101</f>
        <v>5.8672727272727272</v>
      </c>
      <c r="D102" s="2298">
        <f>1.9362/D101</f>
        <v>5.8672727272727272</v>
      </c>
      <c r="E102" s="2298">
        <f>1.8629/E101</f>
        <v>5.6451515151515146</v>
      </c>
      <c r="F102" s="2298">
        <f>1.8629/F101</f>
        <v>5.6451515151515146</v>
      </c>
      <c r="G102" s="2298">
        <f>1.8629/G101</f>
        <v>5.6451515151515146</v>
      </c>
      <c r="H102" s="2298">
        <f>1.8629/H101</f>
        <v>5.6451515151515146</v>
      </c>
      <c r="I102" s="2298">
        <f>1.8629/I101</f>
        <v>5.6451515151515146</v>
      </c>
      <c r="J102" s="2298">
        <f>1.942/J101</f>
        <v>5.8848484848484848</v>
      </c>
      <c r="K102" s="2298">
        <f>1.942/K101</f>
        <v>5.8848484848484848</v>
      </c>
      <c r="L102" s="2298">
        <f>1.942/L101</f>
        <v>5.8848484848484848</v>
      </c>
      <c r="M102" s="2298">
        <f>1.942/M101</f>
        <v>5.8848484848484848</v>
      </c>
      <c r="N102" s="2298">
        <f>1.942/N101</f>
        <v>5.8848484848484848</v>
      </c>
    </row>
    <row r="103" spans="1:14">
      <c r="A103" s="3543"/>
      <c r="B103" s="2297">
        <v>2</v>
      </c>
      <c r="C103" s="2298">
        <f>1.4198/C101</f>
        <v>4.3024242424242418</v>
      </c>
      <c r="D103" s="2298">
        <f>1.4198/D101</f>
        <v>4.3024242424242418</v>
      </c>
      <c r="E103" s="2298">
        <f>1.3372/E101</f>
        <v>4.0521212121212118</v>
      </c>
      <c r="F103" s="2298">
        <f>1.3372/F101</f>
        <v>4.0521212121212118</v>
      </c>
      <c r="G103" s="2298">
        <f>1.3372/G101</f>
        <v>4.0521212121212118</v>
      </c>
      <c r="H103" s="2298">
        <f>1.3372/H101</f>
        <v>4.0521212121212118</v>
      </c>
      <c r="I103" s="2298">
        <f>1.3372/I101</f>
        <v>4.0521212121212118</v>
      </c>
      <c r="J103" s="2298">
        <f>1.2799/J101</f>
        <v>3.8784848484848484</v>
      </c>
      <c r="K103" s="2298">
        <f>1.2799/K101</f>
        <v>3.8784848484848484</v>
      </c>
      <c r="L103" s="2298">
        <f>1.2799/L101</f>
        <v>3.8784848484848484</v>
      </c>
      <c r="M103" s="2298">
        <f>1.2799/M101</f>
        <v>3.8784848484848484</v>
      </c>
      <c r="N103" s="2298">
        <f>1.2799/N101</f>
        <v>3.8784848484848484</v>
      </c>
    </row>
    <row r="104" spans="1:14">
      <c r="A104" s="3543"/>
      <c r="B104" s="2297">
        <v>3</v>
      </c>
      <c r="C104" s="2298">
        <f>1.1594/C101</f>
        <v>3.5133333333333332</v>
      </c>
      <c r="D104" s="2298">
        <f>1.1594/D101</f>
        <v>3.5133333333333332</v>
      </c>
      <c r="E104" s="2298">
        <f>1.0788/E101</f>
        <v>3.269090909090909</v>
      </c>
      <c r="F104" s="2298">
        <f>1.0788/F101</f>
        <v>3.269090909090909</v>
      </c>
      <c r="G104" s="2298">
        <f>1.0788/G101</f>
        <v>3.269090909090909</v>
      </c>
      <c r="H104" s="2298">
        <f>1.0788/H101</f>
        <v>3.269090909090909</v>
      </c>
      <c r="I104" s="2298">
        <f>1.0788/I101</f>
        <v>3.269090909090909</v>
      </c>
      <c r="J104" s="2298">
        <f>1.0072/J101</f>
        <v>3.0521212121212122</v>
      </c>
      <c r="K104" s="2298">
        <f>1.0072/K101</f>
        <v>3.0521212121212122</v>
      </c>
      <c r="L104" s="2298">
        <f>1.0072/L101</f>
        <v>3.0521212121212122</v>
      </c>
      <c r="M104" s="2298">
        <f>1.0072/M101</f>
        <v>3.0521212121212122</v>
      </c>
      <c r="N104" s="2298">
        <f>1.0072/N101</f>
        <v>3.0521212121212122</v>
      </c>
    </row>
    <row r="105" spans="1:14">
      <c r="A105" s="3543"/>
      <c r="B105" s="2297">
        <v>4</v>
      </c>
      <c r="C105" s="2298">
        <f>0.9622/C101</f>
        <v>2.915757575757576</v>
      </c>
      <c r="D105" s="2298">
        <f>0.9622/D101</f>
        <v>2.915757575757576</v>
      </c>
      <c r="E105" s="2298">
        <f>0.8656/E101</f>
        <v>2.623030303030303</v>
      </c>
      <c r="F105" s="2298">
        <f>0.8656/F101</f>
        <v>2.623030303030303</v>
      </c>
      <c r="G105" s="2298">
        <f>0.8656/G101</f>
        <v>2.623030303030303</v>
      </c>
      <c r="H105" s="2298">
        <f>0.8656/H101</f>
        <v>2.623030303030303</v>
      </c>
      <c r="I105" s="2298">
        <f>0.8656/I101</f>
        <v>2.623030303030303</v>
      </c>
      <c r="J105" s="2298">
        <f>0.7525/J101</f>
        <v>2.2803030303030298</v>
      </c>
      <c r="K105" s="2298">
        <f>0.7525/K101</f>
        <v>2.2803030303030298</v>
      </c>
      <c r="L105" s="2298">
        <f>0.7525/L101</f>
        <v>2.2803030303030298</v>
      </c>
      <c r="M105" s="2298">
        <f>0.7525/M101</f>
        <v>2.2803030303030298</v>
      </c>
      <c r="N105" s="2298">
        <f>0.7525/N101</f>
        <v>2.2803030303030298</v>
      </c>
    </row>
    <row r="106" spans="1:14">
      <c r="A106" s="3543"/>
      <c r="B106" s="2297">
        <v>5</v>
      </c>
      <c r="C106" s="2298">
        <f>0.8417/C101</f>
        <v>2.5506060606060603</v>
      </c>
      <c r="D106" s="2298">
        <f>0.8417/D101</f>
        <v>2.5506060606060603</v>
      </c>
      <c r="E106" s="2298">
        <f>0.7371/E101</f>
        <v>2.2336363636363634</v>
      </c>
      <c r="F106" s="2298">
        <f>0.7371/F101</f>
        <v>2.2336363636363634</v>
      </c>
      <c r="G106" s="2298">
        <f>0.7371/G101</f>
        <v>2.2336363636363634</v>
      </c>
      <c r="H106" s="2298">
        <f>0.7371/H101</f>
        <v>2.2336363636363634</v>
      </c>
      <c r="I106" s="2298">
        <f>0.7371/I101</f>
        <v>2.2336363636363634</v>
      </c>
      <c r="J106" s="2298">
        <f>0.5659/J101</f>
        <v>1.7148484848484846</v>
      </c>
      <c r="K106" s="2298">
        <f>0.5659/K101</f>
        <v>1.7148484848484846</v>
      </c>
      <c r="L106" s="2298">
        <f>0.5659/L101</f>
        <v>1.7148484848484846</v>
      </c>
      <c r="M106" s="2298">
        <f>0.5659/M101</f>
        <v>1.7148484848484846</v>
      </c>
      <c r="N106" s="2298">
        <f>0.5659/N101</f>
        <v>1.7148484848484846</v>
      </c>
    </row>
    <row r="107" spans="1:14">
      <c r="A107" s="3543"/>
      <c r="B107" s="2297">
        <v>6</v>
      </c>
      <c r="C107" s="2298">
        <f>0.7608/C101</f>
        <v>2.3054545454545456</v>
      </c>
      <c r="D107" s="2298">
        <f>0.7608/D101</f>
        <v>2.3054545454545456</v>
      </c>
      <c r="E107" s="2298">
        <f>0.6482/E101</f>
        <v>1.9642424242424241</v>
      </c>
      <c r="F107" s="2298">
        <f>0.6482/F101</f>
        <v>1.9642424242424241</v>
      </c>
      <c r="G107" s="2298">
        <f>0.6482/G101</f>
        <v>1.9642424242424241</v>
      </c>
      <c r="H107" s="2298">
        <f>0.6482/H101</f>
        <v>1.9642424242424241</v>
      </c>
      <c r="I107" s="2298">
        <f>0.6482/I101</f>
        <v>1.9642424242424241</v>
      </c>
      <c r="J107" s="2298">
        <f>0.4525/J101</f>
        <v>1.3712121212121211</v>
      </c>
      <c r="K107" s="2298">
        <f>0.4525/K101</f>
        <v>1.3712121212121211</v>
      </c>
      <c r="L107" s="2298">
        <f>0.4525/L101</f>
        <v>1.3712121212121211</v>
      </c>
      <c r="M107" s="2298">
        <f>0.4525/M101</f>
        <v>1.3712121212121211</v>
      </c>
      <c r="N107" s="2298">
        <f>0.4525/N101</f>
        <v>1.3712121212121211</v>
      </c>
    </row>
    <row r="108" spans="1:14">
      <c r="A108" s="3543"/>
      <c r="B108" s="3545"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2.3081818181818181</v>
      </c>
      <c r="D109" s="2300">
        <f>(-0.163*(D108^2)-0.59*D108+7617)*(10^(-4))/D101</f>
        <v>2.3081818181818181</v>
      </c>
      <c r="E109" s="2300">
        <f>(-0.161*(E108^2)-7.509*E108+6533)*(10^(-4))/E101</f>
        <v>1.9796969696969695</v>
      </c>
      <c r="F109" s="2300">
        <f>(-0.161*(F108^2)-7.509*F108+6533)*(10^(-4))/F101</f>
        <v>1.9796969696969695</v>
      </c>
      <c r="G109" s="2300">
        <f>(-0.161*(G108^2)-7.509*G108+6533)*(10^(-4))/G101</f>
        <v>1.9796969696969695</v>
      </c>
      <c r="H109" s="2300">
        <f>(-0.161*(H108^2)-7.509*H108+6533)*(10^(-4))/H101</f>
        <v>1.9796969696969695</v>
      </c>
      <c r="I109" s="2300">
        <f>(-0.161*(I108^2)-7.509*I108+6533)*(10^(-4))/I101</f>
        <v>1.9796969696969695</v>
      </c>
      <c r="J109" s="2300">
        <f>(-0.214*(J108^2)-21.991*J108+4665)*(10^(-4))/J101</f>
        <v>1.4136363636363636</v>
      </c>
      <c r="K109" s="2300">
        <f>(-0.214*(K108^2)-21.991*K108+4665)*(10^(-4))/K101</f>
        <v>1.4136363636363636</v>
      </c>
      <c r="L109" s="2300">
        <f>(-0.214*(L108^2)-21.991*L108+4665)*(10^(-4))/L101</f>
        <v>1.4136363636363636</v>
      </c>
      <c r="M109" s="2300">
        <f>(-0.214*(M108^2)-21.991*M108+4665)*(10^(-4))/M101</f>
        <v>1.4136363636363636</v>
      </c>
      <c r="N109" s="2300">
        <f>(-0.214*(N108^2)-21.991*N108+4665)*(10^(-4))/N101</f>
        <v>1.4136363636363636</v>
      </c>
    </row>
    <row r="110" spans="1:14">
      <c r="A110" s="3540" t="s">
        <v>2557</v>
      </c>
      <c r="B110" s="3540"/>
      <c r="C110" s="3540"/>
      <c r="D110" s="3540"/>
      <c r="E110" s="3540"/>
      <c r="F110" s="3540"/>
      <c r="G110" s="3540"/>
      <c r="H110" s="3540"/>
      <c r="I110" s="3540"/>
      <c r="J110" s="3540"/>
      <c r="K110" s="2303"/>
      <c r="L110" s="2303"/>
      <c r="M110" s="2303"/>
      <c r="N110" s="2303"/>
    </row>
    <row r="112" spans="1:14" ht="13.5" thickBot="1"/>
    <row r="113" spans="1:13" ht="25.5" thickBot="1">
      <c r="A113" s="824" t="s">
        <v>2558</v>
      </c>
      <c r="B113" s="1178">
        <f>G3</f>
        <v>0.33</v>
      </c>
      <c r="C113" s="825" t="s">
        <v>2559</v>
      </c>
      <c r="D113" s="826">
        <f>SUMPRODUCT((A115:A118=F113)*(B114:M114=H113)*B115:M118)</f>
        <v>0</v>
      </c>
      <c r="E113" s="2139" t="s">
        <v>2392</v>
      </c>
      <c r="F113" s="2305">
        <f>E2</f>
        <v>0</v>
      </c>
      <c r="G113" s="2139" t="s">
        <v>2393</v>
      </c>
      <c r="H113" s="2305" t="str">
        <f>G2</f>
        <v>七级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0.9304</v>
      </c>
      <c r="C115" s="831">
        <f>B115</f>
        <v>0.9304</v>
      </c>
      <c r="D115" s="831">
        <f>ROUND(0.8331-0.0109*B113,4)</f>
        <v>0.82950000000000002</v>
      </c>
      <c r="E115" s="831">
        <f>D115</f>
        <v>0.82950000000000002</v>
      </c>
      <c r="F115" s="831">
        <f>E115</f>
        <v>0.82950000000000002</v>
      </c>
      <c r="G115" s="831">
        <f>F115</f>
        <v>0.82950000000000002</v>
      </c>
      <c r="H115" s="831">
        <f>G115</f>
        <v>0.82950000000000002</v>
      </c>
      <c r="I115" s="831">
        <f>ROUND(0.689-0.0155*B113,4)</f>
        <v>0.68389999999999995</v>
      </c>
      <c r="J115" s="831">
        <f t="shared" ref="J115:M118" si="33">I115</f>
        <v>0.68389999999999995</v>
      </c>
      <c r="K115" s="831">
        <f t="shared" si="33"/>
        <v>0.68389999999999995</v>
      </c>
      <c r="L115" s="831">
        <f t="shared" si="33"/>
        <v>0.68389999999999995</v>
      </c>
      <c r="M115" s="832">
        <f t="shared" si="33"/>
        <v>0.68389999999999995</v>
      </c>
    </row>
    <row r="116" spans="1:13">
      <c r="A116" s="830" t="s">
        <v>2458</v>
      </c>
      <c r="B116" s="831">
        <f>ROUND(0.949-0.012*B113,4)</f>
        <v>0.94499999999999995</v>
      </c>
      <c r="C116" s="831">
        <f>B116</f>
        <v>0.94499999999999995</v>
      </c>
      <c r="D116" s="831">
        <f>ROUND(0.8567-0.013*B113,4)</f>
        <v>0.85240000000000005</v>
      </c>
      <c r="E116" s="831">
        <f t="shared" ref="E116:H117" si="34">D116</f>
        <v>0.85240000000000005</v>
      </c>
      <c r="F116" s="831">
        <f t="shared" si="34"/>
        <v>0.85240000000000005</v>
      </c>
      <c r="G116" s="831">
        <f t="shared" si="34"/>
        <v>0.85240000000000005</v>
      </c>
      <c r="H116" s="831">
        <f t="shared" si="34"/>
        <v>0.85240000000000005</v>
      </c>
      <c r="I116" s="831">
        <f>ROUND(0.7694-0.014*B113,4)</f>
        <v>0.76480000000000004</v>
      </c>
      <c r="J116" s="831">
        <f t="shared" si="33"/>
        <v>0.76480000000000004</v>
      </c>
      <c r="K116" s="831">
        <f t="shared" si="33"/>
        <v>0.76480000000000004</v>
      </c>
      <c r="L116" s="831">
        <f t="shared" si="33"/>
        <v>0.76480000000000004</v>
      </c>
      <c r="M116" s="832">
        <f t="shared" si="33"/>
        <v>0.76480000000000004</v>
      </c>
    </row>
    <row r="117" spans="1:13">
      <c r="A117" s="830" t="s">
        <v>2459</v>
      </c>
      <c r="B117" s="831">
        <f>ROUND(0.8808-0.006*B113,4)</f>
        <v>0.87880000000000003</v>
      </c>
      <c r="C117" s="831">
        <f>B117</f>
        <v>0.87880000000000003</v>
      </c>
      <c r="D117" s="831">
        <f>ROUND(0.8748-0.008*B113,4)</f>
        <v>0.87219999999999998</v>
      </c>
      <c r="E117" s="831">
        <f t="shared" si="34"/>
        <v>0.87219999999999998</v>
      </c>
      <c r="F117" s="831">
        <f t="shared" si="34"/>
        <v>0.87219999999999998</v>
      </c>
      <c r="G117" s="831">
        <f t="shared" si="34"/>
        <v>0.87219999999999998</v>
      </c>
      <c r="H117" s="831">
        <f t="shared" si="34"/>
        <v>0.87219999999999998</v>
      </c>
      <c r="I117" s="831">
        <f>ROUND(0.7412-0.0095*B113,4)</f>
        <v>0.73809999999999998</v>
      </c>
      <c r="J117" s="831">
        <f t="shared" si="33"/>
        <v>0.73809999999999998</v>
      </c>
      <c r="K117" s="831">
        <f t="shared" si="33"/>
        <v>0.73809999999999998</v>
      </c>
      <c r="L117" s="831">
        <f t="shared" si="33"/>
        <v>0.73809999999999998</v>
      </c>
      <c r="M117" s="832">
        <f t="shared" si="33"/>
        <v>0.73809999999999998</v>
      </c>
    </row>
    <row r="118" spans="1:13" ht="13.5" thickBot="1">
      <c r="A118" s="670" t="s">
        <v>2460</v>
      </c>
      <c r="B118" s="833">
        <f>ROUND(0.7275-0.01*B113,4)</f>
        <v>0.72419999999999995</v>
      </c>
      <c r="C118" s="833">
        <f>B118</f>
        <v>0.72419999999999995</v>
      </c>
      <c r="D118" s="833">
        <f>ROUND(0.7043-0.012*B113,4)</f>
        <v>0.70030000000000003</v>
      </c>
      <c r="E118" s="833">
        <f>D118</f>
        <v>0.70030000000000003</v>
      </c>
      <c r="F118" s="833">
        <f>E118</f>
        <v>0.70030000000000003</v>
      </c>
      <c r="G118" s="833">
        <f>ROUND(0.6299-0.0122*B113,4)</f>
        <v>0.62590000000000001</v>
      </c>
      <c r="H118" s="833">
        <f>G118</f>
        <v>0.62590000000000001</v>
      </c>
      <c r="I118" s="833">
        <f>ROUND(0.5667-0.0136*B113,4)</f>
        <v>0.56220000000000003</v>
      </c>
      <c r="J118" s="833">
        <f t="shared" si="33"/>
        <v>0.56220000000000003</v>
      </c>
      <c r="K118" s="833">
        <f t="shared" si="33"/>
        <v>0.56220000000000003</v>
      </c>
      <c r="L118" s="833">
        <f t="shared" si="33"/>
        <v>0.56220000000000003</v>
      </c>
      <c r="M118" s="834">
        <f t="shared" si="33"/>
        <v>0.56220000000000003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62" t="s">
        <v>2954</v>
      </c>
      <c r="B20" s="3557" t="s">
        <v>2955</v>
      </c>
      <c r="C20" s="3212" t="s">
        <v>2956</v>
      </c>
      <c r="D20" s="3213"/>
      <c r="E20" s="3214">
        <v>1</v>
      </c>
      <c r="F20" s="3215" t="s">
        <v>2957</v>
      </c>
      <c r="G20" s="807"/>
      <c r="H20" s="801"/>
      <c r="I20" s="801"/>
    </row>
    <row r="21" spans="1:13" s="808" customFormat="1" ht="19.5" customHeight="1">
      <c r="A21" s="3563"/>
      <c r="B21" s="3556"/>
      <c r="C21" s="805" t="s">
        <v>2958</v>
      </c>
      <c r="D21" s="806"/>
      <c r="E21" s="3216">
        <v>1</v>
      </c>
      <c r="F21" s="3215" t="s">
        <v>2959</v>
      </c>
      <c r="G21" s="807"/>
      <c r="H21" s="801"/>
      <c r="I21" s="801"/>
    </row>
    <row r="22" spans="1:13" s="808" customFormat="1" ht="19.5" customHeight="1">
      <c r="A22" s="3563"/>
      <c r="B22" s="3556"/>
      <c r="C22" s="805" t="s">
        <v>2960</v>
      </c>
      <c r="D22" s="806"/>
      <c r="E22" s="3216">
        <v>0.9</v>
      </c>
      <c r="F22" s="3215" t="s">
        <v>2961</v>
      </c>
      <c r="G22" s="807"/>
      <c r="H22" s="801"/>
      <c r="I22" s="801"/>
    </row>
    <row r="23" spans="1:13" s="808" customFormat="1" ht="19.5" customHeight="1">
      <c r="A23" s="3563"/>
      <c r="B23" s="3556"/>
      <c r="C23" s="805" t="s">
        <v>2962</v>
      </c>
      <c r="D23" s="806"/>
      <c r="E23" s="3216">
        <v>0.9</v>
      </c>
      <c r="F23" s="3215" t="s">
        <v>2963</v>
      </c>
      <c r="G23" s="807"/>
      <c r="H23" s="801"/>
      <c r="I23" s="801"/>
    </row>
    <row r="24" spans="1:13" s="808" customFormat="1" ht="19.5" customHeight="1">
      <c r="A24" s="3563"/>
      <c r="B24" s="3556"/>
      <c r="C24" s="805" t="s">
        <v>2964</v>
      </c>
      <c r="D24" s="806"/>
      <c r="E24" s="3216">
        <v>0.8</v>
      </c>
      <c r="F24" s="3215" t="s">
        <v>2965</v>
      </c>
      <c r="G24" s="807"/>
      <c r="H24" s="801"/>
      <c r="I24" s="801"/>
    </row>
    <row r="25" spans="1:13" s="808" customFormat="1" ht="19.5" customHeight="1" thickBot="1">
      <c r="A25" s="3564"/>
      <c r="B25" s="3558"/>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59" t="s">
        <v>2971</v>
      </c>
      <c r="B27" s="3557" t="s">
        <v>2971</v>
      </c>
      <c r="C27" s="3212" t="s">
        <v>2972</v>
      </c>
      <c r="D27" s="3213"/>
      <c r="E27" s="3214">
        <v>1</v>
      </c>
      <c r="F27" s="3215" t="s">
        <v>2973</v>
      </c>
      <c r="G27" s="807"/>
      <c r="H27" s="801"/>
      <c r="I27" s="801"/>
    </row>
    <row r="28" spans="1:13" s="808" customFormat="1" ht="19.5" customHeight="1">
      <c r="A28" s="3560"/>
      <c r="B28" s="3556"/>
      <c r="C28" s="805" t="s">
        <v>2974</v>
      </c>
      <c r="D28" s="806"/>
      <c r="E28" s="3216">
        <v>1</v>
      </c>
      <c r="F28" s="3215" t="s">
        <v>2975</v>
      </c>
      <c r="G28" s="807"/>
      <c r="H28" s="801"/>
      <c r="I28" s="801"/>
    </row>
    <row r="29" spans="1:13" s="808" customFormat="1" ht="19.5" customHeight="1">
      <c r="A29" s="3560"/>
      <c r="B29" s="3556"/>
      <c r="C29" s="805" t="s">
        <v>2976</v>
      </c>
      <c r="D29" s="806"/>
      <c r="E29" s="3216">
        <v>0.8</v>
      </c>
      <c r="F29" s="3215" t="s">
        <v>2977</v>
      </c>
      <c r="G29" s="807"/>
      <c r="H29" s="801"/>
      <c r="I29" s="801"/>
    </row>
    <row r="30" spans="1:13" s="808" customFormat="1" ht="19.5" customHeight="1">
      <c r="A30" s="3560"/>
      <c r="B30" s="3556"/>
      <c r="C30" s="805" t="s">
        <v>2978</v>
      </c>
      <c r="D30" s="806"/>
      <c r="E30" s="3216">
        <v>0.8</v>
      </c>
      <c r="F30" s="3215" t="s">
        <v>2979</v>
      </c>
      <c r="G30" s="807"/>
      <c r="H30" s="801"/>
      <c r="I30" s="801"/>
    </row>
    <row r="31" spans="1:13" s="808" customFormat="1" ht="19.5" customHeight="1">
      <c r="A31" s="3560"/>
      <c r="B31" s="3556"/>
      <c r="C31" s="805" t="s">
        <v>2980</v>
      </c>
      <c r="D31" s="806"/>
      <c r="E31" s="3216">
        <v>0.8</v>
      </c>
      <c r="F31" s="3215" t="s">
        <v>2981</v>
      </c>
      <c r="G31" s="807"/>
      <c r="H31" s="801"/>
      <c r="I31" s="801"/>
    </row>
    <row r="32" spans="1:13" s="808" customFormat="1" ht="19.5" customHeight="1">
      <c r="A32" s="3560"/>
      <c r="B32" s="3556"/>
      <c r="C32" s="805" t="s">
        <v>2982</v>
      </c>
      <c r="D32" s="806"/>
      <c r="E32" s="3216">
        <v>0.7</v>
      </c>
      <c r="F32" s="3215" t="s">
        <v>2983</v>
      </c>
      <c r="G32" s="807"/>
      <c r="H32" s="801"/>
      <c r="I32" s="801"/>
    </row>
    <row r="33" spans="1:9" s="808" customFormat="1" ht="19.5" customHeight="1">
      <c r="A33" s="3560"/>
      <c r="B33" s="3556"/>
      <c r="C33" s="805" t="s">
        <v>2984</v>
      </c>
      <c r="D33" s="806"/>
      <c r="E33" s="3216">
        <v>0.8</v>
      </c>
      <c r="F33" s="3215" t="s">
        <v>2985</v>
      </c>
      <c r="G33" s="807"/>
      <c r="H33" s="801"/>
      <c r="I33" s="801"/>
    </row>
    <row r="34" spans="1:9" s="808" customFormat="1" ht="19.5" customHeight="1">
      <c r="A34" s="3560"/>
      <c r="B34" s="3556"/>
      <c r="C34" s="805" t="s">
        <v>2986</v>
      </c>
      <c r="D34" s="806"/>
      <c r="E34" s="3216">
        <v>0.6</v>
      </c>
      <c r="F34" s="3215" t="s">
        <v>2987</v>
      </c>
      <c r="G34" s="807"/>
      <c r="H34" s="801"/>
      <c r="I34" s="801"/>
    </row>
    <row r="35" spans="1:9" s="808" customFormat="1" ht="19.5" customHeight="1">
      <c r="A35" s="3560"/>
      <c r="B35" s="3556"/>
      <c r="C35" s="805" t="s">
        <v>2988</v>
      </c>
      <c r="D35" s="806"/>
      <c r="E35" s="3216">
        <v>0.2</v>
      </c>
      <c r="F35" s="3215" t="s">
        <v>2989</v>
      </c>
      <c r="G35" s="807"/>
      <c r="H35" s="801"/>
      <c r="I35" s="801"/>
    </row>
    <row r="36" spans="1:9" s="808" customFormat="1" ht="19.5" customHeight="1">
      <c r="A36" s="3560"/>
      <c r="B36" s="3556"/>
      <c r="C36" s="805" t="s">
        <v>2990</v>
      </c>
      <c r="D36" s="806"/>
      <c r="E36" s="3216">
        <v>0.2</v>
      </c>
      <c r="F36" s="3215" t="s">
        <v>2991</v>
      </c>
      <c r="G36" s="807"/>
      <c r="H36" s="801"/>
      <c r="I36" s="801"/>
    </row>
    <row r="37" spans="1:9" s="808" customFormat="1" ht="19.5" customHeight="1">
      <c r="A37" s="3560"/>
      <c r="B37" s="3554" t="s">
        <v>2992</v>
      </c>
      <c r="C37" s="805" t="s">
        <v>2993</v>
      </c>
      <c r="D37" s="806"/>
      <c r="E37" s="3216">
        <v>0.6</v>
      </c>
      <c r="F37" s="3215" t="s">
        <v>2994</v>
      </c>
      <c r="G37" s="807"/>
      <c r="H37" s="801"/>
      <c r="I37" s="801"/>
    </row>
    <row r="38" spans="1:9" s="808" customFormat="1" ht="19.5" customHeight="1">
      <c r="A38" s="3560"/>
      <c r="B38" s="3556"/>
      <c r="C38" s="805" t="s">
        <v>2995</v>
      </c>
      <c r="D38" s="806"/>
      <c r="E38" s="3216">
        <v>0.6</v>
      </c>
      <c r="F38" s="3215" t="s">
        <v>2996</v>
      </c>
      <c r="G38" s="807"/>
      <c r="H38" s="801"/>
      <c r="I38" s="801"/>
    </row>
    <row r="39" spans="1:9" s="808" customFormat="1" ht="19.5" customHeight="1" thickBot="1">
      <c r="A39" s="3561"/>
      <c r="B39" s="3558"/>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62" t="s">
        <v>3002</v>
      </c>
      <c r="B41" s="3557" t="s">
        <v>3003</v>
      </c>
      <c r="C41" s="3212" t="s">
        <v>3004</v>
      </c>
      <c r="D41" s="3213"/>
      <c r="E41" s="3214">
        <v>1</v>
      </c>
      <c r="F41" s="3215" t="s">
        <v>3005</v>
      </c>
      <c r="G41" s="807"/>
      <c r="H41" s="801"/>
      <c r="I41" s="801"/>
    </row>
    <row r="42" spans="1:9" s="808" customFormat="1" ht="19.5" customHeight="1">
      <c r="A42" s="3563"/>
      <c r="B42" s="3556"/>
      <c r="C42" s="805" t="s">
        <v>3006</v>
      </c>
      <c r="D42" s="806"/>
      <c r="E42" s="3216">
        <v>1</v>
      </c>
      <c r="F42" s="3215" t="s">
        <v>3007</v>
      </c>
      <c r="G42" s="807"/>
      <c r="H42" s="801"/>
      <c r="I42" s="801"/>
    </row>
    <row r="43" spans="1:9" s="808" customFormat="1" ht="19.5" customHeight="1">
      <c r="A43" s="3563"/>
      <c r="B43" s="3555"/>
      <c r="C43" s="805" t="s">
        <v>3008</v>
      </c>
      <c r="D43" s="806"/>
      <c r="E43" s="3216">
        <v>1.5</v>
      </c>
      <c r="F43" s="3215" t="s">
        <v>3009</v>
      </c>
      <c r="G43" s="807"/>
      <c r="H43" s="801"/>
      <c r="I43" s="801"/>
    </row>
    <row r="44" spans="1:9" s="808" customFormat="1" ht="19.5" customHeight="1">
      <c r="A44" s="3563"/>
      <c r="B44" s="3225" t="s">
        <v>2971</v>
      </c>
      <c r="C44" s="805" t="s">
        <v>3010</v>
      </c>
      <c r="D44" s="806"/>
      <c r="E44" s="3216">
        <v>2</v>
      </c>
      <c r="F44" s="3215" t="s">
        <v>3011</v>
      </c>
      <c r="G44" s="807"/>
      <c r="H44" s="801"/>
      <c r="I44" s="801"/>
    </row>
    <row r="45" spans="1:9" s="808" customFormat="1" ht="19.5" customHeight="1">
      <c r="A45" s="3563"/>
      <c r="B45" s="3554" t="s">
        <v>3012</v>
      </c>
      <c r="C45" s="805" t="s">
        <v>3013</v>
      </c>
      <c r="D45" s="806"/>
      <c r="E45" s="3216">
        <v>1</v>
      </c>
      <c r="F45" s="3215" t="s">
        <v>3014</v>
      </c>
      <c r="G45" s="807"/>
      <c r="H45" s="801"/>
      <c r="I45" s="801"/>
    </row>
    <row r="46" spans="1:9" s="808" customFormat="1" ht="19.5" customHeight="1">
      <c r="A46" s="3563"/>
      <c r="B46" s="3556"/>
      <c r="C46" s="805" t="s">
        <v>3015</v>
      </c>
      <c r="D46" s="806"/>
      <c r="E46" s="3216">
        <v>1</v>
      </c>
      <c r="F46" s="3215" t="s">
        <v>3016</v>
      </c>
      <c r="G46" s="807"/>
      <c r="H46" s="801"/>
      <c r="I46" s="801"/>
    </row>
    <row r="47" spans="1:9" s="808" customFormat="1" ht="19.5" customHeight="1">
      <c r="A47" s="3563"/>
      <c r="B47" s="3556"/>
      <c r="C47" s="805" t="s">
        <v>3017</v>
      </c>
      <c r="D47" s="806"/>
      <c r="E47" s="3216">
        <v>1</v>
      </c>
      <c r="F47" s="3215" t="s">
        <v>3018</v>
      </c>
      <c r="G47" s="807"/>
      <c r="H47" s="801"/>
      <c r="I47" s="801"/>
    </row>
    <row r="48" spans="1:9" s="808" customFormat="1" ht="19.5" customHeight="1">
      <c r="A48" s="3563"/>
      <c r="B48" s="3556"/>
      <c r="C48" s="805" t="s">
        <v>3019</v>
      </c>
      <c r="D48" s="806"/>
      <c r="E48" s="3216">
        <v>1</v>
      </c>
      <c r="F48" s="3215" t="s">
        <v>3020</v>
      </c>
      <c r="G48" s="807"/>
      <c r="H48" s="801"/>
      <c r="I48" s="801"/>
    </row>
    <row r="49" spans="1:9" s="808" customFormat="1" ht="19.5" customHeight="1">
      <c r="A49" s="3563"/>
      <c r="B49" s="3556"/>
      <c r="C49" s="805" t="s">
        <v>3021</v>
      </c>
      <c r="D49" s="806"/>
      <c r="E49" s="3216">
        <v>1</v>
      </c>
      <c r="F49" s="3215" t="s">
        <v>3022</v>
      </c>
      <c r="G49" s="807"/>
      <c r="H49" s="801"/>
      <c r="I49" s="801"/>
    </row>
    <row r="50" spans="1:9" s="808" customFormat="1" ht="19.5" customHeight="1">
      <c r="A50" s="3563"/>
      <c r="B50" s="3556"/>
      <c r="C50" s="805" t="s">
        <v>3023</v>
      </c>
      <c r="D50" s="806"/>
      <c r="E50" s="3216">
        <v>1</v>
      </c>
      <c r="F50" s="3215" t="s">
        <v>3024</v>
      </c>
      <c r="G50" s="807"/>
      <c r="H50" s="801"/>
      <c r="I50" s="801"/>
    </row>
    <row r="51" spans="1:9" s="808" customFormat="1" ht="19.5" customHeight="1" thickBot="1">
      <c r="A51" s="3564"/>
      <c r="B51" s="3558"/>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54" t="s">
        <v>3028</v>
      </c>
      <c r="C73" s="3205" t="s">
        <v>3029</v>
      </c>
      <c r="D73" s="3205" t="s">
        <v>3030</v>
      </c>
      <c r="E73" s="3226">
        <v>0.2</v>
      </c>
      <c r="F73" s="3225">
        <v>25</v>
      </c>
    </row>
    <row r="74" spans="1:7" s="801" customFormat="1" ht="24">
      <c r="A74" s="3225">
        <v>2</v>
      </c>
      <c r="B74" s="3556"/>
      <c r="C74" s="3205" t="s">
        <v>3031</v>
      </c>
      <c r="D74" s="3205" t="s">
        <v>3032</v>
      </c>
      <c r="E74" s="3226">
        <v>0.2</v>
      </c>
      <c r="F74" s="3225">
        <v>25</v>
      </c>
    </row>
    <row r="75" spans="1:7" s="801" customFormat="1" ht="24">
      <c r="A75" s="3225">
        <v>3</v>
      </c>
      <c r="B75" s="3556"/>
      <c r="C75" s="3205" t="s">
        <v>3033</v>
      </c>
      <c r="D75" s="3205" t="s">
        <v>3034</v>
      </c>
      <c r="E75" s="3226">
        <v>0.2</v>
      </c>
      <c r="F75" s="3225">
        <v>25</v>
      </c>
    </row>
    <row r="76" spans="1:7" s="801" customFormat="1" ht="13.5">
      <c r="A76" s="3225">
        <v>4</v>
      </c>
      <c r="B76" s="3556"/>
      <c r="C76" s="3205" t="s">
        <v>3035</v>
      </c>
      <c r="D76" s="3205" t="s">
        <v>3036</v>
      </c>
      <c r="E76" s="3226">
        <v>0.15</v>
      </c>
      <c r="F76" s="3225">
        <v>20</v>
      </c>
    </row>
    <row r="77" spans="1:7" s="801" customFormat="1" ht="24">
      <c r="A77" s="3225">
        <v>5</v>
      </c>
      <c r="B77" s="3556"/>
      <c r="C77" s="3205" t="s">
        <v>3037</v>
      </c>
      <c r="D77" s="3205" t="s">
        <v>3038</v>
      </c>
      <c r="E77" s="3226">
        <v>0.15</v>
      </c>
      <c r="F77" s="3225">
        <v>20</v>
      </c>
    </row>
    <row r="78" spans="1:7" s="801" customFormat="1" ht="24">
      <c r="A78" s="3225">
        <v>6</v>
      </c>
      <c r="B78" s="3556"/>
      <c r="C78" s="3205" t="s">
        <v>3039</v>
      </c>
      <c r="D78" s="3205" t="s">
        <v>3040</v>
      </c>
      <c r="E78" s="3226">
        <v>0.15</v>
      </c>
      <c r="F78" s="3225">
        <v>20</v>
      </c>
    </row>
    <row r="79" spans="1:7" s="801" customFormat="1" ht="24">
      <c r="A79" s="3225">
        <v>7</v>
      </c>
      <c r="B79" s="3556"/>
      <c r="C79" s="3205" t="s">
        <v>3041</v>
      </c>
      <c r="D79" s="3205" t="s">
        <v>3042</v>
      </c>
      <c r="E79" s="3226">
        <v>0.15</v>
      </c>
      <c r="F79" s="3225">
        <v>20</v>
      </c>
    </row>
    <row r="80" spans="1:7" s="801" customFormat="1" ht="24">
      <c r="A80" s="3225">
        <v>8</v>
      </c>
      <c r="B80" s="3556"/>
      <c r="C80" s="3205" t="s">
        <v>3043</v>
      </c>
      <c r="D80" s="3205" t="s">
        <v>3044</v>
      </c>
      <c r="E80" s="3226">
        <v>0.1</v>
      </c>
      <c r="F80" s="3225">
        <v>15</v>
      </c>
    </row>
    <row r="81" spans="1:6" s="801" customFormat="1" ht="24">
      <c r="A81" s="3225">
        <v>9</v>
      </c>
      <c r="B81" s="3556"/>
      <c r="C81" s="3205" t="s">
        <v>3045</v>
      </c>
      <c r="D81" s="3205" t="s">
        <v>3046</v>
      </c>
      <c r="E81" s="3226">
        <v>0.1</v>
      </c>
      <c r="F81" s="3225">
        <v>15</v>
      </c>
    </row>
    <row r="82" spans="1:6" s="801" customFormat="1" ht="24">
      <c r="A82" s="3225">
        <v>10</v>
      </c>
      <c r="B82" s="3556"/>
      <c r="C82" s="3205" t="s">
        <v>3047</v>
      </c>
      <c r="D82" s="3205" t="s">
        <v>3048</v>
      </c>
      <c r="E82" s="3226">
        <v>0.1</v>
      </c>
      <c r="F82" s="3225">
        <v>15</v>
      </c>
    </row>
    <row r="83" spans="1:6" s="801" customFormat="1" ht="24">
      <c r="A83" s="3225">
        <v>11</v>
      </c>
      <c r="B83" s="3556"/>
      <c r="C83" s="3205" t="s">
        <v>3049</v>
      </c>
      <c r="D83" s="3205" t="s">
        <v>3050</v>
      </c>
      <c r="E83" s="3226">
        <v>0.1</v>
      </c>
      <c r="F83" s="3225">
        <v>15</v>
      </c>
    </row>
    <row r="84" spans="1:6" s="801" customFormat="1" ht="24">
      <c r="A84" s="3225">
        <v>12</v>
      </c>
      <c r="B84" s="3556"/>
      <c r="C84" s="3205" t="s">
        <v>3051</v>
      </c>
      <c r="D84" s="3205" t="s">
        <v>3052</v>
      </c>
      <c r="E84" s="3226">
        <v>0.1</v>
      </c>
      <c r="F84" s="3225">
        <v>15</v>
      </c>
    </row>
    <row r="85" spans="1:6" s="801" customFormat="1" ht="13.5">
      <c r="A85" s="3225">
        <v>13</v>
      </c>
      <c r="B85" s="3556"/>
      <c r="C85" s="3205" t="s">
        <v>3053</v>
      </c>
      <c r="D85" s="3205" t="s">
        <v>3054</v>
      </c>
      <c r="E85" s="3226">
        <v>0.1</v>
      </c>
      <c r="F85" s="3225">
        <v>15</v>
      </c>
    </row>
    <row r="86" spans="1:6" s="801" customFormat="1" ht="13.5">
      <c r="A86" s="3225">
        <v>14</v>
      </c>
      <c r="B86" s="3556"/>
      <c r="C86" s="3205" t="s">
        <v>3055</v>
      </c>
      <c r="D86" s="3205" t="s">
        <v>3056</v>
      </c>
      <c r="E86" s="3226">
        <v>0.1</v>
      </c>
      <c r="F86" s="3225">
        <v>15</v>
      </c>
    </row>
    <row r="87" spans="1:6" s="801" customFormat="1" ht="13.5">
      <c r="A87" s="3225">
        <v>15</v>
      </c>
      <c r="B87" s="3556"/>
      <c r="C87" s="3205" t="s">
        <v>3057</v>
      </c>
      <c r="D87" s="3205" t="s">
        <v>3058</v>
      </c>
      <c r="E87" s="3226">
        <v>0.1</v>
      </c>
      <c r="F87" s="3225">
        <v>15</v>
      </c>
    </row>
    <row r="88" spans="1:6" s="801" customFormat="1" ht="24">
      <c r="A88" s="3225">
        <v>16</v>
      </c>
      <c r="B88" s="3556"/>
      <c r="C88" s="3205" t="s">
        <v>3059</v>
      </c>
      <c r="D88" s="3205" t="s">
        <v>3060</v>
      </c>
      <c r="E88" s="3226">
        <v>0.1</v>
      </c>
      <c r="F88" s="3225">
        <v>15</v>
      </c>
    </row>
    <row r="89" spans="1:6" s="801" customFormat="1" ht="24">
      <c r="A89" s="3225">
        <v>17</v>
      </c>
      <c r="B89" s="3555"/>
      <c r="C89" s="3205" t="s">
        <v>3061</v>
      </c>
      <c r="D89" s="3205" t="s">
        <v>3062</v>
      </c>
      <c r="E89" s="3226">
        <v>0.1</v>
      </c>
      <c r="F89" s="3225">
        <v>15</v>
      </c>
    </row>
    <row r="90" spans="1:6" s="801" customFormat="1" ht="13.5">
      <c r="A90" s="3225">
        <v>18</v>
      </c>
      <c r="B90" s="3554" t="s">
        <v>3063</v>
      </c>
      <c r="C90" s="3205" t="s">
        <v>3064</v>
      </c>
      <c r="D90" s="3205" t="s">
        <v>3065</v>
      </c>
      <c r="E90" s="3226">
        <v>0.2</v>
      </c>
      <c r="F90" s="3225">
        <v>25</v>
      </c>
    </row>
    <row r="91" spans="1:6" s="801" customFormat="1" ht="24">
      <c r="A91" s="3225">
        <v>19</v>
      </c>
      <c r="B91" s="3556"/>
      <c r="C91" s="3205" t="s">
        <v>3066</v>
      </c>
      <c r="D91" s="3205" t="s">
        <v>3067</v>
      </c>
      <c r="E91" s="3226">
        <v>0.2</v>
      </c>
      <c r="F91" s="3225">
        <v>25</v>
      </c>
    </row>
    <row r="92" spans="1:6" s="801" customFormat="1" ht="13.5">
      <c r="A92" s="3225">
        <v>20</v>
      </c>
      <c r="B92" s="3556"/>
      <c r="C92" s="3205" t="s">
        <v>3068</v>
      </c>
      <c r="D92" s="3205" t="s">
        <v>3069</v>
      </c>
      <c r="E92" s="3226">
        <v>0.15</v>
      </c>
      <c r="F92" s="3225">
        <v>20</v>
      </c>
    </row>
    <row r="93" spans="1:6" s="801" customFormat="1" ht="24">
      <c r="A93" s="3225">
        <v>21</v>
      </c>
      <c r="B93" s="3556"/>
      <c r="C93" s="3205" t="s">
        <v>3070</v>
      </c>
      <c r="D93" s="3205" t="s">
        <v>3071</v>
      </c>
      <c r="E93" s="3226">
        <v>0.15</v>
      </c>
      <c r="F93" s="3225">
        <v>20</v>
      </c>
    </row>
    <row r="94" spans="1:6" s="801" customFormat="1" ht="24">
      <c r="A94" s="3225">
        <v>22</v>
      </c>
      <c r="B94" s="3556"/>
      <c r="C94" s="3205" t="s">
        <v>3072</v>
      </c>
      <c r="D94" s="3205" t="s">
        <v>3073</v>
      </c>
      <c r="E94" s="3226">
        <v>0.15</v>
      </c>
      <c r="F94" s="3225">
        <v>20</v>
      </c>
    </row>
    <row r="95" spans="1:6" s="801" customFormat="1" ht="36">
      <c r="A95" s="3225">
        <v>23</v>
      </c>
      <c r="B95" s="3556"/>
      <c r="C95" s="3205" t="s">
        <v>3074</v>
      </c>
      <c r="D95" s="3205" t="s">
        <v>3075</v>
      </c>
      <c r="E95" s="3226">
        <v>0.15</v>
      </c>
      <c r="F95" s="3225">
        <v>20</v>
      </c>
    </row>
    <row r="96" spans="1:6" s="801" customFormat="1" ht="13.5">
      <c r="A96" s="3225">
        <v>24</v>
      </c>
      <c r="B96" s="3556"/>
      <c r="C96" s="3205" t="s">
        <v>3076</v>
      </c>
      <c r="D96" s="3205" t="s">
        <v>3077</v>
      </c>
      <c r="E96" s="3226">
        <v>0.1</v>
      </c>
      <c r="F96" s="3225">
        <v>15</v>
      </c>
    </row>
    <row r="97" spans="1:6" s="801" customFormat="1" ht="24">
      <c r="A97" s="3225">
        <v>25</v>
      </c>
      <c r="B97" s="3556"/>
      <c r="C97" s="3205" t="s">
        <v>3078</v>
      </c>
      <c r="D97" s="3205" t="s">
        <v>3079</v>
      </c>
      <c r="E97" s="3226">
        <v>0.1</v>
      </c>
      <c r="F97" s="3225">
        <v>15</v>
      </c>
    </row>
    <row r="98" spans="1:6" s="801" customFormat="1" ht="24">
      <c r="A98" s="3225">
        <v>26</v>
      </c>
      <c r="B98" s="3556"/>
      <c r="C98" s="3205" t="s">
        <v>3080</v>
      </c>
      <c r="D98" s="3205" t="s">
        <v>3081</v>
      </c>
      <c r="E98" s="3226">
        <v>0.1</v>
      </c>
      <c r="F98" s="3225">
        <v>15</v>
      </c>
    </row>
    <row r="99" spans="1:6" s="801" customFormat="1" ht="24">
      <c r="A99" s="3225">
        <v>27</v>
      </c>
      <c r="B99" s="3556"/>
      <c r="C99" s="3205" t="s">
        <v>3082</v>
      </c>
      <c r="D99" s="3205" t="s">
        <v>3083</v>
      </c>
      <c r="E99" s="3226">
        <v>0.1</v>
      </c>
      <c r="F99" s="3225">
        <v>15</v>
      </c>
    </row>
    <row r="100" spans="1:6" s="801" customFormat="1" ht="24">
      <c r="A100" s="3225">
        <v>28</v>
      </c>
      <c r="B100" s="3556"/>
      <c r="C100" s="3205" t="s">
        <v>3084</v>
      </c>
      <c r="D100" s="3205" t="s">
        <v>3085</v>
      </c>
      <c r="E100" s="3226">
        <v>0.1</v>
      </c>
      <c r="F100" s="3225">
        <v>15</v>
      </c>
    </row>
    <row r="101" spans="1:6" s="801" customFormat="1" ht="24">
      <c r="A101" s="3225">
        <v>29</v>
      </c>
      <c r="B101" s="3556"/>
      <c r="C101" s="3205" t="s">
        <v>3086</v>
      </c>
      <c r="D101" s="3205" t="s">
        <v>3087</v>
      </c>
      <c r="E101" s="3226">
        <v>0.1</v>
      </c>
      <c r="F101" s="3225">
        <v>15</v>
      </c>
    </row>
    <row r="102" spans="1:6" s="801" customFormat="1" ht="24">
      <c r="A102" s="3225">
        <v>30</v>
      </c>
      <c r="B102" s="3556"/>
      <c r="C102" s="3205" t="s">
        <v>3088</v>
      </c>
      <c r="D102" s="3205" t="s">
        <v>3089</v>
      </c>
      <c r="E102" s="3226">
        <v>0.1</v>
      </c>
      <c r="F102" s="3225">
        <v>15</v>
      </c>
    </row>
    <row r="103" spans="1:6" s="801" customFormat="1" ht="24">
      <c r="A103" s="3225">
        <v>31</v>
      </c>
      <c r="B103" s="3556"/>
      <c r="C103" s="3205" t="s">
        <v>3090</v>
      </c>
      <c r="D103" s="3205" t="s">
        <v>3091</v>
      </c>
      <c r="E103" s="3226">
        <v>0.1</v>
      </c>
      <c r="F103" s="3225">
        <v>15</v>
      </c>
    </row>
    <row r="104" spans="1:6" s="801" customFormat="1" ht="24">
      <c r="A104" s="3225">
        <v>32</v>
      </c>
      <c r="B104" s="3556"/>
      <c r="C104" s="3205" t="s">
        <v>3092</v>
      </c>
      <c r="D104" s="3205" t="s">
        <v>3093</v>
      </c>
      <c r="E104" s="3226">
        <v>0.1</v>
      </c>
      <c r="F104" s="3225">
        <v>15</v>
      </c>
    </row>
    <row r="105" spans="1:6" s="801" customFormat="1" ht="24">
      <c r="A105" s="3225">
        <v>33</v>
      </c>
      <c r="B105" s="3556"/>
      <c r="C105" s="3205" t="s">
        <v>3094</v>
      </c>
      <c r="D105" s="3205" t="s">
        <v>3095</v>
      </c>
      <c r="E105" s="3226">
        <v>0.1</v>
      </c>
      <c r="F105" s="3225">
        <v>15</v>
      </c>
    </row>
    <row r="106" spans="1:6" s="801" customFormat="1" ht="24">
      <c r="A106" s="3225">
        <v>34</v>
      </c>
      <c r="B106" s="3555"/>
      <c r="C106" s="3205" t="s">
        <v>3096</v>
      </c>
      <c r="D106" s="3205" t="s">
        <v>3097</v>
      </c>
      <c r="E106" s="3226">
        <v>0.1</v>
      </c>
      <c r="F106" s="3225">
        <v>15</v>
      </c>
    </row>
    <row r="107" spans="1:6" s="801" customFormat="1" ht="24">
      <c r="A107" s="3225">
        <v>35</v>
      </c>
      <c r="B107" s="3554" t="s">
        <v>3098</v>
      </c>
      <c r="C107" s="3225" t="s">
        <v>3099</v>
      </c>
      <c r="D107" s="3205" t="s">
        <v>3100</v>
      </c>
      <c r="E107" s="3226">
        <v>0.15</v>
      </c>
      <c r="F107" s="3225">
        <v>20</v>
      </c>
    </row>
    <row r="108" spans="1:6" s="801" customFormat="1" ht="24">
      <c r="A108" s="3225">
        <v>36</v>
      </c>
      <c r="B108" s="3556"/>
      <c r="C108" s="3225" t="s">
        <v>3101</v>
      </c>
      <c r="D108" s="3205" t="s">
        <v>3102</v>
      </c>
      <c r="E108" s="3226">
        <v>0.15</v>
      </c>
      <c r="F108" s="3225">
        <v>20</v>
      </c>
    </row>
    <row r="109" spans="1:6" s="801" customFormat="1" ht="24">
      <c r="A109" s="3225">
        <v>37</v>
      </c>
      <c r="B109" s="3556"/>
      <c r="C109" s="3225" t="s">
        <v>3103</v>
      </c>
      <c r="D109" s="3205" t="s">
        <v>3104</v>
      </c>
      <c r="E109" s="3226">
        <v>0.15</v>
      </c>
      <c r="F109" s="3225">
        <v>20</v>
      </c>
    </row>
    <row r="110" spans="1:6" s="801" customFormat="1" ht="13.5">
      <c r="A110" s="3225">
        <v>38</v>
      </c>
      <c r="B110" s="3556"/>
      <c r="C110" s="3225" t="s">
        <v>3105</v>
      </c>
      <c r="D110" s="3205" t="s">
        <v>3106</v>
      </c>
      <c r="E110" s="3226">
        <v>0.1</v>
      </c>
      <c r="F110" s="3225">
        <v>15</v>
      </c>
    </row>
    <row r="111" spans="1:6" s="801" customFormat="1" ht="24">
      <c r="A111" s="3225">
        <v>39</v>
      </c>
      <c r="B111" s="3556"/>
      <c r="C111" s="3225" t="s">
        <v>3107</v>
      </c>
      <c r="D111" s="3205" t="s">
        <v>3108</v>
      </c>
      <c r="E111" s="3226">
        <v>0.1</v>
      </c>
      <c r="F111" s="3225">
        <v>15</v>
      </c>
    </row>
    <row r="112" spans="1:6" s="801" customFormat="1" ht="24">
      <c r="A112" s="3225">
        <v>40</v>
      </c>
      <c r="B112" s="3555"/>
      <c r="C112" s="3225" t="s">
        <v>3109</v>
      </c>
      <c r="D112" s="3205" t="s">
        <v>3110</v>
      </c>
      <c r="E112" s="3226">
        <v>0.1</v>
      </c>
      <c r="F112" s="3225">
        <v>15</v>
      </c>
    </row>
    <row r="113" spans="1:6" s="801" customFormat="1" ht="24">
      <c r="A113" s="3225">
        <v>41</v>
      </c>
      <c r="B113" s="3553" t="s">
        <v>3111</v>
      </c>
      <c r="C113" s="3225" t="s">
        <v>3112</v>
      </c>
      <c r="D113" s="3205" t="s">
        <v>3113</v>
      </c>
      <c r="E113" s="3226">
        <v>0.1</v>
      </c>
      <c r="F113" s="3225">
        <v>15</v>
      </c>
    </row>
    <row r="114" spans="1:6" s="801" customFormat="1" ht="13.5">
      <c r="A114" s="3225">
        <v>42</v>
      </c>
      <c r="B114" s="3553"/>
      <c r="C114" s="3225" t="s">
        <v>3114</v>
      </c>
      <c r="D114" s="3205" t="s">
        <v>3115</v>
      </c>
      <c r="E114" s="3226">
        <v>0.1</v>
      </c>
      <c r="F114" s="3225">
        <v>15</v>
      </c>
    </row>
    <row r="115" spans="1:6" s="801" customFormat="1" ht="24">
      <c r="A115" s="3225">
        <v>43</v>
      </c>
      <c r="B115" s="3553"/>
      <c r="C115" s="3225" t="s">
        <v>3116</v>
      </c>
      <c r="D115" s="3205" t="s">
        <v>3117</v>
      </c>
      <c r="E115" s="3226">
        <v>0.1</v>
      </c>
      <c r="F115" s="3225">
        <v>15</v>
      </c>
    </row>
    <row r="116" spans="1:6" s="801" customFormat="1" ht="24">
      <c r="A116" s="3225">
        <v>44</v>
      </c>
      <c r="B116" s="3554" t="s">
        <v>3118</v>
      </c>
      <c r="C116" s="3225" t="s">
        <v>3119</v>
      </c>
      <c r="D116" s="3205" t="s">
        <v>3120</v>
      </c>
      <c r="E116" s="3226">
        <v>0.1</v>
      </c>
      <c r="F116" s="3225">
        <v>15</v>
      </c>
    </row>
    <row r="117" spans="1:6" s="801" customFormat="1" ht="24">
      <c r="A117" s="3225">
        <v>45</v>
      </c>
      <c r="B117" s="3555"/>
      <c r="C117" s="3205" t="s">
        <v>3121</v>
      </c>
      <c r="D117" s="3205" t="s">
        <v>3122</v>
      </c>
      <c r="E117" s="3226">
        <v>0.1</v>
      </c>
      <c r="F117" s="3225">
        <v>15</v>
      </c>
    </row>
    <row r="118" spans="1:6" s="801" customFormat="1" ht="24">
      <c r="A118" s="3225">
        <v>46</v>
      </c>
      <c r="B118" s="3554" t="s">
        <v>3123</v>
      </c>
      <c r="C118" s="3225" t="s">
        <v>3124</v>
      </c>
      <c r="D118" s="3205" t="s">
        <v>3125</v>
      </c>
      <c r="E118" s="3226">
        <v>0.1</v>
      </c>
      <c r="F118" s="3225">
        <v>15</v>
      </c>
    </row>
    <row r="119" spans="1:6" s="801" customFormat="1" ht="24">
      <c r="A119" s="3225">
        <v>47</v>
      </c>
      <c r="B119" s="3555"/>
      <c r="C119" s="3225" t="s">
        <v>3126</v>
      </c>
      <c r="D119" s="3205" t="s">
        <v>3127</v>
      </c>
      <c r="E119" s="3226">
        <v>0.1</v>
      </c>
      <c r="F119" s="3225">
        <v>15</v>
      </c>
    </row>
    <row r="120" spans="1:6" s="801" customFormat="1" ht="24">
      <c r="A120" s="3225">
        <v>48</v>
      </c>
      <c r="B120" s="3554" t="s">
        <v>3128</v>
      </c>
      <c r="C120" s="3225" t="s">
        <v>3129</v>
      </c>
      <c r="D120" s="3205" t="s">
        <v>3130</v>
      </c>
      <c r="E120" s="3226">
        <v>0.1</v>
      </c>
      <c r="F120" s="3225">
        <v>15</v>
      </c>
    </row>
    <row r="121" spans="1:6" s="801" customFormat="1" ht="13.5">
      <c r="A121" s="3225">
        <v>49</v>
      </c>
      <c r="B121" s="3555"/>
      <c r="C121" s="3225" t="s">
        <v>3131</v>
      </c>
      <c r="D121" s="3205" t="s">
        <v>3132</v>
      </c>
      <c r="E121" s="3226">
        <v>0.1</v>
      </c>
      <c r="F121" s="3225">
        <v>15</v>
      </c>
    </row>
    <row r="122" spans="1:6" s="801" customFormat="1" ht="24">
      <c r="A122" s="3225">
        <v>50</v>
      </c>
      <c r="B122" s="3553" t="s">
        <v>3133</v>
      </c>
      <c r="C122" s="3225" t="s">
        <v>3134</v>
      </c>
      <c r="D122" s="3205" t="s">
        <v>3135</v>
      </c>
      <c r="E122" s="3226">
        <v>0.1</v>
      </c>
      <c r="F122" s="3225">
        <v>15</v>
      </c>
    </row>
    <row r="123" spans="1:6" s="801" customFormat="1" ht="24">
      <c r="A123" s="3225">
        <v>51</v>
      </c>
      <c r="B123" s="3553"/>
      <c r="C123" s="3225" t="s">
        <v>3136</v>
      </c>
      <c r="D123" s="3205" t="s">
        <v>3137</v>
      </c>
      <c r="E123" s="3226">
        <v>0.1</v>
      </c>
      <c r="F123" s="3225">
        <v>15</v>
      </c>
    </row>
    <row r="124" spans="1:6" s="801" customFormat="1" ht="24">
      <c r="A124" s="3225">
        <v>52</v>
      </c>
      <c r="B124" s="3553" t="s">
        <v>3138</v>
      </c>
      <c r="C124" s="3225" t="s">
        <v>3139</v>
      </c>
      <c r="D124" s="3205" t="s">
        <v>3140</v>
      </c>
      <c r="E124" s="3226">
        <v>0.1</v>
      </c>
      <c r="F124" s="3225">
        <v>15</v>
      </c>
    </row>
    <row r="125" spans="1:6" s="801" customFormat="1" ht="24">
      <c r="A125" s="3225">
        <v>53</v>
      </c>
      <c r="B125" s="3553"/>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53" t="s">
        <v>3146</v>
      </c>
      <c r="C127" s="3225" t="s">
        <v>3147</v>
      </c>
      <c r="D127" s="3205" t="s">
        <v>3148</v>
      </c>
      <c r="E127" s="3226">
        <v>0.1</v>
      </c>
      <c r="F127" s="3225">
        <v>15</v>
      </c>
    </row>
    <row r="128" spans="1:6" ht="13.5">
      <c r="A128" s="3225">
        <v>56</v>
      </c>
      <c r="B128" s="3553"/>
      <c r="C128" s="3225" t="s">
        <v>3149</v>
      </c>
      <c r="D128" s="3205" t="s">
        <v>3150</v>
      </c>
      <c r="E128" s="3226">
        <v>0.1</v>
      </c>
      <c r="F128" s="3225">
        <v>15</v>
      </c>
    </row>
    <row r="129" spans="1:6" ht="24">
      <c r="A129" s="3225">
        <v>57</v>
      </c>
      <c r="B129" s="3553"/>
      <c r="C129" s="3225" t="s">
        <v>3151</v>
      </c>
      <c r="D129" s="3205" t="s">
        <v>3152</v>
      </c>
      <c r="E129" s="3226">
        <v>0.1</v>
      </c>
      <c r="F129" s="3225">
        <v>15</v>
      </c>
    </row>
    <row r="130" spans="1:6" ht="24">
      <c r="A130" s="3225">
        <v>58</v>
      </c>
      <c r="B130" s="3553" t="s">
        <v>3153</v>
      </c>
      <c r="C130" s="3225" t="s">
        <v>3154</v>
      </c>
      <c r="D130" s="3205" t="s">
        <v>3155</v>
      </c>
      <c r="E130" s="3226">
        <v>0.1</v>
      </c>
      <c r="F130" s="3225">
        <v>15</v>
      </c>
    </row>
    <row r="131" spans="1:6" ht="24">
      <c r="A131" s="3225">
        <v>59</v>
      </c>
      <c r="B131" s="3553"/>
      <c r="C131" s="3225" t="s">
        <v>3156</v>
      </c>
      <c r="D131" s="3205" t="s">
        <v>3157</v>
      </c>
      <c r="E131" s="3226">
        <v>0.1</v>
      </c>
      <c r="F131" s="3225">
        <v>15</v>
      </c>
    </row>
    <row r="132" spans="1:6" ht="24">
      <c r="A132" s="3225">
        <v>60</v>
      </c>
      <c r="B132" s="3554" t="s">
        <v>3158</v>
      </c>
      <c r="C132" s="3225" t="s">
        <v>3159</v>
      </c>
      <c r="D132" s="3205" t="s">
        <v>3160</v>
      </c>
      <c r="E132" s="3226">
        <v>0.1</v>
      </c>
      <c r="F132" s="3225">
        <v>15</v>
      </c>
    </row>
    <row r="133" spans="1:6" ht="24">
      <c r="A133" s="3225">
        <v>61</v>
      </c>
      <c r="B133" s="3555"/>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53" t="s">
        <v>3166</v>
      </c>
      <c r="C135" s="3225" t="s">
        <v>3167</v>
      </c>
      <c r="D135" s="3205" t="s">
        <v>3168</v>
      </c>
      <c r="E135" s="3226">
        <v>0.1</v>
      </c>
      <c r="F135" s="3225">
        <v>15</v>
      </c>
    </row>
    <row r="136" spans="1:6" ht="13.5">
      <c r="A136" s="3225">
        <v>64</v>
      </c>
      <c r="B136" s="3553"/>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4.2622999999999998</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3"/>
      <c r="G1" s="2973"/>
      <c r="H1" s="2973"/>
      <c r="I1" s="2973"/>
      <c r="J1" s="2973"/>
      <c r="K1" s="2973"/>
      <c r="L1" s="2973"/>
      <c r="M1" s="2973"/>
      <c r="N1" s="2973"/>
      <c r="O1" s="2973"/>
      <c r="P1" s="2973"/>
    </row>
    <row r="2" spans="1:16" ht="15.75">
      <c r="A2" s="2312" t="s">
        <v>2572</v>
      </c>
      <c r="B2" s="2777" t="e">
        <f ca="1">SUMIF(B6:B13,"&lt;&gt;#ref!",B6:B13)</f>
        <v>#DIV/0!</v>
      </c>
      <c r="C2" s="2312" t="s">
        <v>2573</v>
      </c>
      <c r="D2" s="2312" t="s">
        <v>2574</v>
      </c>
      <c r="E2" s="2787">
        <f ca="1">SUMIF(E6:E13,"&lt;&gt;#ref!",E6:E13)</f>
        <v>0</v>
      </c>
      <c r="F2" s="2973"/>
      <c r="G2" s="2973"/>
      <c r="H2" s="2973"/>
      <c r="I2" s="2973"/>
      <c r="J2" s="2973"/>
      <c r="K2" s="2973"/>
      <c r="L2" s="2973"/>
      <c r="M2" s="2973"/>
      <c r="N2" s="2973"/>
      <c r="O2" s="2973"/>
      <c r="P2" s="2973"/>
    </row>
    <row r="3" spans="1:16" ht="15.75">
      <c r="A3" s="2312" t="s">
        <v>2575</v>
      </c>
      <c r="B3" s="2777" t="e">
        <f ca="1">ROUND(B2*10000/E2,0)</f>
        <v>#DIV/0!</v>
      </c>
      <c r="C3" s="2312"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3"/>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2"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9" t="s">
        <v>2583</v>
      </c>
      <c r="D1" s="3580"/>
      <c r="E1" s="3580"/>
      <c r="F1" s="3580"/>
      <c r="G1" s="3580"/>
      <c r="H1" s="3580"/>
      <c r="I1" s="3580"/>
      <c r="J1" s="3580"/>
      <c r="K1" s="3580"/>
      <c r="L1" s="3580"/>
      <c r="M1" s="3580"/>
      <c r="N1" s="3580"/>
      <c r="O1" s="3580"/>
      <c r="P1" s="3580"/>
      <c r="Q1" s="3580"/>
      <c r="R1" s="3580"/>
      <c r="S1" s="3581"/>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估价结果一览表（市场价值不需“结果表-1”）</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11736</v>
      </c>
      <c r="E5" s="1627"/>
    </row>
    <row r="6" spans="1:5" ht="15.75">
      <c r="A6" s="1627"/>
      <c r="B6" s="3241"/>
      <c r="C6" s="1630" t="s">
        <v>1348</v>
      </c>
      <c r="D6" s="940" t="str">
        <f ca="1">NUMBERSTRING(INT(D5*10000),2)&amp;"元整"</f>
        <v>壹亿壹仟柒佰叁拾陆万元整</v>
      </c>
      <c r="E6" s="1627"/>
    </row>
    <row r="7" spans="1:5" ht="15.75">
      <c r="A7" s="1627"/>
      <c r="B7" s="3246"/>
      <c r="C7" s="1631" t="s">
        <v>1349</v>
      </c>
      <c r="D7" s="941">
        <f ca="1">结果表!H102</f>
        <v>11639</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11736</v>
      </c>
      <c r="E13" s="1627"/>
    </row>
    <row r="14" spans="1:5" ht="15.75">
      <c r="A14" s="1627"/>
      <c r="B14" s="3241"/>
      <c r="C14" s="1630" t="s">
        <v>1348</v>
      </c>
      <c r="D14" s="940" t="str">
        <f ca="1">NUMBERSTRING(INT(D13*10000),2)&amp;"元整"</f>
        <v>壹亿壹仟柒佰叁拾陆万元整</v>
      </c>
      <c r="E14" s="1627"/>
    </row>
    <row r="15" spans="1:5" ht="15">
      <c r="A15" s="1627"/>
      <c r="B15" s="3246"/>
      <c r="C15" s="1631" t="s">
        <v>1358</v>
      </c>
      <c r="D15" s="949">
        <f ca="1">结果表!H108</f>
        <v>11639</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v>
      </c>
      <c r="C19" s="1635" t="s">
        <v>1347</v>
      </c>
      <c r="D19" s="941" t="str">
        <f>结果表!H111</f>
        <v>——</v>
      </c>
      <c r="E19" s="1627"/>
    </row>
    <row r="20" spans="1:5" ht="15.75">
      <c r="A20" s="1627"/>
      <c r="B20" s="3241"/>
      <c r="C20" s="1630" t="s">
        <v>1360</v>
      </c>
      <c r="D20" s="940" t="e">
        <f>NUMBERSTRING(INT(D19*10000),2)&amp;"元整"</f>
        <v>#VALUE!</v>
      </c>
      <c r="E20" s="1627"/>
    </row>
    <row r="21" spans="1:5" ht="15.75" thickBot="1">
      <c r="A21" s="1627"/>
      <c r="B21" s="324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29164</v>
      </c>
      <c r="C2" s="2" t="s">
        <v>133</v>
      </c>
      <c r="D2" s="205"/>
      <c r="E2" s="205"/>
      <c r="F2" s="205"/>
      <c r="G2" s="205"/>
    </row>
    <row r="3" spans="1:7" s="206" customFormat="1" ht="18" customHeight="1" thickBot="1">
      <c r="A3" s="209" t="s">
        <v>85</v>
      </c>
      <c r="B3" s="210">
        <f ca="1">ROUND(B2*10000/'数据-汇总表'!E3,0)</f>
        <v>28923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202</v>
      </c>
      <c r="D10" s="935">
        <f>'数据-汇总表'!E6</f>
        <v>10083.39</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202</v>
      </c>
      <c r="D19" s="939">
        <f>'数据-汇总表'!E3</f>
        <v>10083.39</v>
      </c>
      <c r="E19" s="217">
        <f>'数据-取费表'!B31</f>
        <v>200</v>
      </c>
      <c r="F19" s="237"/>
      <c r="G19" s="1" t="s">
        <v>861</v>
      </c>
    </row>
    <row r="20" spans="1:7" s="220" customFormat="1" ht="13.5" customHeight="1">
      <c r="A20" s="866" t="s">
        <v>844</v>
      </c>
      <c r="B20" s="216" t="s">
        <v>104</v>
      </c>
      <c r="C20" s="238">
        <f>ROUND((C5+C19)*F20,0)</f>
        <v>208</v>
      </c>
      <c r="D20" s="238"/>
      <c r="E20" s="238"/>
      <c r="F20" s="239">
        <f>'数据-取费表'!B37</f>
        <v>0.01</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1794</v>
      </c>
      <c r="D22" s="241">
        <f ca="1">C26</f>
        <v>4.0000000000000002E-4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17</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2102</v>
      </c>
      <c r="D27" s="241">
        <f>C29</f>
        <v>1E-3</v>
      </c>
      <c r="E27" s="242" t="s">
        <v>126</v>
      </c>
      <c r="F27" s="252">
        <f>'数据-取费表'!Q16</f>
        <v>0.1</v>
      </c>
      <c r="G27" s="253" t="s">
        <v>856</v>
      </c>
    </row>
    <row r="28" spans="1:7" s="220" customFormat="1" ht="13.5" customHeight="1">
      <c r="A28" s="869" t="s">
        <v>613</v>
      </c>
      <c r="B28" s="254" t="s">
        <v>849</v>
      </c>
      <c r="C28" s="255">
        <f>ROUND((C5+C19+C20)*F27*'数据-取费表'!B21/'数据-取费表'!B20,0)</f>
        <v>2102</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26613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2837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2521</v>
      </c>
      <c r="D34" s="223"/>
      <c r="E34" s="226"/>
      <c r="F34" s="263">
        <f>IF('数据-取费表'!B24=0,1,'数据-取费表'!N16)</f>
        <v>1</v>
      </c>
      <c r="G34" s="225" t="s">
        <v>116</v>
      </c>
    </row>
    <row r="35" spans="1:7" ht="13.5" customHeight="1">
      <c r="A35" s="869" t="s">
        <v>615</v>
      </c>
      <c r="B35" s="221" t="s">
        <v>60</v>
      </c>
      <c r="C35" s="226">
        <f>ROUND(C34*F35,0)</f>
        <v>76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202</v>
      </c>
      <c r="D37" s="223">
        <f>'数据-汇总表'!E3</f>
        <v>10083.39</v>
      </c>
      <c r="E37" s="255">
        <f>'数据-取费表'!B35</f>
        <v>200</v>
      </c>
      <c r="F37" s="265"/>
      <c r="G37" s="267" t="s">
        <v>119</v>
      </c>
    </row>
    <row r="38" spans="1:7" ht="13.5" customHeight="1">
      <c r="A38" s="869" t="s">
        <v>618</v>
      </c>
      <c r="B38" s="221" t="s">
        <v>63</v>
      </c>
      <c r="C38" s="226">
        <f>ROUND(C34*F38,0)</f>
        <v>38</v>
      </c>
      <c r="D38" s="226"/>
      <c r="E38" s="226"/>
      <c r="F38" s="265">
        <f>'数据-取费表'!B36</f>
        <v>1.4999999999999999E-2</v>
      </c>
      <c r="G38" s="225" t="s">
        <v>117</v>
      </c>
    </row>
    <row r="39" spans="1:7" s="220" customFormat="1" ht="13.5" customHeight="1">
      <c r="A39" s="866" t="s">
        <v>602</v>
      </c>
      <c r="B39" s="216" t="s">
        <v>104</v>
      </c>
      <c r="C39" s="238">
        <f>ROUND(C33*F20,0)</f>
        <v>28</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120</v>
      </c>
      <c r="D41" s="241">
        <f ca="1">C44</f>
        <v>4.0000000000000002E-4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119</v>
      </c>
      <c r="D42" s="244"/>
      <c r="E42" s="244"/>
      <c r="F42" s="245"/>
      <c r="G42" s="3428" t="s">
        <v>121</v>
      </c>
    </row>
    <row r="43" spans="1:7" ht="13.5" customHeight="1">
      <c r="A43" s="869" t="s">
        <v>611</v>
      </c>
      <c r="B43" s="221" t="s">
        <v>851</v>
      </c>
      <c r="C43" s="244">
        <f ca="1">ROUND(IF('数据-取费表'!B22&lt;=1,C39*F22*'数据-取费表'!B21/2,C39*(POWER((1+F22),'数据-取费表'!B21/2)-1)),0)</f>
        <v>1</v>
      </c>
      <c r="D43" s="244"/>
      <c r="E43" s="244"/>
      <c r="F43" s="245"/>
      <c r="G43" s="3429"/>
    </row>
    <row r="44" spans="1:7" ht="13.5" customHeight="1">
      <c r="A44" s="869" t="s">
        <v>612</v>
      </c>
      <c r="B44" s="221" t="s">
        <v>853</v>
      </c>
      <c r="C44" s="244">
        <f ca="1">ROUND(IF('数据-取费表'!B22&lt;=1,C40*F22*'数据-取费表'!B21/2,C40*(POWER((1+F22),'数据-取费表'!B21/2)-1)),4)</f>
        <v>4.0000000000000002E-4</v>
      </c>
      <c r="D44" s="244"/>
      <c r="E44" s="244"/>
      <c r="F44" s="245"/>
      <c r="G44" s="3430"/>
    </row>
    <row r="45" spans="1:7" s="220" customFormat="1" ht="13.5" customHeight="1">
      <c r="A45" s="866" t="s">
        <v>605</v>
      </c>
      <c r="B45" s="250" t="s">
        <v>112</v>
      </c>
      <c r="C45" s="251">
        <f>C46</f>
        <v>287</v>
      </c>
      <c r="D45" s="241">
        <f>C47</f>
        <v>1E-3</v>
      </c>
      <c r="E45" s="242" t="s">
        <v>129</v>
      </c>
      <c r="F45" s="252"/>
      <c r="G45" s="253" t="s">
        <v>859</v>
      </c>
    </row>
    <row r="46" spans="1:7" s="220" customFormat="1" ht="13.5" customHeight="1">
      <c r="A46" s="869" t="s">
        <v>613</v>
      </c>
      <c r="B46" s="254" t="s">
        <v>852</v>
      </c>
      <c r="C46" s="255">
        <f>ROUND((C33+C39)*F27,0)</f>
        <v>287</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3495</v>
      </c>
      <c r="D49" s="238"/>
      <c r="E49" s="238"/>
      <c r="F49" s="270"/>
      <c r="G49" s="240" t="s">
        <v>860</v>
      </c>
    </row>
    <row r="50" spans="1:7" s="264" customFormat="1" ht="24">
      <c r="A50" s="866" t="s">
        <v>608</v>
      </c>
      <c r="B50" s="216" t="s">
        <v>124</v>
      </c>
      <c r="C50" s="238"/>
      <c r="D50" s="238"/>
      <c r="E50" s="238"/>
      <c r="F50" s="270">
        <f>IF('数据-取费表'!B24=0,'数据-取费表'!N16,1)</f>
        <v>0.73</v>
      </c>
      <c r="G50" s="253" t="s">
        <v>125</v>
      </c>
    </row>
    <row r="51" spans="1:7" ht="16.5" customHeight="1">
      <c r="A51" s="866" t="s">
        <v>609</v>
      </c>
      <c r="B51" s="216" t="s">
        <v>132</v>
      </c>
      <c r="C51" s="238">
        <f ca="1">ROUND(C49*F50,0)</f>
        <v>2551</v>
      </c>
      <c r="D51" s="238"/>
      <c r="E51" s="238"/>
      <c r="F51" s="270"/>
      <c r="G51" s="240" t="s">
        <v>64</v>
      </c>
    </row>
    <row r="52" spans="1:7" s="214" customFormat="1" ht="16.5" thickBot="1">
      <c r="A52" s="271" t="s">
        <v>65</v>
      </c>
      <c r="B52" s="272"/>
      <c r="C52" s="273">
        <f ca="1">C31+C51</f>
        <v>29164</v>
      </c>
      <c r="D52" s="272"/>
      <c r="E52" s="272"/>
      <c r="F52" s="272"/>
      <c r="G52" s="274"/>
    </row>
    <row r="55" spans="1:7" ht="15">
      <c r="B55" s="276" t="s">
        <v>66</v>
      </c>
      <c r="C55" s="277"/>
    </row>
    <row r="56" spans="1:7">
      <c r="B56" s="279" t="s">
        <v>67</v>
      </c>
      <c r="C56" s="280">
        <f ca="1">ROUND(C51/C52,3)</f>
        <v>8.6999999999999994E-2</v>
      </c>
    </row>
    <row r="57" spans="1:7">
      <c r="B57" s="279" t="s">
        <v>68</v>
      </c>
      <c r="C57" s="281">
        <f ca="1">1-C56</f>
        <v>0.91300000000000003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44697</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44581</v>
      </c>
      <c r="D13" s="3002">
        <v>3.7</v>
      </c>
      <c r="E13" s="3002">
        <f>D13</f>
        <v>3.7</v>
      </c>
      <c r="F13" s="3002">
        <f>D13</f>
        <v>3.7</v>
      </c>
      <c r="G13" s="3002">
        <f>D13</f>
        <v>3.7</v>
      </c>
      <c r="H13" s="300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8">
        <v>44550</v>
      </c>
      <c r="D14" s="2997">
        <v>3.8</v>
      </c>
      <c r="E14" s="2997">
        <f>D14</f>
        <v>3.8</v>
      </c>
      <c r="F14" s="2997">
        <f>D14</f>
        <v>3.8</v>
      </c>
      <c r="G14" s="2997">
        <f>D14</f>
        <v>3.8</v>
      </c>
      <c r="H14" s="2997">
        <v>4.6500000000000004</v>
      </c>
      <c r="I14" s="2997"/>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43941</v>
      </c>
      <c r="D15" s="2997">
        <v>3.85</v>
      </c>
      <c r="E15" s="2997">
        <v>3.85</v>
      </c>
      <c r="F15" s="2997">
        <v>3.85</v>
      </c>
      <c r="G15" s="2997">
        <v>3.85</v>
      </c>
      <c r="H15" s="2997">
        <v>4.6500000000000004</v>
      </c>
      <c r="I15" s="2997"/>
      <c r="J15" s="299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43881</v>
      </c>
      <c r="D16" s="2997">
        <v>4.05</v>
      </c>
      <c r="E16" s="2997">
        <v>4.05</v>
      </c>
      <c r="F16" s="2997">
        <v>4.05</v>
      </c>
      <c r="G16" s="2997">
        <v>4.05</v>
      </c>
      <c r="H16" s="2997">
        <v>4.75</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43789</v>
      </c>
      <c r="D17" s="2997">
        <v>4.1500000000000004</v>
      </c>
      <c r="E17" s="2997">
        <v>4.1500000000000004</v>
      </c>
      <c r="F17" s="2997">
        <v>4.1500000000000004</v>
      </c>
      <c r="G17" s="2997">
        <v>4.1500000000000004</v>
      </c>
      <c r="H17" s="2997">
        <v>4.8</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6" t="s">
        <v>2814</v>
      </c>
      <c r="C19" s="2999">
        <v>43697</v>
      </c>
      <c r="D19" s="3000">
        <v>4.25</v>
      </c>
      <c r="E19" s="3000">
        <v>4.25</v>
      </c>
      <c r="F19" s="3000">
        <v>4.25</v>
      </c>
      <c r="G19" s="3000">
        <v>4.25</v>
      </c>
      <c r="H19" s="3000">
        <v>4.8499999999999996</v>
      </c>
      <c r="I19" s="3000"/>
      <c r="J19" s="300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3"/>
      <c r="B20" s="3004"/>
      <c r="C20" s="3005">
        <v>42301</v>
      </c>
      <c r="D20" s="3006">
        <v>4.3499999999999996</v>
      </c>
      <c r="E20" s="3006">
        <v>4.3499999999999996</v>
      </c>
      <c r="F20" s="3006">
        <v>4.75</v>
      </c>
      <c r="G20" s="3006">
        <v>4.75</v>
      </c>
      <c r="H20" s="3006">
        <v>4.9000000000000004</v>
      </c>
      <c r="I20" s="3006"/>
      <c r="J20" s="300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H13" sqref="H13"/>
    </sheetView>
  </sheetViews>
  <sheetFormatPr defaultColWidth="8.875" defaultRowHeight="14.25"/>
  <cols>
    <col min="1" max="1" width="35.75" style="3232" customWidth="1"/>
    <col min="2" max="2" width="8.75" style="3232" customWidth="1"/>
    <col min="3" max="3" width="22.25" style="3232" customWidth="1"/>
    <col min="4" max="4" width="14.25" style="3232" customWidth="1"/>
    <col min="5" max="5" width="22.25" style="3232" customWidth="1"/>
    <col min="6" max="6" width="10.75" style="3232" customWidth="1"/>
    <col min="7" max="7" width="11.125" style="3232" customWidth="1"/>
    <col min="8" max="8" width="12.375" style="3232" customWidth="1"/>
    <col min="9" max="9" width="22.25" style="3232" customWidth="1"/>
    <col min="10" max="10" width="13.625" style="3232" customWidth="1"/>
    <col min="11" max="11" width="10.5" style="3232" customWidth="1"/>
    <col min="12" max="12" width="22.25" style="3232" customWidth="1"/>
    <col min="13" max="13" width="16.125" style="3232" customWidth="1"/>
    <col min="14" max="14" width="15" style="3232" customWidth="1"/>
    <col min="15" max="15" width="22.25" style="3232" customWidth="1"/>
    <col min="16" max="16" width="18.5" style="3232" customWidth="1"/>
    <col min="17" max="18" width="22.25" style="3232" customWidth="1"/>
    <col min="19" max="16384" width="8.875" style="3232"/>
  </cols>
  <sheetData>
    <row r="1" spans="1:17">
      <c r="A1" s="3586"/>
      <c r="B1" s="3586"/>
      <c r="C1" s="3586"/>
      <c r="D1" s="3586"/>
      <c r="E1" s="3586"/>
      <c r="F1" s="3586"/>
      <c r="G1" s="3586"/>
      <c r="H1" s="3586"/>
      <c r="I1" s="3586"/>
      <c r="J1" s="3586"/>
      <c r="K1" s="3586"/>
      <c r="L1" s="3586"/>
      <c r="M1" s="3586"/>
      <c r="N1" s="3586"/>
      <c r="O1" s="3586"/>
      <c r="P1" s="3586"/>
      <c r="Q1" s="3586"/>
    </row>
    <row r="2" spans="1:17" s="3233" customFormat="1">
      <c r="A2" s="3587"/>
      <c r="B2" s="3587"/>
      <c r="C2" s="3587"/>
      <c r="D2" s="3587"/>
      <c r="E2" s="3587"/>
      <c r="F2" s="3587"/>
      <c r="G2" s="3587"/>
      <c r="H2" s="3587"/>
      <c r="I2" s="3587"/>
      <c r="J2" s="3589"/>
      <c r="K2" s="3587"/>
      <c r="L2" s="3587"/>
      <c r="M2" s="3587"/>
      <c r="N2" s="3587"/>
      <c r="O2" s="3587"/>
      <c r="P2" s="3587"/>
      <c r="Q2" s="3587"/>
    </row>
    <row r="3" spans="1:17" s="3233" customFormat="1">
      <c r="A3" s="3587"/>
      <c r="B3" s="3587"/>
      <c r="C3" s="3587"/>
      <c r="D3" s="3587"/>
      <c r="E3" s="3587"/>
      <c r="F3" s="3587"/>
      <c r="G3" s="3587"/>
      <c r="H3" s="3587"/>
      <c r="I3" s="3587"/>
      <c r="J3" s="3589"/>
      <c r="K3" s="3587"/>
      <c r="L3" s="3587"/>
      <c r="M3" s="3587"/>
      <c r="N3" s="3587"/>
      <c r="O3" s="3587"/>
      <c r="P3" s="3587"/>
    </row>
    <row r="4" spans="1:17">
      <c r="A4" s="3586"/>
      <c r="B4" s="3586"/>
      <c r="C4" s="3586"/>
      <c r="D4" s="3586"/>
      <c r="E4" s="3586"/>
      <c r="F4" s="3586"/>
      <c r="G4" s="3586"/>
      <c r="H4" s="3586"/>
      <c r="I4" s="3586"/>
      <c r="J4" s="3588"/>
      <c r="K4" s="3586"/>
      <c r="L4" s="3586"/>
      <c r="M4" s="3586"/>
      <c r="N4" s="3586"/>
      <c r="O4" s="3586"/>
      <c r="P4" s="3586"/>
      <c r="Q4" s="3233"/>
    </row>
    <row r="5" spans="1:17" s="3234" customFormat="1">
      <c r="A5" s="3590"/>
      <c r="B5" s="3590"/>
      <c r="C5" s="3590"/>
      <c r="D5" s="3590"/>
      <c r="E5" s="3590"/>
      <c r="F5" s="3590"/>
      <c r="G5" s="3590"/>
      <c r="H5" s="3590"/>
      <c r="I5" s="3590"/>
      <c r="J5" s="3591"/>
      <c r="K5" s="3590"/>
      <c r="L5" s="3590"/>
      <c r="M5" s="3590"/>
      <c r="N5" s="3590"/>
      <c r="O5" s="3590"/>
      <c r="P5" s="3590"/>
    </row>
    <row r="6" spans="1:17">
      <c r="A6" s="3586"/>
      <c r="B6" s="3586"/>
      <c r="C6" s="3586"/>
      <c r="D6" s="3586"/>
      <c r="E6" s="3586"/>
      <c r="F6" s="3586"/>
      <c r="G6" s="3586"/>
      <c r="H6" s="3586"/>
      <c r="I6" s="3586"/>
      <c r="J6" s="3588"/>
      <c r="K6" s="3586"/>
      <c r="L6" s="3586"/>
      <c r="M6" s="3586"/>
      <c r="N6" s="3586"/>
      <c r="O6" s="3586"/>
      <c r="P6" s="3586"/>
      <c r="Q6" s="3233"/>
    </row>
    <row r="7" spans="1:17">
      <c r="A7" s="3586"/>
      <c r="B7" s="3586"/>
      <c r="C7" s="3586"/>
      <c r="D7" s="3586"/>
      <c r="E7" s="3586"/>
      <c r="F7" s="3586"/>
      <c r="G7" s="3586"/>
      <c r="H7" s="3586"/>
      <c r="I7" s="3586"/>
      <c r="J7" s="3588"/>
      <c r="K7" s="3586"/>
      <c r="L7" s="3586"/>
      <c r="M7" s="3586"/>
      <c r="N7" s="3586"/>
      <c r="O7" s="3586"/>
      <c r="P7" s="3586"/>
      <c r="Q7" s="3233"/>
    </row>
    <row r="8" spans="1:17">
      <c r="A8" s="3586"/>
      <c r="B8" s="3586"/>
      <c r="C8" s="3586"/>
      <c r="D8" s="3586"/>
      <c r="E8" s="3586"/>
      <c r="F8" s="3586"/>
      <c r="G8" s="3586"/>
      <c r="H8" s="3586"/>
      <c r="I8" s="3586"/>
      <c r="J8" s="3588"/>
      <c r="K8" s="3586"/>
      <c r="L8" s="3586"/>
      <c r="M8" s="3586"/>
      <c r="N8" s="3586"/>
      <c r="O8" s="3586"/>
      <c r="P8" s="3586"/>
      <c r="Q8" s="3233"/>
    </row>
    <row r="9" spans="1:17">
      <c r="A9" s="3586"/>
      <c r="B9" s="3586"/>
      <c r="C9" s="3586"/>
      <c r="D9" s="3586"/>
      <c r="E9" s="3586"/>
      <c r="F9" s="3586"/>
      <c r="G9" s="3586"/>
      <c r="H9" s="3586"/>
      <c r="I9" s="3586"/>
      <c r="J9" s="3588"/>
      <c r="K9" s="3586"/>
      <c r="L9" s="3586"/>
      <c r="M9" s="3586"/>
      <c r="N9" s="3586"/>
      <c r="O9" s="3586"/>
      <c r="P9" s="3586"/>
      <c r="Q9" s="3233"/>
    </row>
    <row r="10" spans="1:17">
      <c r="A10" s="3586"/>
      <c r="B10" s="3586"/>
      <c r="C10" s="3586"/>
      <c r="D10" s="3586"/>
      <c r="E10" s="3586"/>
      <c r="F10" s="3586"/>
      <c r="G10" s="3586"/>
      <c r="H10" s="3586"/>
      <c r="I10" s="3586"/>
      <c r="J10" s="3588"/>
      <c r="K10" s="3586"/>
      <c r="L10" s="3586"/>
      <c r="M10" s="3586"/>
      <c r="N10" s="3586"/>
      <c r="O10" s="3586"/>
      <c r="P10" s="3586"/>
      <c r="Q10" s="3233"/>
    </row>
    <row r="11" spans="1:17">
      <c r="A11" s="3586"/>
      <c r="B11" s="3586"/>
      <c r="C11" s="3586"/>
      <c r="D11" s="3586"/>
      <c r="E11" s="3586"/>
      <c r="F11" s="3586"/>
      <c r="G11" s="3586"/>
      <c r="H11" s="3586"/>
      <c r="I11" s="3586"/>
      <c r="J11" s="3588"/>
      <c r="K11" s="3586"/>
      <c r="L11" s="3586"/>
      <c r="M11" s="3586"/>
      <c r="N11" s="3586"/>
      <c r="O11" s="3586"/>
      <c r="P11" s="3586"/>
      <c r="Q11" s="3233"/>
    </row>
    <row r="12" spans="1:17">
      <c r="A12" s="3586"/>
      <c r="B12" s="3586"/>
      <c r="C12" s="3586"/>
      <c r="D12" s="3586"/>
      <c r="E12" s="3586"/>
      <c r="F12" s="3586"/>
      <c r="G12" s="3586"/>
      <c r="H12" s="3586"/>
      <c r="I12" s="3586"/>
      <c r="J12" s="3588"/>
      <c r="K12" s="3586"/>
      <c r="L12" s="3586"/>
      <c r="M12" s="3586"/>
      <c r="N12" s="3586"/>
      <c r="O12" s="3586"/>
      <c r="P12" s="3586"/>
      <c r="Q12" s="3233"/>
    </row>
    <row r="13" spans="1:17">
      <c r="A13" s="3586"/>
      <c r="B13" s="3586"/>
      <c r="C13" s="3586"/>
      <c r="D13" s="3586"/>
      <c r="E13" s="3586"/>
      <c r="F13" s="3586"/>
      <c r="G13" s="3586"/>
      <c r="H13" s="3586"/>
      <c r="I13" s="3586"/>
      <c r="J13" s="3588"/>
      <c r="K13" s="3586"/>
      <c r="L13" s="3586"/>
      <c r="M13" s="3586"/>
      <c r="N13" s="3586"/>
      <c r="O13" s="3586"/>
      <c r="P13" s="3586"/>
      <c r="Q13" s="3233"/>
    </row>
    <row r="14" spans="1:17">
      <c r="A14" s="3586"/>
      <c r="B14" s="3586"/>
      <c r="C14" s="3586"/>
      <c r="D14" s="3586"/>
      <c r="E14" s="3586"/>
      <c r="F14" s="3586"/>
      <c r="G14" s="3586"/>
      <c r="H14" s="3586"/>
      <c r="I14" s="3586"/>
      <c r="J14" s="3588"/>
      <c r="K14" s="3586"/>
      <c r="L14" s="3586"/>
      <c r="M14" s="3586"/>
      <c r="N14" s="3586"/>
      <c r="O14" s="3586"/>
      <c r="P14" s="3586"/>
      <c r="Q14" s="3233"/>
    </row>
    <row r="15" spans="1:17" s="3233" customFormat="1">
      <c r="A15" s="3587"/>
      <c r="B15" s="3587"/>
      <c r="C15" s="3587"/>
      <c r="D15" s="3587"/>
      <c r="E15" s="3587"/>
      <c r="F15" s="3587"/>
      <c r="G15" s="3587"/>
      <c r="H15" s="3587"/>
      <c r="I15" s="3587"/>
      <c r="J15" s="3589"/>
      <c r="K15" s="3587"/>
      <c r="L15" s="3587"/>
      <c r="M15" s="3587"/>
      <c r="N15" s="3587"/>
      <c r="O15" s="3587"/>
      <c r="P15" s="3587"/>
    </row>
    <row r="16" spans="1:17">
      <c r="A16" s="3586"/>
      <c r="B16" s="3586"/>
      <c r="C16" s="3586"/>
      <c r="D16" s="3586"/>
      <c r="E16" s="3586"/>
      <c r="F16" s="3586"/>
      <c r="G16" s="3586"/>
      <c r="H16" s="3586"/>
      <c r="I16" s="3586"/>
      <c r="J16" s="3588"/>
      <c r="K16" s="3586"/>
      <c r="L16" s="3586"/>
      <c r="M16" s="3586"/>
      <c r="N16" s="3586"/>
      <c r="O16" s="3586"/>
      <c r="P16" s="3586"/>
      <c r="Q16" s="3233"/>
    </row>
    <row r="21" spans="6:7">
      <c r="F21" s="3232" t="s">
        <v>3221</v>
      </c>
      <c r="G21" s="3232" t="s">
        <v>3222</v>
      </c>
    </row>
  </sheetData>
  <mergeCells count="258">
    <mergeCell ref="A1"/>
    <mergeCell ref="B1"/>
    <mergeCell ref="C1"/>
    <mergeCell ref="D1"/>
    <mergeCell ref="E1"/>
    <mergeCell ref="F1"/>
    <mergeCell ref="G1"/>
    <mergeCell ref="H1"/>
    <mergeCell ref="I1"/>
    <mergeCell ref="P2"/>
    <mergeCell ref="Q2"/>
    <mergeCell ref="J1"/>
    <mergeCell ref="K1"/>
    <mergeCell ref="L1"/>
    <mergeCell ref="M1"/>
    <mergeCell ref="N1"/>
    <mergeCell ref="K2"/>
    <mergeCell ref="L2"/>
    <mergeCell ref="M2"/>
    <mergeCell ref="N2"/>
    <mergeCell ref="O2"/>
    <mergeCell ref="O1"/>
    <mergeCell ref="G2"/>
    <mergeCell ref="H2"/>
    <mergeCell ref="I2"/>
    <mergeCell ref="J2"/>
    <mergeCell ref="H3"/>
    <mergeCell ref="I3"/>
    <mergeCell ref="P1"/>
    <mergeCell ref="Q1"/>
    <mergeCell ref="A2"/>
    <mergeCell ref="B2"/>
    <mergeCell ref="C2"/>
    <mergeCell ref="D2"/>
    <mergeCell ref="E2"/>
    <mergeCell ref="F2"/>
    <mergeCell ref="N3"/>
    <mergeCell ref="O3"/>
    <mergeCell ref="A3"/>
    <mergeCell ref="B3"/>
    <mergeCell ref="C3"/>
    <mergeCell ref="D3"/>
    <mergeCell ref="E3"/>
    <mergeCell ref="F3"/>
    <mergeCell ref="G3"/>
    <mergeCell ref="J3"/>
    <mergeCell ref="K3"/>
    <mergeCell ref="L3"/>
    <mergeCell ref="M3"/>
    <mergeCell ref="M4"/>
    <mergeCell ref="N4"/>
    <mergeCell ref="O4"/>
    <mergeCell ref="P4"/>
    <mergeCell ref="I4"/>
    <mergeCell ref="J4"/>
    <mergeCell ref="K4"/>
    <mergeCell ref="L4"/>
    <mergeCell ref="P3"/>
    <mergeCell ref="A4"/>
    <mergeCell ref="B4"/>
    <mergeCell ref="C4"/>
    <mergeCell ref="D4"/>
    <mergeCell ref="E4"/>
    <mergeCell ref="F4"/>
    <mergeCell ref="G4"/>
    <mergeCell ref="H4"/>
    <mergeCell ref="O5"/>
    <mergeCell ref="A5"/>
    <mergeCell ref="B5"/>
    <mergeCell ref="C5"/>
    <mergeCell ref="D5"/>
    <mergeCell ref="E5"/>
    <mergeCell ref="F5"/>
    <mergeCell ref="G5"/>
    <mergeCell ref="H5"/>
    <mergeCell ref="I5"/>
    <mergeCell ref="P6"/>
    <mergeCell ref="J5"/>
    <mergeCell ref="K5"/>
    <mergeCell ref="L5"/>
    <mergeCell ref="M5"/>
    <mergeCell ref="N5"/>
    <mergeCell ref="K6"/>
    <mergeCell ref="L6"/>
    <mergeCell ref="M6"/>
    <mergeCell ref="N6"/>
    <mergeCell ref="O6"/>
    <mergeCell ref="G6"/>
    <mergeCell ref="H6"/>
    <mergeCell ref="I6"/>
    <mergeCell ref="J6"/>
    <mergeCell ref="H7"/>
    <mergeCell ref="I7"/>
    <mergeCell ref="P5"/>
    <mergeCell ref="A6"/>
    <mergeCell ref="B6"/>
    <mergeCell ref="C6"/>
    <mergeCell ref="D6"/>
    <mergeCell ref="E6"/>
    <mergeCell ref="F6"/>
    <mergeCell ref="N7"/>
    <mergeCell ref="O7"/>
    <mergeCell ref="A7"/>
    <mergeCell ref="B7"/>
    <mergeCell ref="C7"/>
    <mergeCell ref="D7"/>
    <mergeCell ref="E7"/>
    <mergeCell ref="F7"/>
    <mergeCell ref="G7"/>
    <mergeCell ref="J7"/>
    <mergeCell ref="K7"/>
    <mergeCell ref="L7"/>
    <mergeCell ref="M7"/>
    <mergeCell ref="M8"/>
    <mergeCell ref="N8"/>
    <mergeCell ref="O8"/>
    <mergeCell ref="P8"/>
    <mergeCell ref="I8"/>
    <mergeCell ref="J8"/>
    <mergeCell ref="K8"/>
    <mergeCell ref="L8"/>
    <mergeCell ref="P7"/>
    <mergeCell ref="A8"/>
    <mergeCell ref="B8"/>
    <mergeCell ref="C8"/>
    <mergeCell ref="D8"/>
    <mergeCell ref="E8"/>
    <mergeCell ref="F8"/>
    <mergeCell ref="G8"/>
    <mergeCell ref="H8"/>
    <mergeCell ref="O9"/>
    <mergeCell ref="A9"/>
    <mergeCell ref="B9"/>
    <mergeCell ref="C9"/>
    <mergeCell ref="D9"/>
    <mergeCell ref="E9"/>
    <mergeCell ref="F9"/>
    <mergeCell ref="G9"/>
    <mergeCell ref="H9"/>
    <mergeCell ref="I9"/>
    <mergeCell ref="P10"/>
    <mergeCell ref="J9"/>
    <mergeCell ref="K9"/>
    <mergeCell ref="L9"/>
    <mergeCell ref="M9"/>
    <mergeCell ref="N9"/>
    <mergeCell ref="K10"/>
    <mergeCell ref="L10"/>
    <mergeCell ref="M10"/>
    <mergeCell ref="N10"/>
    <mergeCell ref="O10"/>
    <mergeCell ref="G10"/>
    <mergeCell ref="H10"/>
    <mergeCell ref="I10"/>
    <mergeCell ref="J10"/>
    <mergeCell ref="H11"/>
    <mergeCell ref="I11"/>
    <mergeCell ref="P9"/>
    <mergeCell ref="A10"/>
    <mergeCell ref="B10"/>
    <mergeCell ref="C10"/>
    <mergeCell ref="D10"/>
    <mergeCell ref="E10"/>
    <mergeCell ref="F10"/>
    <mergeCell ref="N11"/>
    <mergeCell ref="O11"/>
    <mergeCell ref="A11"/>
    <mergeCell ref="B11"/>
    <mergeCell ref="C11"/>
    <mergeCell ref="D11"/>
    <mergeCell ref="E11"/>
    <mergeCell ref="F11"/>
    <mergeCell ref="G11"/>
    <mergeCell ref="J11"/>
    <mergeCell ref="K11"/>
    <mergeCell ref="L11"/>
    <mergeCell ref="M11"/>
    <mergeCell ref="M12"/>
    <mergeCell ref="N12"/>
    <mergeCell ref="O12"/>
    <mergeCell ref="P12"/>
    <mergeCell ref="I12"/>
    <mergeCell ref="J12"/>
    <mergeCell ref="K12"/>
    <mergeCell ref="L12"/>
    <mergeCell ref="P11"/>
    <mergeCell ref="A12"/>
    <mergeCell ref="B12"/>
    <mergeCell ref="C12"/>
    <mergeCell ref="D12"/>
    <mergeCell ref="E12"/>
    <mergeCell ref="F12"/>
    <mergeCell ref="G12"/>
    <mergeCell ref="H12"/>
    <mergeCell ref="O13"/>
    <mergeCell ref="A13"/>
    <mergeCell ref="B13"/>
    <mergeCell ref="C13"/>
    <mergeCell ref="D13"/>
    <mergeCell ref="E13"/>
    <mergeCell ref="F13"/>
    <mergeCell ref="G13"/>
    <mergeCell ref="H13"/>
    <mergeCell ref="I13"/>
    <mergeCell ref="P14"/>
    <mergeCell ref="J13"/>
    <mergeCell ref="K13"/>
    <mergeCell ref="L13"/>
    <mergeCell ref="M13"/>
    <mergeCell ref="N13"/>
    <mergeCell ref="K14"/>
    <mergeCell ref="L14"/>
    <mergeCell ref="M14"/>
    <mergeCell ref="N14"/>
    <mergeCell ref="O14"/>
    <mergeCell ref="G14"/>
    <mergeCell ref="H14"/>
    <mergeCell ref="I14"/>
    <mergeCell ref="J14"/>
    <mergeCell ref="H15"/>
    <mergeCell ref="I15"/>
    <mergeCell ref="P13"/>
    <mergeCell ref="A14"/>
    <mergeCell ref="B14"/>
    <mergeCell ref="C14"/>
    <mergeCell ref="D14"/>
    <mergeCell ref="E14"/>
    <mergeCell ref="F14"/>
    <mergeCell ref="N15"/>
    <mergeCell ref="O15"/>
    <mergeCell ref="A15"/>
    <mergeCell ref="B15"/>
    <mergeCell ref="C15"/>
    <mergeCell ref="D15"/>
    <mergeCell ref="E15"/>
    <mergeCell ref="F15"/>
    <mergeCell ref="G15"/>
    <mergeCell ref="J15"/>
    <mergeCell ref="K15"/>
    <mergeCell ref="M15"/>
    <mergeCell ref="M16"/>
    <mergeCell ref="N16"/>
    <mergeCell ref="O16"/>
    <mergeCell ref="P16"/>
    <mergeCell ref="I16"/>
    <mergeCell ref="J16"/>
    <mergeCell ref="K16"/>
    <mergeCell ref="L16"/>
    <mergeCell ref="P15"/>
    <mergeCell ref="A16"/>
    <mergeCell ref="B16"/>
    <mergeCell ref="C16"/>
    <mergeCell ref="D16"/>
    <mergeCell ref="E16"/>
    <mergeCell ref="F16"/>
    <mergeCell ref="G16"/>
    <mergeCell ref="H16"/>
    <mergeCell ref="L15"/>
  </mergeCells>
  <phoneticPr fontId="14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估价结果一览表</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房地产市场价值</v>
      </c>
      <c r="I2" s="3260"/>
    </row>
    <row r="3" spans="1:9" ht="15">
      <c r="A3" s="3254"/>
      <c r="B3" s="3254"/>
      <c r="C3" s="3254"/>
      <c r="D3" s="944" t="s">
        <v>1362</v>
      </c>
      <c r="E3" s="944" t="s">
        <v>1368</v>
      </c>
      <c r="F3" s="944" t="s">
        <v>1362</v>
      </c>
      <c r="G3" s="944" t="s">
        <v>1363</v>
      </c>
      <c r="H3" s="944" t="s">
        <v>1362</v>
      </c>
      <c r="I3" s="944" t="s">
        <v>1363</v>
      </c>
    </row>
    <row r="4" spans="1:9" ht="15">
      <c r="A4" s="1641" t="str">
        <f>项目基本情况!S2</f>
        <v>北京市房地产</v>
      </c>
      <c r="B4" s="944">
        <f>项目基本情况!C17</f>
        <v>10083.39</v>
      </c>
      <c r="C4" s="944">
        <f>项目基本情况!C18</f>
        <v>30128</v>
      </c>
      <c r="D4" s="944">
        <f ca="1">结果表!D118</f>
        <v>8509</v>
      </c>
      <c r="E4" s="944">
        <f ca="1">结果表!E118</f>
        <v>8439</v>
      </c>
      <c r="F4" s="944">
        <f ca="1">结果表!F118</f>
        <v>3227</v>
      </c>
      <c r="G4" s="944">
        <f ca="1">结果表!G118</f>
        <v>3200</v>
      </c>
      <c r="H4" s="944">
        <f ca="1">结果表!H118</f>
        <v>11736</v>
      </c>
      <c r="I4" s="944">
        <f ca="1">结果表!I118</f>
        <v>11639</v>
      </c>
    </row>
    <row r="5" spans="1:9" ht="30" customHeight="1">
      <c r="A5" s="3254" t="s">
        <v>1364</v>
      </c>
      <c r="B5" s="3254"/>
      <c r="C5" s="3254"/>
      <c r="D5" s="3255" t="str">
        <f ca="1">结果表!D119</f>
        <v>捌仟伍佰零玖万元整</v>
      </c>
      <c r="E5" s="3255"/>
      <c r="F5" s="3255" t="str">
        <f ca="1">结果表!F119</f>
        <v>叁仟贰佰贰拾柒万元整</v>
      </c>
      <c r="G5" s="3255"/>
      <c r="H5" s="3255" t="str">
        <f ca="1">结果表!H119</f>
        <v>壹亿壹仟柒佰叁拾陆万元整</v>
      </c>
      <c r="I5" s="3255"/>
    </row>
    <row r="6" spans="1:9" ht="15.75">
      <c r="A6" s="3253" t="str">
        <f>结果表!A120</f>
        <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75">
      <c r="A8" s="3253" t="str">
        <f>结果表!A122</f>
        <v/>
      </c>
      <c r="B8" s="3253"/>
      <c r="C8" s="3253"/>
      <c r="D8" s="3253">
        <f ca="1">结果表!D122</f>
        <v>11736</v>
      </c>
      <c r="E8" s="3253"/>
      <c r="F8" s="3253"/>
      <c r="G8" s="3253"/>
      <c r="H8" s="3253"/>
      <c r="I8" s="3253"/>
    </row>
    <row r="9" spans="1:9" ht="15">
      <c r="A9" s="3254" t="s">
        <v>1364</v>
      </c>
      <c r="B9" s="3254"/>
      <c r="C9" s="3254"/>
      <c r="D9" s="3255" t="str">
        <f ca="1">结果表!D123</f>
        <v>壹亿壹仟柒佰叁拾陆万元整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75">
      <c r="A12" s="3253" t="str">
        <f>结果表!A126</f>
        <v/>
      </c>
      <c r="B12" s="3253"/>
      <c r="C12" s="3253"/>
      <c r="D12" s="3253" t="str">
        <f>结果表!D126</f>
        <v>——</v>
      </c>
      <c r="E12" s="3253"/>
      <c r="F12" s="3253"/>
      <c r="G12" s="3253"/>
      <c r="H12" s="3253"/>
      <c r="I12" s="3253"/>
    </row>
    <row r="13" spans="1:9" ht="15.75" thickBot="1">
      <c r="A13" s="3250" t="s">
        <v>1364</v>
      </c>
      <c r="B13" s="3250"/>
      <c r="C13" s="3250"/>
      <c r="D13" s="3251" t="e">
        <f>结果表!D127</f>
        <v>#VALUE!</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6"/>
      <c r="C12" s="3266"/>
      <c r="D12" s="3266"/>
    </row>
    <row r="13" spans="1:4" ht="30" customHeight="1">
      <c r="A13" s="3261" t="str">
        <f>IF(项目基本情况!B8="抵押","3.抵押双方在办理抵押登记手续时，应使用本公司出具的正式《房地产评估报告》，特提醒报告使用者注意。","——")</f>
        <v>——</v>
      </c>
      <c r="B13" s="3266"/>
      <c r="C13" s="3266"/>
      <c r="D13" s="3266"/>
    </row>
    <row r="14" spans="1:4" ht="15.75" customHeight="1">
      <c r="A14" s="3261" t="str">
        <f>IF(项目基本情况!B8="抵押","4.本次评估估价师所知悉的法定优先受偿款情况说明如下：","——")</f>
        <v>——</v>
      </c>
      <c r="B14" s="3266"/>
      <c r="C14" s="3266"/>
      <c r="D14" s="3266"/>
    </row>
    <row r="15" spans="1:4" ht="42" customHeight="1">
      <c r="A15" s="3261" t="str">
        <f>IF(项目基本情况!B8="抵押","（1）"&amp;CONCATENATE(项目基本情况!L20,项目基本情况!L21,项目基本情况!L22),"——")</f>
        <v>——</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44697</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2660</v>
      </c>
      <c r="B17" s="3278"/>
      <c r="C17" s="3278"/>
      <c r="D17" s="3278"/>
      <c r="E17" s="3278"/>
      <c r="F17" s="3278"/>
      <c r="G17" s="3278"/>
      <c r="H17" s="3278"/>
    </row>
    <row r="18" spans="1:8" ht="24" customHeight="1">
      <c r="A18" s="3279" t="s">
        <v>2661</v>
      </c>
      <c r="B18" s="3279"/>
      <c r="C18" s="3279"/>
      <c r="D18" s="2517"/>
      <c r="E18" s="3280" t="s">
        <v>2662</v>
      </c>
      <c r="F18" s="3279"/>
      <c r="G18" s="3279"/>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2022-05-16T08:04:59Z</dcterms:modified>
</cp:coreProperties>
</file>