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询价\顺义圣元\"/>
    </mc:Choice>
  </mc:AlternateContent>
  <xr:revisionPtr revIDLastSave="0" documentId="13_ncr:1_{807BE932-56F4-47B3-8CEC-2896D2578BD6}" xr6:coauthVersionLast="47" xr6:coauthVersionMax="47" xr10:uidLastSave="{00000000-0000-0000-0000-000000000000}"/>
  <bookViews>
    <workbookView xWindow="-108" yWindow="-108" windowWidth="23256" windowHeight="12576"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3" i="43" l="1"/>
  <c r="I24" i="43"/>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S5" i="43"/>
  <c r="S4" i="43"/>
  <c r="S2" i="43"/>
  <c r="S3" i="43"/>
  <c r="F26" i="43"/>
  <c r="C27" i="43"/>
  <c r="H26"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s="1"/>
  <c r="D97" i="43"/>
  <c r="M96" i="43"/>
  <c r="N96" i="43" s="1"/>
  <c r="K96" i="43"/>
  <c r="J96" i="43" s="1"/>
  <c r="D96" i="43"/>
  <c r="M95" i="43"/>
  <c r="N95" i="43"/>
  <c r="K95" i="43"/>
  <c r="J95" i="43"/>
  <c r="D95" i="43"/>
  <c r="M94" i="43"/>
  <c r="N94" i="43" s="1"/>
  <c r="K94" i="43"/>
  <c r="J94" i="43" s="1"/>
  <c r="C17" i="45"/>
  <c r="D17" i="45"/>
  <c r="E17" i="45"/>
  <c r="F17" i="45"/>
  <c r="G17" i="45"/>
  <c r="H17" i="45"/>
  <c r="L37" i="43"/>
  <c r="N36" i="43"/>
  <c r="O36" i="43"/>
  <c r="P36" i="43"/>
  <c r="Q36" i="43"/>
  <c r="M36" i="43"/>
  <c r="G14" i="73"/>
  <c r="F14" i="73"/>
  <c r="E14" i="73"/>
  <c r="G13" i="73"/>
  <c r="F13" i="73"/>
  <c r="E13" i="73"/>
  <c r="R9" i="71"/>
  <c r="Q9" i="71"/>
  <c r="P9" i="71"/>
  <c r="O9" i="71"/>
  <c r="R43" i="77"/>
  <c r="R40" i="77"/>
  <c r="F36" i="77"/>
  <c r="R34" i="77"/>
  <c r="R33" i="77"/>
  <c r="C30" i="77"/>
  <c r="R27" i="77"/>
  <c r="M24" i="77"/>
  <c r="R23" i="77"/>
  <c r="C23" i="77"/>
  <c r="C29" i="77" s="1"/>
  <c r="R22" i="77"/>
  <c r="R21" i="77"/>
  <c r="R24" i="77" s="1"/>
  <c r="N19" i="77"/>
  <c r="R18" i="77"/>
  <c r="R19" i="77" s="1"/>
  <c r="D18" i="77"/>
  <c r="R17" i="77"/>
  <c r="D17" i="77"/>
  <c r="R16" i="77"/>
  <c r="D16" i="77"/>
  <c r="D15" i="77"/>
  <c r="M14" i="77"/>
  <c r="N14" i="77" s="1"/>
  <c r="D14" i="77"/>
  <c r="R13" i="77"/>
  <c r="R12" i="77"/>
  <c r="D12" i="77"/>
  <c r="D11" i="77" s="1"/>
  <c r="E11" i="77" s="1"/>
  <c r="E7" i="77" s="1"/>
  <c r="C27" i="77" s="1"/>
  <c r="R11" i="77"/>
  <c r="R10" i="77"/>
  <c r="D10" i="77"/>
  <c r="R9" i="77"/>
  <c r="D9" i="77"/>
  <c r="R8" i="77"/>
  <c r="R14" i="77" s="1"/>
  <c r="R7" i="77"/>
  <c r="D7" i="77"/>
  <c r="C26" i="77" s="1"/>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B19" i="72" s="1"/>
  <c r="K59" i="67"/>
  <c r="P74" i="67" s="1"/>
  <c r="P61" i="67"/>
  <c r="K59" i="15"/>
  <c r="P74" i="15"/>
  <c r="P61" i="15"/>
  <c r="D116" i="39"/>
  <c r="E116" i="39"/>
  <c r="F116" i="39"/>
  <c r="G116" i="39"/>
  <c r="H116" i="39"/>
  <c r="I116" i="39"/>
  <c r="J116" i="39"/>
  <c r="K116" i="39"/>
  <c r="L116" i="39"/>
  <c r="M116" i="39"/>
  <c r="C116" i="39"/>
  <c r="A21" i="62"/>
  <c r="A20" i="62"/>
  <c r="A22" i="51"/>
  <c r="A21" i="51"/>
  <c r="B16" i="72" s="1"/>
  <c r="A20" i="51"/>
  <c r="A14" i="62"/>
  <c r="B60" i="72" s="1"/>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E111" i="9"/>
  <c r="A126" i="9" s="1"/>
  <c r="E109" i="9"/>
  <c r="A124" i="9"/>
  <c r="B44" i="72"/>
  <c r="B42" i="72"/>
  <c r="B69" i="72"/>
  <c r="B68" i="72"/>
  <c r="B63" i="72"/>
  <c r="B62" i="72"/>
  <c r="B67" i="72"/>
  <c r="B66" i="72"/>
  <c r="B10" i="72"/>
  <c r="C53" i="10"/>
  <c r="B51" i="10"/>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C81" i="71"/>
  <c r="U81" i="71" s="1"/>
  <c r="B81" i="71"/>
  <c r="R80" i="71"/>
  <c r="Q80" i="71"/>
  <c r="P80" i="71"/>
  <c r="O80" i="71"/>
  <c r="R79" i="71"/>
  <c r="Q79" i="71"/>
  <c r="P79" i="71"/>
  <c r="O79" i="71"/>
  <c r="R78" i="71"/>
  <c r="Q78" i="71"/>
  <c r="P78" i="71"/>
  <c r="O78" i="71"/>
  <c r="D78" i="71"/>
  <c r="R77" i="71"/>
  <c r="Q77" i="71"/>
  <c r="P77" i="71"/>
  <c r="O77" i="71"/>
  <c r="G77" i="71"/>
  <c r="W77" i="71" s="1"/>
  <c r="F77" i="71"/>
  <c r="C77" i="71"/>
  <c r="B77" i="71"/>
  <c r="T77" i="7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G68" i="71" s="1"/>
  <c r="F69" i="71"/>
  <c r="C69" i="71"/>
  <c r="B69" i="71"/>
  <c r="T69" i="71" s="1"/>
  <c r="D66" i="71"/>
  <c r="R65" i="71"/>
  <c r="Q65" i="71"/>
  <c r="P65" i="71"/>
  <c r="O65" i="71"/>
  <c r="R64" i="71"/>
  <c r="Q64" i="71"/>
  <c r="P64" i="71"/>
  <c r="O64" i="71"/>
  <c r="R63" i="71"/>
  <c r="Q63" i="71"/>
  <c r="P63" i="71"/>
  <c r="O63" i="71"/>
  <c r="R62" i="71"/>
  <c r="G63" i="71" s="1"/>
  <c r="Q62" i="71"/>
  <c r="F63" i="71" s="1"/>
  <c r="F64" i="71" s="1"/>
  <c r="P62" i="71"/>
  <c r="C63" i="71" s="1"/>
  <c r="O62" i="71"/>
  <c r="B63"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D58" i="71"/>
  <c r="R57" i="71"/>
  <c r="Q57" i="71"/>
  <c r="P57" i="71"/>
  <c r="O57" i="71"/>
  <c r="R56" i="71"/>
  <c r="Q56" i="71"/>
  <c r="P56" i="71"/>
  <c r="O56" i="71"/>
  <c r="R55" i="71"/>
  <c r="Q55" i="71"/>
  <c r="P55" i="71"/>
  <c r="O55" i="71"/>
  <c r="R54" i="71"/>
  <c r="G55" i="71" s="1"/>
  <c r="Q54" i="71"/>
  <c r="F55" i="71" s="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D50" i="71"/>
  <c r="U49" i="71"/>
  <c r="R49" i="71"/>
  <c r="Q49" i="71"/>
  <c r="P49" i="71"/>
  <c r="O49" i="71"/>
  <c r="D49" i="71"/>
  <c r="R48" i="71"/>
  <c r="Q48" i="71"/>
  <c r="P48" i="71"/>
  <c r="O48" i="71"/>
  <c r="R47" i="71"/>
  <c r="Q47" i="71"/>
  <c r="P47" i="71"/>
  <c r="O47" i="71"/>
  <c r="R46" i="71"/>
  <c r="G47" i="71" s="1"/>
  <c r="G48" i="71" s="1"/>
  <c r="Q46" i="71"/>
  <c r="F47" i="71" s="1"/>
  <c r="F48" i="71" s="1"/>
  <c r="P46" i="71"/>
  <c r="C47" i="71" s="1"/>
  <c r="O46" i="71"/>
  <c r="B47" i="71" s="1"/>
  <c r="B48"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D38" i="71"/>
  <c r="R37" i="71"/>
  <c r="Q37" i="71"/>
  <c r="P37" i="71"/>
  <c r="O37" i="71"/>
  <c r="R36" i="71"/>
  <c r="Q36" i="71"/>
  <c r="P36" i="71"/>
  <c r="O36" i="71"/>
  <c r="R35" i="71"/>
  <c r="Q35" i="71"/>
  <c r="P35" i="71"/>
  <c r="O35" i="71"/>
  <c r="R34" i="71"/>
  <c r="G35" i="71" s="1"/>
  <c r="G36" i="71" s="1"/>
  <c r="G37" i="71" s="1"/>
  <c r="W37" i="71" s="1"/>
  <c r="Q34" i="71"/>
  <c r="F35" i="71" s="1"/>
  <c r="F36" i="71" s="1"/>
  <c r="F37" i="71" s="1"/>
  <c r="V37" i="71" s="1"/>
  <c r="P34" i="71"/>
  <c r="C35" i="71" s="1"/>
  <c r="C36" i="71" s="1"/>
  <c r="O34" i="71"/>
  <c r="D34" i="71"/>
  <c r="R33" i="71"/>
  <c r="Q33" i="71"/>
  <c r="P33" i="71"/>
  <c r="O33" i="71"/>
  <c r="R32" i="71"/>
  <c r="Q32" i="71"/>
  <c r="P32" i="71"/>
  <c r="O32" i="71"/>
  <c r="R31" i="71"/>
  <c r="Q31" i="71"/>
  <c r="P31" i="71"/>
  <c r="O31" i="71"/>
  <c r="R30" i="71"/>
  <c r="G31" i="71" s="1"/>
  <c r="Q30" i="71"/>
  <c r="F31" i="71" s="1"/>
  <c r="P30" i="71"/>
  <c r="C31" i="71" s="1"/>
  <c r="O30" i="71"/>
  <c r="D30" i="71"/>
  <c r="P29" i="71"/>
  <c r="C29" i="71" s="1"/>
  <c r="O29" i="71"/>
  <c r="B29" i="71" s="1"/>
  <c r="B28" i="71" s="1"/>
  <c r="B27" i="71" s="1"/>
  <c r="B31" i="71"/>
  <c r="B35" i="71"/>
  <c r="F39" i="71"/>
  <c r="F40" i="71" s="1"/>
  <c r="Q29" i="71"/>
  <c r="F29" i="71" s="1"/>
  <c r="R29" i="71"/>
  <c r="D69" i="71"/>
  <c r="R69" i="71"/>
  <c r="F72" i="71"/>
  <c r="F71" i="71" s="1"/>
  <c r="C80" i="71"/>
  <c r="D80" i="71" s="1"/>
  <c r="C88" i="71"/>
  <c r="D88" i="71" s="1"/>
  <c r="G29" i="71"/>
  <c r="G28" i="71" s="1"/>
  <c r="G27" i="71" s="1"/>
  <c r="C87" i="71"/>
  <c r="D87"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s="1"/>
  <c r="A13" i="70"/>
  <c r="E13" i="70"/>
  <c r="A6" i="70"/>
  <c r="Q25" i="40"/>
  <c r="Z25" i="40" s="1"/>
  <c r="D94" i="40"/>
  <c r="E94" i="40"/>
  <c r="F25" i="40"/>
  <c r="AA25" i="40"/>
  <c r="Q29" i="39"/>
  <c r="Z29" i="39" s="1"/>
  <c r="D103" i="39"/>
  <c r="E103" i="39"/>
  <c r="F103" i="39" s="1"/>
  <c r="G103" i="39" s="1"/>
  <c r="F29" i="39"/>
  <c r="AA29" i="39" s="1"/>
  <c r="Q18" i="36"/>
  <c r="Z18" i="36" s="1"/>
  <c r="D66" i="36"/>
  <c r="E66" i="36"/>
  <c r="F66" i="36"/>
  <c r="H18" i="36"/>
  <c r="AB18" i="36" s="1"/>
  <c r="F18" i="36"/>
  <c r="C18" i="36"/>
  <c r="Z18" i="35"/>
  <c r="Q18" i="35"/>
  <c r="D68" i="35"/>
  <c r="E68" i="35" s="1"/>
  <c r="F68" i="35" s="1"/>
  <c r="G68" i="35" s="1"/>
  <c r="F18" i="35"/>
  <c r="AA18" i="35"/>
  <c r="C18" i="35"/>
  <c r="Z21" i="37"/>
  <c r="Q21" i="37"/>
  <c r="D77" i="37"/>
  <c r="E77" i="37" s="1"/>
  <c r="F77" i="37" s="1"/>
  <c r="G77" i="37" s="1"/>
  <c r="C21" i="37"/>
  <c r="Z21" i="34"/>
  <c r="Q21" i="34"/>
  <c r="D84" i="34"/>
  <c r="E84" i="34" s="1"/>
  <c r="F84" i="34" s="1"/>
  <c r="G84" i="34" s="1"/>
  <c r="F21" i="34"/>
  <c r="AA21" i="34" s="1"/>
  <c r="C21" i="34"/>
  <c r="Z21" i="33"/>
  <c r="Q21" i="33"/>
  <c r="D83" i="33"/>
  <c r="E83" i="33" s="1"/>
  <c r="F83" i="33" s="1"/>
  <c r="G83" i="33" s="1"/>
  <c r="C21" i="33"/>
  <c r="C21" i="21"/>
  <c r="Q21" i="21"/>
  <c r="Z21" i="21"/>
  <c r="H19" i="21"/>
  <c r="D83" i="21"/>
  <c r="E83" i="21" s="1"/>
  <c r="F83" i="21" s="1"/>
  <c r="G83" i="21" s="1"/>
  <c r="F21" i="21"/>
  <c r="AA21" i="21" s="1"/>
  <c r="D81" i="21"/>
  <c r="G20" i="20"/>
  <c r="B89" i="43"/>
  <c r="C22" i="20"/>
  <c r="B101" i="43" s="1"/>
  <c r="B78" i="43"/>
  <c r="B58" i="43"/>
  <c r="C25" i="40"/>
  <c r="C29" i="39"/>
  <c r="S25" i="40"/>
  <c r="S29" i="39"/>
  <c r="U18" i="36"/>
  <c r="F94" i="40"/>
  <c r="G94" i="40" s="1"/>
  <c r="H25" i="40"/>
  <c r="AB25" i="40" s="1"/>
  <c r="J25" i="40"/>
  <c r="AC25" i="40" s="1"/>
  <c r="H29" i="39"/>
  <c r="AB29" i="39" s="1"/>
  <c r="J29" i="39"/>
  <c r="AC29" i="39" s="1"/>
  <c r="G66" i="36"/>
  <c r="J18" i="36"/>
  <c r="W18" i="36" s="1"/>
  <c r="H18" i="35"/>
  <c r="S18" i="35"/>
  <c r="J18" i="35"/>
  <c r="W18" i="35" s="1"/>
  <c r="H21" i="37"/>
  <c r="F21" i="37"/>
  <c r="AA21" i="37" s="1"/>
  <c r="H21" i="34"/>
  <c r="AB21" i="34" s="1"/>
  <c r="H21" i="33"/>
  <c r="U21" i="33" s="1"/>
  <c r="F21" i="33"/>
  <c r="S21" i="21"/>
  <c r="H1" i="69"/>
  <c r="W25" i="40"/>
  <c r="U25" i="40"/>
  <c r="U29" i="39"/>
  <c r="W29" i="39"/>
  <c r="AC18" i="36"/>
  <c r="AB21" i="37"/>
  <c r="U21" i="37"/>
  <c r="AB21" i="33"/>
  <c r="AB18" i="35"/>
  <c r="U18" i="35"/>
  <c r="AC18" i="35"/>
  <c r="J21" i="37"/>
  <c r="AC21" i="37" s="1"/>
  <c r="J21" i="34"/>
  <c r="W21" i="34" s="1"/>
  <c r="J21" i="33"/>
  <c r="W21" i="33" s="1"/>
  <c r="H21" i="21"/>
  <c r="AB21" i="21" s="1"/>
  <c r="F38" i="69"/>
  <c r="E37" i="69"/>
  <c r="F36" i="69"/>
  <c r="F35" i="69"/>
  <c r="F21" i="69"/>
  <c r="F40" i="69" s="1"/>
  <c r="C21" i="69"/>
  <c r="F20" i="69"/>
  <c r="F39" i="69" s="1"/>
  <c r="E10" i="69"/>
  <c r="E9" i="69"/>
  <c r="W21" i="37"/>
  <c r="AC21" i="34"/>
  <c r="AC21" i="33"/>
  <c r="J21" i="21"/>
  <c r="AC21" i="21" s="1"/>
  <c r="C40" i="69"/>
  <c r="F38" i="68"/>
  <c r="E37" i="68"/>
  <c r="F36" i="68"/>
  <c r="F35" i="68"/>
  <c r="F21" i="68"/>
  <c r="F40" i="68" s="1"/>
  <c r="C21" i="68"/>
  <c r="F20" i="68"/>
  <c r="F39" i="68" s="1"/>
  <c r="E10" i="68"/>
  <c r="E9" i="68"/>
  <c r="C7" i="68"/>
  <c r="W21" i="21"/>
  <c r="C40" i="68"/>
  <c r="Q72" i="67"/>
  <c r="Q59" i="67"/>
  <c r="Q58" i="67"/>
  <c r="Q51" i="67"/>
  <c r="J50" i="67"/>
  <c r="M47" i="67"/>
  <c r="D46" i="67"/>
  <c r="F33" i="67"/>
  <c r="F61" i="67" s="1"/>
  <c r="F23" i="67"/>
  <c r="D22" i="67" s="1"/>
  <c r="F21" i="67"/>
  <c r="F20" i="67"/>
  <c r="M19" i="67"/>
  <c r="F18" i="67"/>
  <c r="F17" i="67"/>
  <c r="F15"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8" i="43"/>
  <c r="D89"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D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s="1"/>
  <c r="K78" i="43"/>
  <c r="J78" i="43" s="1"/>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s="1"/>
  <c r="K70" i="43"/>
  <c r="J70" i="43" s="1"/>
  <c r="M69" i="43"/>
  <c r="N69" i="43"/>
  <c r="K69" i="43"/>
  <c r="J69" i="43"/>
  <c r="M68" i="43"/>
  <c r="N68" i="43"/>
  <c r="K68" i="43"/>
  <c r="J68" i="43"/>
  <c r="M67" i="43"/>
  <c r="N67" i="43" s="1"/>
  <c r="K67" i="43"/>
  <c r="J67" i="43" s="1"/>
  <c r="M66" i="43"/>
  <c r="N66" i="43"/>
  <c r="K66" i="43"/>
  <c r="J66" i="43"/>
  <c r="M65" i="43"/>
  <c r="N65" i="43"/>
  <c r="K65" i="43"/>
  <c r="J65" i="43"/>
  <c r="M64" i="43"/>
  <c r="N64" i="43" s="1"/>
  <c r="K64" i="43"/>
  <c r="J64" i="43" s="1"/>
  <c r="M63" i="43"/>
  <c r="N63" i="43"/>
  <c r="K63" i="43"/>
  <c r="J63" i="43"/>
  <c r="M62" i="43"/>
  <c r="N62" i="43"/>
  <c r="K62" i="43"/>
  <c r="J62" i="43"/>
  <c r="M59" i="43"/>
  <c r="N59" i="43" s="1"/>
  <c r="K59" i="43"/>
  <c r="J59" i="43" s="1"/>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s="1"/>
  <c r="K53" i="43"/>
  <c r="J53" i="43" s="1"/>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K10" i="1" s="1"/>
  <c r="A11" i="1"/>
  <c r="A12" i="1"/>
  <c r="A13" i="1"/>
  <c r="A6" i="1"/>
  <c r="F3" i="35" s="1"/>
  <c r="B11" i="1"/>
  <c r="E11" i="1" s="1"/>
  <c r="B7" i="1"/>
  <c r="E7"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L109" i="3" s="1"/>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L104" i="3" s="1"/>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L98" i="3" s="1"/>
  <c r="BM98" i="3"/>
  <c r="BK98" i="3"/>
  <c r="BJ98" i="3"/>
  <c r="BI98" i="3"/>
  <c r="BH98" i="3"/>
  <c r="BG98" i="3"/>
  <c r="BF98" i="3"/>
  <c r="BE98" i="3"/>
  <c r="BD98" i="3"/>
  <c r="BC98" i="3"/>
  <c r="BB98" i="3"/>
  <c r="AX98" i="3"/>
  <c r="AW98" i="3"/>
  <c r="AV98" i="3"/>
  <c r="AC98" i="3"/>
  <c r="H98" i="3"/>
  <c r="G98" i="3"/>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A93" i="3" s="1"/>
  <c r="BB93" i="3"/>
  <c r="AX93" i="3"/>
  <c r="AW93" i="3"/>
  <c r="AV93" i="3"/>
  <c r="AC93" i="3"/>
  <c r="H93" i="3"/>
  <c r="G93" i="3"/>
  <c r="BT92" i="3"/>
  <c r="BS92" i="3"/>
  <c r="BL92" i="3" s="1"/>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L90" i="3" s="1"/>
  <c r="BK90" i="3"/>
  <c r="BJ90" i="3"/>
  <c r="BI90" i="3"/>
  <c r="BH90" i="3"/>
  <c r="BG90" i="3"/>
  <c r="BF90" i="3"/>
  <c r="BA90" i="3" s="1"/>
  <c r="AZ90" i="3" s="1"/>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L88" i="3" s="1"/>
  <c r="BK88" i="3"/>
  <c r="BJ88" i="3"/>
  <c r="BI88" i="3"/>
  <c r="BH88" i="3"/>
  <c r="BG88" i="3"/>
  <c r="BF88" i="3"/>
  <c r="BA88" i="3" s="1"/>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L86" i="3" s="1"/>
  <c r="BK86" i="3"/>
  <c r="BJ86" i="3"/>
  <c r="BI86" i="3"/>
  <c r="BH86" i="3"/>
  <c r="BG86" i="3"/>
  <c r="BF86" i="3"/>
  <c r="BE86" i="3"/>
  <c r="BD86" i="3"/>
  <c r="BA86" i="3" s="1"/>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A84" i="3" s="1"/>
  <c r="BB84" i="3"/>
  <c r="AX84" i="3"/>
  <c r="AW84" i="3"/>
  <c r="AV84" i="3"/>
  <c r="AC84" i="3"/>
  <c r="H84" i="3"/>
  <c r="G84" i="3" s="1"/>
  <c r="BT83" i="3"/>
  <c r="BS83" i="3"/>
  <c r="BR83" i="3"/>
  <c r="BQ83" i="3"/>
  <c r="BL83" i="3" s="1"/>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c r="BT79" i="3"/>
  <c r="BS79" i="3"/>
  <c r="BL79" i="3" s="1"/>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c r="BT74" i="3"/>
  <c r="BS74" i="3"/>
  <c r="BL74" i="3" s="1"/>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L64" i="3" s="1"/>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L62" i="3" s="1"/>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L60" i="3" s="1"/>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L57" i="3" s="1"/>
  <c r="BM57" i="3"/>
  <c r="BK57" i="3"/>
  <c r="BJ57" i="3"/>
  <c r="BI57" i="3"/>
  <c r="BH57" i="3"/>
  <c r="BG57" i="3"/>
  <c r="BF57" i="3"/>
  <c r="BE57" i="3"/>
  <c r="BD57" i="3"/>
  <c r="BC57" i="3"/>
  <c r="BB57" i="3"/>
  <c r="BA57" i="3" s="1"/>
  <c r="AZ57" i="3"/>
  <c r="AX57" i="3"/>
  <c r="AW57" i="3"/>
  <c r="AV57" i="3"/>
  <c r="AC57" i="3"/>
  <c r="H57" i="3"/>
  <c r="G57" i="3" s="1"/>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M55" i="3"/>
  <c r="BL55" i="3" s="1"/>
  <c r="BK55" i="3"/>
  <c r="BJ55" i="3"/>
  <c r="BI55" i="3"/>
  <c r="BH55" i="3"/>
  <c r="BA55" i="3" s="1"/>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A54" i="3" s="1"/>
  <c r="BG54" i="3"/>
  <c r="BF54" i="3"/>
  <c r="BE54" i="3"/>
  <c r="BD54" i="3"/>
  <c r="BC54" i="3"/>
  <c r="BB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A52" i="3" s="1"/>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L50" i="3" s="1"/>
  <c r="BK50" i="3"/>
  <c r="BJ50" i="3"/>
  <c r="BI50" i="3"/>
  <c r="BH50" i="3"/>
  <c r="BA50" i="3" s="1"/>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A49" i="3" s="1"/>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L47" i="3" s="1"/>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G45" i="3" s="1"/>
  <c r="H45" i="3"/>
  <c r="BT44" i="3"/>
  <c r="BS44" i="3"/>
  <c r="BR44" i="3"/>
  <c r="BQ44" i="3"/>
  <c r="BP44" i="3"/>
  <c r="BL44" i="3" s="1"/>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AX33" i="3"/>
  <c r="AW33" i="3"/>
  <c r="AV33" i="3"/>
  <c r="AC33" i="3"/>
  <c r="H33" i="3"/>
  <c r="G33" i="3"/>
  <c r="BT32" i="3"/>
  <c r="BS32" i="3"/>
  <c r="BR32" i="3"/>
  <c r="BQ32" i="3"/>
  <c r="BP32" i="3"/>
  <c r="BO32" i="3"/>
  <c r="BN32" i="3"/>
  <c r="BL32" i="3" s="1"/>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A30" i="3" s="1"/>
  <c r="BH30" i="3"/>
  <c r="BG30" i="3"/>
  <c r="BF30" i="3"/>
  <c r="BE30" i="3"/>
  <c r="BD30" i="3"/>
  <c r="BC30" i="3"/>
  <c r="BB30" i="3"/>
  <c r="AX30" i="3"/>
  <c r="AW30" i="3"/>
  <c r="AV30" i="3"/>
  <c r="AC30" i="3"/>
  <c r="G30" i="3" s="1"/>
  <c r="H30" i="3"/>
  <c r="BT29" i="3"/>
  <c r="BS29" i="3"/>
  <c r="BR29" i="3"/>
  <c r="BQ29" i="3"/>
  <c r="BP29" i="3"/>
  <c r="BO29" i="3"/>
  <c r="BN29" i="3"/>
  <c r="BL29" i="3" s="1"/>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L21" i="3" s="1"/>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G20" i="3" s="1"/>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L206" i="3" s="1"/>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L190" i="3" s="1"/>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A180" i="3" s="1"/>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L173" i="3" s="1"/>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A158" i="3" s="1"/>
  <c r="BG158" i="3"/>
  <c r="BF158" i="3"/>
  <c r="BE158" i="3"/>
  <c r="BD158" i="3"/>
  <c r="BC158" i="3"/>
  <c r="BB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L155" i="3" s="1"/>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A154" i="3" s="1"/>
  <c r="BH154" i="3"/>
  <c r="BG154" i="3"/>
  <c r="BF154" i="3"/>
  <c r="BE154" i="3"/>
  <c r="BD154" i="3"/>
  <c r="BC154" i="3"/>
  <c r="BB154" i="3"/>
  <c r="AX154" i="3"/>
  <c r="AW154" i="3"/>
  <c r="AV154" i="3"/>
  <c r="AC154" i="3"/>
  <c r="H154" i="3"/>
  <c r="BT153" i="3"/>
  <c r="BS153" i="3"/>
  <c r="BR153" i="3"/>
  <c r="BQ153" i="3"/>
  <c r="BP153" i="3"/>
  <c r="BO153" i="3"/>
  <c r="BN153" i="3"/>
  <c r="BM153" i="3"/>
  <c r="BK153" i="3"/>
  <c r="BA153" i="3" s="1"/>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c r="BT150" i="3"/>
  <c r="BS150" i="3"/>
  <c r="BL150" i="3" s="1"/>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L146" i="3" s="1"/>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L145" i="3" s="1"/>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A144" i="3" s="1"/>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A142" i="3" s="1"/>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L138" i="3" s="1"/>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A137" i="3" s="1"/>
  <c r="AZ137" i="3" s="1"/>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L123" i="3" s="1"/>
  <c r="BO123" i="3"/>
  <c r="BN123" i="3"/>
  <c r="BM123" i="3"/>
  <c r="BK123" i="3"/>
  <c r="BJ123" i="3"/>
  <c r="BI123" i="3"/>
  <c r="BH123" i="3"/>
  <c r="BG123" i="3"/>
  <c r="BF123" i="3"/>
  <c r="BE123" i="3"/>
  <c r="BD123" i="3"/>
  <c r="BC123" i="3"/>
  <c r="BB123" i="3"/>
  <c r="AX123" i="3"/>
  <c r="AW123" i="3"/>
  <c r="AV123" i="3"/>
  <c r="AC123" i="3"/>
  <c r="H123" i="3"/>
  <c r="G123" i="3"/>
  <c r="BT122" i="3"/>
  <c r="BS122" i="3"/>
  <c r="BR122" i="3"/>
  <c r="BQ122" i="3"/>
  <c r="BL122" i="3" s="1"/>
  <c r="BP122" i="3"/>
  <c r="BO122" i="3"/>
  <c r="BN122" i="3"/>
  <c r="BM122" i="3"/>
  <c r="BK122" i="3"/>
  <c r="BJ122" i="3"/>
  <c r="BI122" i="3"/>
  <c r="BH122" i="3"/>
  <c r="BG122" i="3"/>
  <c r="BF122" i="3"/>
  <c r="BE122" i="3"/>
  <c r="BA122" i="3" s="1"/>
  <c r="AZ122" i="3" s="1"/>
  <c r="BD122" i="3"/>
  <c r="BC122" i="3"/>
  <c r="BB122" i="3"/>
  <c r="AX122" i="3"/>
  <c r="AW122" i="3"/>
  <c r="AV122" i="3"/>
  <c r="AC122" i="3"/>
  <c r="H122" i="3"/>
  <c r="G122" i="3"/>
  <c r="BT121" i="3"/>
  <c r="BS121" i="3"/>
  <c r="BR121" i="3"/>
  <c r="BQ121" i="3"/>
  <c r="BP121" i="3"/>
  <c r="BO121" i="3"/>
  <c r="BL121" i="3" s="1"/>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L118" i="3" s="1"/>
  <c r="BS118" i="3"/>
  <c r="BR118" i="3"/>
  <c r="BQ118" i="3"/>
  <c r="BP118" i="3"/>
  <c r="BO118" i="3"/>
  <c r="BN118" i="3"/>
  <c r="BM118" i="3"/>
  <c r="BK118" i="3"/>
  <c r="BJ118" i="3"/>
  <c r="BI118" i="3"/>
  <c r="BH118" i="3"/>
  <c r="BA118" i="3" s="1"/>
  <c r="AZ118" i="3" s="1"/>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G302" i="3" s="1"/>
  <c r="H302" i="3"/>
  <c r="BT301" i="3"/>
  <c r="BL301" i="3" s="1"/>
  <c r="BS301" i="3"/>
  <c r="BR301" i="3"/>
  <c r="BQ301" i="3"/>
  <c r="BP301" i="3"/>
  <c r="BO301" i="3"/>
  <c r="BN301" i="3"/>
  <c r="BM301" i="3"/>
  <c r="BK301" i="3"/>
  <c r="BJ301" i="3"/>
  <c r="BI301" i="3"/>
  <c r="BH301" i="3"/>
  <c r="BA301" i="3" s="1"/>
  <c r="BG301" i="3"/>
  <c r="BF301" i="3"/>
  <c r="BE301" i="3"/>
  <c r="BD301" i="3"/>
  <c r="BC301" i="3"/>
  <c r="BB301" i="3"/>
  <c r="AX301" i="3"/>
  <c r="AW301" i="3"/>
  <c r="AV301" i="3"/>
  <c r="AC301" i="3"/>
  <c r="G301" i="3" s="1"/>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L296" i="3" s="1"/>
  <c r="BR296" i="3"/>
  <c r="BQ296" i="3"/>
  <c r="BP296" i="3"/>
  <c r="BO296" i="3"/>
  <c r="BN296" i="3"/>
  <c r="BM296" i="3"/>
  <c r="BK296" i="3"/>
  <c r="BJ296" i="3"/>
  <c r="BI296" i="3"/>
  <c r="BH296" i="3"/>
  <c r="BG296" i="3"/>
  <c r="BF296" i="3"/>
  <c r="BE296" i="3"/>
  <c r="BA296" i="3" s="1"/>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L290" i="3" s="1"/>
  <c r="BR290" i="3"/>
  <c r="BQ290" i="3"/>
  <c r="BP290" i="3"/>
  <c r="BO290" i="3"/>
  <c r="BN290" i="3"/>
  <c r="BM290" i="3"/>
  <c r="BK290" i="3"/>
  <c r="BJ290" i="3"/>
  <c r="BI290" i="3"/>
  <c r="BH290" i="3"/>
  <c r="BG290" i="3"/>
  <c r="BF290" i="3"/>
  <c r="BE290" i="3"/>
  <c r="BA290" i="3" s="1"/>
  <c r="AZ290" i="3" s="1"/>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L285" i="3" s="1"/>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G280" i="3" s="1"/>
  <c r="BT279" i="3"/>
  <c r="BL279" i="3" s="1"/>
  <c r="BS279" i="3"/>
  <c r="BR279" i="3"/>
  <c r="BQ279" i="3"/>
  <c r="BP279" i="3"/>
  <c r="BO279" i="3"/>
  <c r="BN279" i="3"/>
  <c r="BM279" i="3"/>
  <c r="BK279" i="3"/>
  <c r="BJ279" i="3"/>
  <c r="BI279" i="3"/>
  <c r="BH279" i="3"/>
  <c r="BA279" i="3" s="1"/>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L274" i="3" s="1"/>
  <c r="BS274" i="3"/>
  <c r="BR274" i="3"/>
  <c r="BQ274" i="3"/>
  <c r="BP274" i="3"/>
  <c r="BO274" i="3"/>
  <c r="BN274" i="3"/>
  <c r="BM274" i="3"/>
  <c r="BK274" i="3"/>
  <c r="BJ274" i="3"/>
  <c r="BI274" i="3"/>
  <c r="BH274" i="3"/>
  <c r="BA274" i="3" s="1"/>
  <c r="AZ274" i="3" s="1"/>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AZ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s="1"/>
  <c r="BT269" i="3"/>
  <c r="BL269" i="3" s="1"/>
  <c r="BS269" i="3"/>
  <c r="BR269" i="3"/>
  <c r="BQ269" i="3"/>
  <c r="BP269" i="3"/>
  <c r="BO269" i="3"/>
  <c r="BN269" i="3"/>
  <c r="BM269" i="3"/>
  <c r="BK269" i="3"/>
  <c r="BJ269" i="3"/>
  <c r="BI269" i="3"/>
  <c r="BH269" i="3"/>
  <c r="BA269" i="3" s="1"/>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AZ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c r="BT264" i="3"/>
  <c r="BS264" i="3"/>
  <c r="BL264" i="3" s="1"/>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L259" i="3" s="1"/>
  <c r="BS259" i="3"/>
  <c r="BR259" i="3"/>
  <c r="BQ259" i="3"/>
  <c r="BP259" i="3"/>
  <c r="BO259" i="3"/>
  <c r="BN259" i="3"/>
  <c r="BM259" i="3"/>
  <c r="BK259" i="3"/>
  <c r="BJ259" i="3"/>
  <c r="BI259" i="3"/>
  <c r="BH259" i="3"/>
  <c r="BA259" i="3" s="1"/>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L254" i="3" s="1"/>
  <c r="BS254" i="3"/>
  <c r="BR254" i="3"/>
  <c r="BQ254" i="3"/>
  <c r="BP254" i="3"/>
  <c r="BO254" i="3"/>
  <c r="BN254" i="3"/>
  <c r="BM254" i="3"/>
  <c r="BK254" i="3"/>
  <c r="BJ254" i="3"/>
  <c r="BI254" i="3"/>
  <c r="BH254" i="3"/>
  <c r="BA254" i="3" s="1"/>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L249" i="3" s="1"/>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A248" i="3" s="1"/>
  <c r="BH248" i="3"/>
  <c r="BG248" i="3"/>
  <c r="BF248" i="3"/>
  <c r="BE248" i="3"/>
  <c r="BD248" i="3"/>
  <c r="BC248" i="3"/>
  <c r="BB248" i="3"/>
  <c r="AX248" i="3"/>
  <c r="AW248" i="3"/>
  <c r="AV248" i="3"/>
  <c r="AC248" i="3"/>
  <c r="G248" i="3" s="1"/>
  <c r="H248" i="3"/>
  <c r="BT247" i="3"/>
  <c r="BS247" i="3"/>
  <c r="BR247" i="3"/>
  <c r="BQ247" i="3"/>
  <c r="BP247" i="3"/>
  <c r="BO247" i="3"/>
  <c r="BN247" i="3"/>
  <c r="BM247" i="3"/>
  <c r="BL247" i="3" s="1"/>
  <c r="BK247" i="3"/>
  <c r="BA247" i="3" s="1"/>
  <c r="AZ247" i="3" s="1"/>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L244" i="3" s="1"/>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AZ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L239" i="3" s="1"/>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L234" i="3" s="1"/>
  <c r="BR234" i="3"/>
  <c r="BQ234" i="3"/>
  <c r="BP234" i="3"/>
  <c r="BO234" i="3"/>
  <c r="BN234" i="3"/>
  <c r="BM234" i="3"/>
  <c r="BK234" i="3"/>
  <c r="BJ234" i="3"/>
  <c r="BI234" i="3"/>
  <c r="BH234" i="3"/>
  <c r="BG234" i="3"/>
  <c r="BF234" i="3"/>
  <c r="BE234" i="3"/>
  <c r="BA234" i="3" s="1"/>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L232" i="3" s="1"/>
  <c r="BK232" i="3"/>
  <c r="BA232" i="3" s="1"/>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L229" i="3" s="1"/>
  <c r="BR229" i="3"/>
  <c r="BQ229" i="3"/>
  <c r="BP229" i="3"/>
  <c r="BO229" i="3"/>
  <c r="BN229" i="3"/>
  <c r="BM229" i="3"/>
  <c r="BK229" i="3"/>
  <c r="BJ229" i="3"/>
  <c r="BI229" i="3"/>
  <c r="BH229" i="3"/>
  <c r="BG229" i="3"/>
  <c r="BF229" i="3"/>
  <c r="BE229" i="3"/>
  <c r="BA229" i="3" s="1"/>
  <c r="BD229" i="3"/>
  <c r="BC229" i="3"/>
  <c r="BB229" i="3"/>
  <c r="AX229" i="3"/>
  <c r="AW229" i="3"/>
  <c r="AV229" i="3"/>
  <c r="AC229" i="3"/>
  <c r="G229" i="3" s="1"/>
  <c r="H229" i="3"/>
  <c r="BT228" i="3"/>
  <c r="BS228" i="3"/>
  <c r="BR228" i="3"/>
  <c r="BQ228" i="3"/>
  <c r="BP228" i="3"/>
  <c r="BO228" i="3"/>
  <c r="BN228" i="3"/>
  <c r="BM228" i="3"/>
  <c r="BL228" i="3" s="1"/>
  <c r="BK228" i="3"/>
  <c r="BJ228" i="3"/>
  <c r="BI228" i="3"/>
  <c r="BA228" i="3" s="1"/>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A224" i="3" s="1"/>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A219" i="3" s="1"/>
  <c r="BG219" i="3"/>
  <c r="BF219" i="3"/>
  <c r="BE219" i="3"/>
  <c r="BD219" i="3"/>
  <c r="BC219" i="3"/>
  <c r="BB219" i="3"/>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c r="BT215" i="3"/>
  <c r="BS215" i="3"/>
  <c r="BL215" i="3" s="1"/>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L210" i="3" s="1"/>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AZ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L396" i="3" s="1"/>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A395" i="3" s="1"/>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A386" i="3" s="1"/>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A366" i="3" s="1"/>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L350" i="3" s="1"/>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A349" i="3" s="1"/>
  <c r="BE349" i="3"/>
  <c r="BD349" i="3"/>
  <c r="BC349" i="3"/>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L340" i="3" s="1"/>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A331" i="3" s="1"/>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A315" i="3" s="1"/>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L490" i="3" s="1"/>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A489" i="3" s="1"/>
  <c r="AZ489" i="3" s="1"/>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L487" i="3" s="1"/>
  <c r="BS487" i="3"/>
  <c r="BR487" i="3"/>
  <c r="BQ487" i="3"/>
  <c r="BP487" i="3"/>
  <c r="BO487" i="3"/>
  <c r="BN487" i="3"/>
  <c r="BM487" i="3"/>
  <c r="BK487" i="3"/>
  <c r="BJ487" i="3"/>
  <c r="BI487" i="3"/>
  <c r="BA487" i="3" s="1"/>
  <c r="BH487" i="3"/>
  <c r="BG487" i="3"/>
  <c r="BF487" i="3"/>
  <c r="BE487" i="3"/>
  <c r="BD487" i="3"/>
  <c r="BC487" i="3"/>
  <c r="BB487" i="3"/>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L479" i="3" s="1"/>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L462" i="3" s="1"/>
  <c r="BQ462" i="3"/>
  <c r="BP462" i="3"/>
  <c r="BO462" i="3"/>
  <c r="BN462" i="3"/>
  <c r="BM462" i="3"/>
  <c r="BK462" i="3"/>
  <c r="BJ462" i="3"/>
  <c r="BI462" i="3"/>
  <c r="BH462" i="3"/>
  <c r="BG462" i="3"/>
  <c r="BA462" i="3" s="1"/>
  <c r="AZ462" i="3" s="1"/>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A461" i="3" s="1"/>
  <c r="AZ461" i="3" s="1"/>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G454" i="3" s="1"/>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L450" i="3" s="1"/>
  <c r="BP450" i="3"/>
  <c r="BO450" i="3"/>
  <c r="BN450" i="3"/>
  <c r="BM450" i="3"/>
  <c r="BK450" i="3"/>
  <c r="BJ450" i="3"/>
  <c r="BI450" i="3"/>
  <c r="BH450" i="3"/>
  <c r="BG450" i="3"/>
  <c r="BF450" i="3"/>
  <c r="BA450" i="3" s="1"/>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A449" i="3" s="1"/>
  <c r="AZ449" i="3" s="1"/>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L434" i="3" s="1"/>
  <c r="BN434" i="3"/>
  <c r="BM434" i="3"/>
  <c r="BK434" i="3"/>
  <c r="BJ434" i="3"/>
  <c r="BI434" i="3"/>
  <c r="BH434" i="3"/>
  <c r="BG434" i="3"/>
  <c r="BF434" i="3"/>
  <c r="BE434" i="3"/>
  <c r="BD434" i="3"/>
  <c r="BA434" i="3" s="1"/>
  <c r="BC434" i="3"/>
  <c r="BB434" i="3"/>
  <c r="AX434" i="3"/>
  <c r="AW434" i="3"/>
  <c r="AV434" i="3"/>
  <c r="AC434" i="3"/>
  <c r="H434" i="3"/>
  <c r="G434" i="3"/>
  <c r="BT433" i="3"/>
  <c r="BS433" i="3"/>
  <c r="BR433" i="3"/>
  <c r="BL433" i="3" s="1"/>
  <c r="BQ433" i="3"/>
  <c r="BP433" i="3"/>
  <c r="BO433" i="3"/>
  <c r="BN433" i="3"/>
  <c r="BM433" i="3"/>
  <c r="BK433" i="3"/>
  <c r="BJ433" i="3"/>
  <c r="BI433" i="3"/>
  <c r="BH433" i="3"/>
  <c r="BG433" i="3"/>
  <c r="BF433" i="3"/>
  <c r="BE433" i="3"/>
  <c r="BD433" i="3"/>
  <c r="BC433" i="3"/>
  <c r="BB433" i="3"/>
  <c r="BA433" i="3" s="1"/>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L427" i="3" s="1"/>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AZ424" i="3" s="1"/>
  <c r="BC424" i="3"/>
  <c r="BB424" i="3"/>
  <c r="AX424" i="3"/>
  <c r="AW424" i="3"/>
  <c r="AV424" i="3"/>
  <c r="AC424" i="3"/>
  <c r="H424" i="3"/>
  <c r="G424" i="3"/>
  <c r="BT423" i="3"/>
  <c r="BS423" i="3"/>
  <c r="BR423" i="3"/>
  <c r="BQ423" i="3"/>
  <c r="BP423" i="3"/>
  <c r="BL423" i="3" s="1"/>
  <c r="BO423" i="3"/>
  <c r="BN423" i="3"/>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A421" i="3" s="1"/>
  <c r="AZ421" i="3" s="1"/>
  <c r="BD421" i="3"/>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A416" i="3" s="1"/>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c r="BT414" i="3"/>
  <c r="BS414" i="3"/>
  <c r="BR414" i="3"/>
  <c r="BQ414" i="3"/>
  <c r="BP414" i="3"/>
  <c r="BL414" i="3" s="1"/>
  <c r="BO414" i="3"/>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c r="BT404" i="3"/>
  <c r="BS404" i="3"/>
  <c r="BR404" i="3"/>
  <c r="BQ404" i="3"/>
  <c r="BP404" i="3"/>
  <c r="BL404" i="3" s="1"/>
  <c r="BO404" i="3"/>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c r="F33" i="9"/>
  <c r="B37" i="48"/>
  <c r="B2" i="72" s="1"/>
  <c r="B13" i="53"/>
  <c r="B29" i="72"/>
  <c r="R35" i="4"/>
  <c r="Q35" i="4"/>
  <c r="P35" i="4"/>
  <c r="O35" i="4"/>
  <c r="N35" i="4"/>
  <c r="M35" i="4"/>
  <c r="L35" i="4"/>
  <c r="K34" i="4"/>
  <c r="T34" i="4" s="1"/>
  <c r="T35" i="4" s="1"/>
  <c r="A19" i="51" s="1"/>
  <c r="B14" i="72" s="1"/>
  <c r="G13" i="1"/>
  <c r="G11" i="1"/>
  <c r="I15" i="4"/>
  <c r="H15" i="4"/>
  <c r="G15" i="4"/>
  <c r="E15" i="4"/>
  <c r="D15" i="4"/>
  <c r="F7" i="1"/>
  <c r="G7" i="1" s="1"/>
  <c r="L21" i="4"/>
  <c r="F19" i="4"/>
  <c r="F2" i="52"/>
  <c r="B50" i="72"/>
  <c r="D2" i="52"/>
  <c r="B46" i="72" s="1"/>
  <c r="B8" i="53"/>
  <c r="B23" i="72" s="1"/>
  <c r="L4" i="9"/>
  <c r="B17" i="72"/>
  <c r="B15" i="72"/>
  <c r="A3" i="51"/>
  <c r="C8" i="11"/>
  <c r="B40" i="48"/>
  <c r="B3" i="72" s="1"/>
  <c r="N1" i="43"/>
  <c r="F35" i="4"/>
  <c r="J55" i="39" s="1"/>
  <c r="H38" i="43"/>
  <c r="H39" i="43"/>
  <c r="H40" i="43"/>
  <c r="H41" i="43"/>
  <c r="H42" i="43"/>
  <c r="H37" i="43"/>
  <c r="J24" i="43"/>
  <c r="C22" i="43"/>
  <c r="C13" i="43"/>
  <c r="C10" i="43"/>
  <c r="C11" i="43" s="1"/>
  <c r="C9" i="43"/>
  <c r="F33" i="15"/>
  <c r="F61" i="15"/>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P13" i="1" s="1"/>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c r="G55" i="34"/>
  <c r="H55" i="34" s="1"/>
  <c r="E55" i="34"/>
  <c r="F55" i="34" s="1"/>
  <c r="I48" i="40"/>
  <c r="J48" i="40" s="1"/>
  <c r="G48" i="40"/>
  <c r="H48" i="40" s="1"/>
  <c r="E48" i="40"/>
  <c r="F48" i="40"/>
  <c r="I53" i="39"/>
  <c r="J53" i="39"/>
  <c r="G53" i="39"/>
  <c r="H53" i="39" s="1"/>
  <c r="E53" i="39"/>
  <c r="F53" i="39" s="1"/>
  <c r="I42" i="36"/>
  <c r="J42" i="36"/>
  <c r="G42" i="36"/>
  <c r="H42" i="36" s="1"/>
  <c r="E42" i="36"/>
  <c r="F42" i="36"/>
  <c r="I44" i="35"/>
  <c r="J44" i="35"/>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AZ548" i="3" s="1"/>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A555" i="3" s="1"/>
  <c r="AZ555" i="3" s="1"/>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J31" i="35"/>
  <c r="W31" i="35" s="1"/>
  <c r="H31" i="35"/>
  <c r="AB31" i="35" s="1"/>
  <c r="F31" i="35"/>
  <c r="D87" i="35"/>
  <c r="E87" i="35" s="1"/>
  <c r="F87" i="35" s="1"/>
  <c r="G87" i="35" s="1"/>
  <c r="H87" i="35" s="1"/>
  <c r="I87" i="35"/>
  <c r="J87" i="35" s="1"/>
  <c r="K87" i="35" s="1"/>
  <c r="L87" i="35" s="1"/>
  <c r="M87" i="35" s="1"/>
  <c r="H34" i="37"/>
  <c r="D101" i="37"/>
  <c r="F34" i="37"/>
  <c r="D99" i="37"/>
  <c r="E99" i="37"/>
  <c r="F99" i="37" s="1"/>
  <c r="G99" i="37" s="1"/>
  <c r="H99" i="37" s="1"/>
  <c r="I99" i="37" s="1"/>
  <c r="J99" i="37" s="1"/>
  <c r="K99" i="37"/>
  <c r="L99" i="37" s="1"/>
  <c r="M99" i="37" s="1"/>
  <c r="H42" i="34"/>
  <c r="J42" i="34"/>
  <c r="W42" i="34" s="1"/>
  <c r="F42" i="34"/>
  <c r="J38" i="34"/>
  <c r="W38" i="34" s="1"/>
  <c r="D114" i="34"/>
  <c r="F38" i="34"/>
  <c r="S38" i="34"/>
  <c r="D112" i="34"/>
  <c r="E112" i="34"/>
  <c r="F112" i="34"/>
  <c r="G112" i="34" s="1"/>
  <c r="H112" i="34"/>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1" i="39"/>
  <c r="E81" i="39"/>
  <c r="F81" i="39" s="1"/>
  <c r="G81" i="39"/>
  <c r="H81" i="39" s="1"/>
  <c r="I81" i="39" s="1"/>
  <c r="J81" i="39" s="1"/>
  <c r="K81" i="39" s="1"/>
  <c r="L81" i="39"/>
  <c r="M81" i="39" s="1"/>
  <c r="D76" i="40"/>
  <c r="E76" i="40" s="1"/>
  <c r="F76" i="40" s="1"/>
  <c r="G76" i="40" s="1"/>
  <c r="H76" i="40" s="1"/>
  <c r="I76" i="40" s="1"/>
  <c r="J76" i="40" s="1"/>
  <c r="K76" i="40" s="1"/>
  <c r="L76" i="40" s="1"/>
  <c r="M76" i="40" s="1"/>
  <c r="B120" i="40"/>
  <c r="B118" i="40"/>
  <c r="J39" i="40"/>
  <c r="B116" i="40"/>
  <c r="D115" i="40"/>
  <c r="E115" i="40"/>
  <c r="F115" i="40" s="1"/>
  <c r="G115" i="40" s="1"/>
  <c r="H115" i="40"/>
  <c r="I115" i="40" s="1"/>
  <c r="J115" i="40"/>
  <c r="K115" i="40" s="1"/>
  <c r="L115" i="40" s="1"/>
  <c r="M115" i="40" s="1"/>
  <c r="D113" i="40"/>
  <c r="E113" i="40"/>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s="1"/>
  <c r="D100" i="40"/>
  <c r="E100" i="40"/>
  <c r="F100" i="40" s="1"/>
  <c r="G100" i="40" s="1"/>
  <c r="H100" i="40" s="1"/>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c r="D88" i="40"/>
  <c r="E88" i="40" s="1"/>
  <c r="D86" i="40"/>
  <c r="E86" i="40"/>
  <c r="F86" i="40" s="1"/>
  <c r="G86" i="40"/>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c r="H38" i="40"/>
  <c r="AB38" i="40" s="1"/>
  <c r="Q37" i="40"/>
  <c r="Z37" i="40"/>
  <c r="Q36" i="40"/>
  <c r="Z36" i="40" s="1"/>
  <c r="Q35" i="40"/>
  <c r="Z35" i="40" s="1"/>
  <c r="Q34" i="40"/>
  <c r="Z34" i="40" s="1"/>
  <c r="J34" i="40"/>
  <c r="AC34" i="40"/>
  <c r="H34" i="40"/>
  <c r="AB34" i="40"/>
  <c r="F34" i="40"/>
  <c r="AA34" i="40" s="1"/>
  <c r="Q33" i="40"/>
  <c r="Z33" i="40" s="1"/>
  <c r="Q32" i="40"/>
  <c r="Z32" i="40" s="1"/>
  <c r="Q31" i="40"/>
  <c r="Z31" i="40" s="1"/>
  <c r="Q30" i="40"/>
  <c r="Z30" i="40"/>
  <c r="Q28" i="40"/>
  <c r="Z28" i="40" s="1"/>
  <c r="Q27" i="40"/>
  <c r="Z27" i="40"/>
  <c r="Q23" i="40"/>
  <c r="Z23" i="40" s="1"/>
  <c r="Q21" i="40"/>
  <c r="Z21" i="40" s="1"/>
  <c r="Q19" i="40"/>
  <c r="Z19" i="40"/>
  <c r="Q17" i="40"/>
  <c r="Z17" i="40"/>
  <c r="Q15" i="40"/>
  <c r="Z15" i="40" s="1"/>
  <c r="Q14" i="40"/>
  <c r="Z14" i="40" s="1"/>
  <c r="Q13" i="40"/>
  <c r="Z13" i="40" s="1"/>
  <c r="Q12" i="40"/>
  <c r="Z12" i="40" s="1"/>
  <c r="Q11" i="40"/>
  <c r="Z11" i="40" s="1"/>
  <c r="Q10" i="40"/>
  <c r="Z10" i="40"/>
  <c r="Q9" i="40"/>
  <c r="Z9" i="40" s="1"/>
  <c r="J9" i="40"/>
  <c r="W9" i="40" s="1"/>
  <c r="H9" i="40"/>
  <c r="AB9" i="40" s="1"/>
  <c r="F9" i="40"/>
  <c r="S9" i="40" s="1"/>
  <c r="J8" i="40"/>
  <c r="AC8" i="40"/>
  <c r="H8" i="40"/>
  <c r="AB8" i="40"/>
  <c r="F8" i="40"/>
  <c r="AA8" i="40"/>
  <c r="J38" i="39"/>
  <c r="W38" i="39" s="1"/>
  <c r="H38" i="39"/>
  <c r="AB38" i="39" s="1"/>
  <c r="F38" i="39"/>
  <c r="AA38" i="39" s="1"/>
  <c r="D124" i="39"/>
  <c r="E124" i="39"/>
  <c r="F124" i="39" s="1"/>
  <c r="G124" i="39"/>
  <c r="H124" i="39" s="1"/>
  <c r="I124" i="39" s="1"/>
  <c r="J124" i="39" s="1"/>
  <c r="K124" i="39" s="1"/>
  <c r="L124" i="39" s="1"/>
  <c r="M124" i="39" s="1"/>
  <c r="D120" i="39"/>
  <c r="E120" i="39" s="1"/>
  <c r="F120" i="39" s="1"/>
  <c r="G120" i="39" s="1"/>
  <c r="H120" i="39" s="1"/>
  <c r="I120" i="39" s="1"/>
  <c r="J120" i="39" s="1"/>
  <c r="K120" i="39"/>
  <c r="L120" i="39"/>
  <c r="M120" i="39" s="1"/>
  <c r="B114" i="39"/>
  <c r="J37" i="39" s="1"/>
  <c r="AC37" i="39" s="1"/>
  <c r="D109" i="39"/>
  <c r="F34" i="39"/>
  <c r="AA34" i="39"/>
  <c r="D107" i="39"/>
  <c r="E107" i="39" s="1"/>
  <c r="D105" i="39"/>
  <c r="E105" i="39" s="1"/>
  <c r="F105" i="39" s="1"/>
  <c r="G105" i="39" s="1"/>
  <c r="H105" i="39" s="1"/>
  <c r="I105" i="39" s="1"/>
  <c r="J105" i="39" s="1"/>
  <c r="K105" i="39" s="1"/>
  <c r="L105" i="39" s="1"/>
  <c r="M105" i="39" s="1"/>
  <c r="D101" i="39"/>
  <c r="D99" i="39"/>
  <c r="E99" i="39"/>
  <c r="F99" i="39"/>
  <c r="G99" i="39" s="1"/>
  <c r="Q39" i="39"/>
  <c r="Z39" i="39"/>
  <c r="Q40" i="39"/>
  <c r="Z40" i="39" s="1"/>
  <c r="Q41" i="39"/>
  <c r="Z41" i="39" s="1"/>
  <c r="Q42" i="39"/>
  <c r="Z42" i="39" s="1"/>
  <c r="Q43" i="39"/>
  <c r="Z43" i="39"/>
  <c r="Q44" i="39"/>
  <c r="Z44" i="39"/>
  <c r="Q45" i="39"/>
  <c r="Z45" i="39"/>
  <c r="Q38" i="39"/>
  <c r="Z38" i="39"/>
  <c r="Q36" i="39"/>
  <c r="Z36" i="39" s="1"/>
  <c r="Q37" i="39"/>
  <c r="Z37" i="39" s="1"/>
  <c r="B131" i="39"/>
  <c r="H45" i="39"/>
  <c r="B129" i="39"/>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c r="G93" i="39"/>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J40" i="39"/>
  <c r="F40" i="39"/>
  <c r="AA40" i="39"/>
  <c r="Q35" i="39"/>
  <c r="Z35" i="39"/>
  <c r="Q34" i="39"/>
  <c r="Z34" i="39" s="1"/>
  <c r="Q32" i="39"/>
  <c r="Z32" i="39" s="1"/>
  <c r="Q31" i="39"/>
  <c r="Z31" i="39" s="1"/>
  <c r="Q27" i="39"/>
  <c r="Z27" i="39"/>
  <c r="Q25" i="39"/>
  <c r="Z25" i="39" s="1"/>
  <c r="Q23" i="39"/>
  <c r="Z23" i="39"/>
  <c r="Q21" i="39"/>
  <c r="Z21" i="39" s="1"/>
  <c r="Q19" i="39"/>
  <c r="Z19" i="39"/>
  <c r="Q17" i="39"/>
  <c r="Z17" i="39" s="1"/>
  <c r="Q15" i="39"/>
  <c r="Z15" i="39" s="1"/>
  <c r="Q14" i="39"/>
  <c r="Z14" i="39" s="1"/>
  <c r="Q13" i="39"/>
  <c r="Z13" i="39" s="1"/>
  <c r="Q12" i="39"/>
  <c r="Z12" i="39"/>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s="1"/>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c r="Q36" i="37"/>
  <c r="Z36" i="37"/>
  <c r="Q35" i="37"/>
  <c r="Z35" i="37" s="1"/>
  <c r="Q34" i="37"/>
  <c r="Z34" i="37"/>
  <c r="Q33" i="37"/>
  <c r="Z33" i="37" s="1"/>
  <c r="Q32" i="37"/>
  <c r="Z32" i="37" s="1"/>
  <c r="Q31" i="37"/>
  <c r="Z31" i="37" s="1"/>
  <c r="J31" i="37"/>
  <c r="AC31" i="37"/>
  <c r="Q30" i="37"/>
  <c r="Z30" i="37" s="1"/>
  <c r="J30" i="37"/>
  <c r="AC30" i="37"/>
  <c r="H30" i="37"/>
  <c r="AB30" i="37" s="1"/>
  <c r="F30" i="37"/>
  <c r="AA30" i="37" s="1"/>
  <c r="Q29" i="37"/>
  <c r="Z29" i="37" s="1"/>
  <c r="H29" i="37"/>
  <c r="AB29" i="37"/>
  <c r="Q28" i="37"/>
  <c r="Z28" i="37" s="1"/>
  <c r="Q27" i="37"/>
  <c r="Z27" i="37"/>
  <c r="Q26" i="37"/>
  <c r="Z26" i="37" s="1"/>
  <c r="Q25" i="37"/>
  <c r="Z25" i="37" s="1"/>
  <c r="J25" i="37"/>
  <c r="AC25" i="37"/>
  <c r="F25" i="37"/>
  <c r="AA25" i="37" s="1"/>
  <c r="Q23" i="37"/>
  <c r="Z23" i="37" s="1"/>
  <c r="Q19" i="37"/>
  <c r="Z19" i="37"/>
  <c r="Q17" i="37"/>
  <c r="Z17" i="37"/>
  <c r="Q15" i="37"/>
  <c r="Z15" i="37" s="1"/>
  <c r="Q14" i="37"/>
  <c r="Z14" i="37"/>
  <c r="Q13" i="37"/>
  <c r="Z13" i="37" s="1"/>
  <c r="Q12" i="37"/>
  <c r="Z12" i="37" s="1"/>
  <c r="Q11" i="37"/>
  <c r="Z11" i="37"/>
  <c r="Q10" i="37"/>
  <c r="Z10" i="37"/>
  <c r="F10" i="37"/>
  <c r="AA10" i="37" s="1"/>
  <c r="Q9" i="37"/>
  <c r="Z9" i="37"/>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s="1"/>
  <c r="F68" i="36" s="1"/>
  <c r="G68" i="36" s="1"/>
  <c r="D64" i="36"/>
  <c r="E64" i="36"/>
  <c r="F64" i="36" s="1"/>
  <c r="G64" i="36" s="1"/>
  <c r="J16" i="36"/>
  <c r="W16" i="36" s="1"/>
  <c r="D62" i="36"/>
  <c r="E62" i="36"/>
  <c r="F62" i="36" s="1"/>
  <c r="G62" i="36" s="1"/>
  <c r="B59" i="36"/>
  <c r="B57" i="36"/>
  <c r="J12" i="36"/>
  <c r="B55" i="36"/>
  <c r="F54" i="36"/>
  <c r="G54" i="36"/>
  <c r="H54" i="36" s="1"/>
  <c r="I54" i="36" s="1"/>
  <c r="C51" i="36"/>
  <c r="J9" i="36" s="1"/>
  <c r="AC9" i="36" s="1"/>
  <c r="P37" i="36"/>
  <c r="P36" i="36"/>
  <c r="V35" i="36"/>
  <c r="T35" i="36"/>
  <c r="R35" i="36"/>
  <c r="P35" i="36"/>
  <c r="Q34" i="36"/>
  <c r="Z34" i="36" s="1"/>
  <c r="Q33" i="36"/>
  <c r="Z33" i="36"/>
  <c r="Q32" i="36"/>
  <c r="Z32" i="36"/>
  <c r="Q31" i="36"/>
  <c r="Z31" i="36" s="1"/>
  <c r="Q30" i="36"/>
  <c r="Z30" i="36"/>
  <c r="AC30" i="36"/>
  <c r="Q29" i="36"/>
  <c r="Z29" i="36"/>
  <c r="Q28" i="36"/>
  <c r="Z28" i="36"/>
  <c r="J28" i="36"/>
  <c r="AC28" i="36" s="1"/>
  <c r="Q27" i="36"/>
  <c r="Z27" i="36"/>
  <c r="Q26" i="36"/>
  <c r="Z26" i="36" s="1"/>
  <c r="H26" i="36"/>
  <c r="AB26" i="36" s="1"/>
  <c r="Q25" i="36"/>
  <c r="Z25" i="36"/>
  <c r="Q24" i="36"/>
  <c r="Z24" i="36"/>
  <c r="H24" i="36"/>
  <c r="AB24" i="36" s="1"/>
  <c r="Q23" i="36"/>
  <c r="Z23" i="36"/>
  <c r="F23" i="36"/>
  <c r="AA23" i="36" s="1"/>
  <c r="Q22" i="36"/>
  <c r="Z22" i="36"/>
  <c r="J22" i="36"/>
  <c r="AC22" i="36" s="1"/>
  <c r="Q20" i="36"/>
  <c r="Z20" i="36"/>
  <c r="Q16" i="36"/>
  <c r="Z16" i="36" s="1"/>
  <c r="Q14" i="36"/>
  <c r="Z14" i="36" s="1"/>
  <c r="Q13" i="36"/>
  <c r="Z13" i="36" s="1"/>
  <c r="Q12" i="36"/>
  <c r="Z12" i="36"/>
  <c r="H12" i="36"/>
  <c r="U12" i="36" s="1"/>
  <c r="Q11" i="36"/>
  <c r="Z11" i="36"/>
  <c r="Q10" i="36"/>
  <c r="Z10" i="36" s="1"/>
  <c r="F10" i="36"/>
  <c r="AA10" i="36" s="1"/>
  <c r="Q9" i="36"/>
  <c r="Z9" i="36"/>
  <c r="H9" i="36"/>
  <c r="AB9" i="36" s="1"/>
  <c r="F9" i="36"/>
  <c r="AA9" i="36"/>
  <c r="J8" i="36"/>
  <c r="AC8" i="36" s="1"/>
  <c r="H8" i="36"/>
  <c r="U8" i="36" s="1"/>
  <c r="F8" i="36"/>
  <c r="S8" i="36" s="1"/>
  <c r="D89" i="35"/>
  <c r="M90" i="35"/>
  <c r="L90" i="35"/>
  <c r="K90" i="35"/>
  <c r="J90" i="35"/>
  <c r="I90" i="35"/>
  <c r="H90" i="35"/>
  <c r="G90" i="35"/>
  <c r="F90" i="35"/>
  <c r="E90" i="35"/>
  <c r="D90" i="35"/>
  <c r="C90" i="35"/>
  <c r="F85" i="35"/>
  <c r="E85" i="35"/>
  <c r="D85" i="35"/>
  <c r="C85" i="35"/>
  <c r="J27" i="35"/>
  <c r="W27" i="35"/>
  <c r="H27" i="35"/>
  <c r="U27" i="35" s="1"/>
  <c r="F27" i="35"/>
  <c r="AA27" i="35" s="1"/>
  <c r="J22" i="35"/>
  <c r="W22" i="35" s="1"/>
  <c r="B101" i="35"/>
  <c r="H36" i="35"/>
  <c r="AB36" i="35"/>
  <c r="B99" i="35"/>
  <c r="B97" i="35"/>
  <c r="F34" i="35" s="1"/>
  <c r="AA34" i="35" s="1"/>
  <c r="B77" i="35"/>
  <c r="B75" i="35"/>
  <c r="J24" i="35" s="1"/>
  <c r="AC24" i="35" s="1"/>
  <c r="B73" i="35"/>
  <c r="H23" i="35"/>
  <c r="U23" i="35"/>
  <c r="B57" i="35"/>
  <c r="B61" i="35"/>
  <c r="B59" i="35"/>
  <c r="B131" i="34"/>
  <c r="B129" i="34"/>
  <c r="B127" i="34"/>
  <c r="B99" i="34"/>
  <c r="B97" i="34"/>
  <c r="B95" i="34"/>
  <c r="B93" i="34"/>
  <c r="B75" i="34"/>
  <c r="B73" i="34"/>
  <c r="B71" i="34"/>
  <c r="B130" i="33"/>
  <c r="B128" i="33"/>
  <c r="H45" i="33" s="1"/>
  <c r="B126" i="33"/>
  <c r="B98" i="33"/>
  <c r="B96" i="33"/>
  <c r="B94" i="33"/>
  <c r="B74" i="33"/>
  <c r="B72" i="33"/>
  <c r="B70" i="33"/>
  <c r="J12" i="33"/>
  <c r="D96" i="35"/>
  <c r="E96" i="35" s="1"/>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c r="J34" i="35"/>
  <c r="H34" i="35"/>
  <c r="AB34" i="35" s="1"/>
  <c r="Q33" i="35"/>
  <c r="Z33" i="35" s="1"/>
  <c r="Q32" i="35"/>
  <c r="Z32" i="35"/>
  <c r="H32" i="35"/>
  <c r="AB32" i="35"/>
  <c r="F32" i="35"/>
  <c r="AA32" i="35" s="1"/>
  <c r="Q31" i="35"/>
  <c r="Z31" i="35"/>
  <c r="AC31" i="35"/>
  <c r="AA31" i="35"/>
  <c r="Q30" i="35"/>
  <c r="Z30" i="35" s="1"/>
  <c r="Q29" i="35"/>
  <c r="Z29" i="35" s="1"/>
  <c r="Q28" i="35"/>
  <c r="Z28" i="35"/>
  <c r="J28" i="35"/>
  <c r="AC28" i="35"/>
  <c r="H28" i="35"/>
  <c r="AB28" i="35" s="1"/>
  <c r="F28" i="35"/>
  <c r="AA28" i="35"/>
  <c r="Q27" i="35"/>
  <c r="Z27" i="35" s="1"/>
  <c r="Q26" i="35"/>
  <c r="Z26" i="35" s="1"/>
  <c r="Q25" i="35"/>
  <c r="Z25" i="35"/>
  <c r="Q24" i="35"/>
  <c r="Z24" i="35"/>
  <c r="Q23" i="35"/>
  <c r="Z23" i="35" s="1"/>
  <c r="J23" i="35"/>
  <c r="AC23" i="35"/>
  <c r="Q22" i="35"/>
  <c r="Z22" i="35" s="1"/>
  <c r="Q20" i="35"/>
  <c r="Z20" i="35" s="1"/>
  <c r="Q16" i="35"/>
  <c r="Z16" i="35"/>
  <c r="Q14" i="35"/>
  <c r="Z14" i="35"/>
  <c r="Q13" i="35"/>
  <c r="Z13" i="35" s="1"/>
  <c r="Q12" i="35"/>
  <c r="Z12" i="35"/>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c r="G126" i="34" s="1"/>
  <c r="D124" i="34"/>
  <c r="E124" i="34"/>
  <c r="F124" i="34"/>
  <c r="G124" i="34" s="1"/>
  <c r="H124" i="34" s="1"/>
  <c r="I124" i="34" s="1"/>
  <c r="J124" i="34" s="1"/>
  <c r="K124" i="34" s="1"/>
  <c r="L124" i="34" s="1"/>
  <c r="M124" i="34" s="1"/>
  <c r="H43" i="34"/>
  <c r="AB43" i="34"/>
  <c r="D118" i="34"/>
  <c r="E118" i="34"/>
  <c r="F118" i="34"/>
  <c r="G118" i="34" s="1"/>
  <c r="D116" i="34"/>
  <c r="E116" i="34"/>
  <c r="F116" i="34" s="1"/>
  <c r="G116" i="34"/>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c r="H107" i="34"/>
  <c r="I107" i="34" s="1"/>
  <c r="J107" i="34"/>
  <c r="K107" i="34"/>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c r="J88" i="34" s="1"/>
  <c r="K88" i="34" s="1"/>
  <c r="L88" i="34" s="1"/>
  <c r="M88" i="34" s="1"/>
  <c r="D86" i="34"/>
  <c r="E86" i="34"/>
  <c r="F86" i="34"/>
  <c r="G86" i="34" s="1"/>
  <c r="D82" i="34"/>
  <c r="E82" i="34"/>
  <c r="F82" i="34" s="1"/>
  <c r="G82" i="34"/>
  <c r="D80" i="34"/>
  <c r="E80" i="34" s="1"/>
  <c r="F80" i="34" s="1"/>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c r="Q43" i="34"/>
  <c r="Z43" i="34" s="1"/>
  <c r="Q42" i="34"/>
  <c r="Z42" i="34"/>
  <c r="Q41" i="34"/>
  <c r="Z41" i="34"/>
  <c r="Q40" i="34"/>
  <c r="Z40" i="34" s="1"/>
  <c r="Q39" i="34"/>
  <c r="Z39" i="34"/>
  <c r="H39" i="34"/>
  <c r="AB39" i="34"/>
  <c r="Q38" i="34"/>
  <c r="Z38" i="34" s="1"/>
  <c r="Q37" i="34"/>
  <c r="Z37" i="34"/>
  <c r="Q36" i="34"/>
  <c r="Z36" i="34"/>
  <c r="Q35" i="34"/>
  <c r="Z35" i="34" s="1"/>
  <c r="Q34" i="34"/>
  <c r="Z34" i="34"/>
  <c r="J34" i="34"/>
  <c r="AC34" i="34"/>
  <c r="H34" i="34"/>
  <c r="AB34" i="34" s="1"/>
  <c r="F34" i="34"/>
  <c r="AA34" i="34" s="1"/>
  <c r="Q33" i="34"/>
  <c r="Z33" i="34"/>
  <c r="Q32" i="34"/>
  <c r="Z32" i="34" s="1"/>
  <c r="Q31" i="34"/>
  <c r="Z31" i="34"/>
  <c r="Q30" i="34"/>
  <c r="Z30" i="34"/>
  <c r="Q29" i="34"/>
  <c r="Z29" i="34" s="1"/>
  <c r="Q28" i="34"/>
  <c r="Z28" i="34" s="1"/>
  <c r="Q27" i="34"/>
  <c r="Z27" i="34"/>
  <c r="Q25" i="34"/>
  <c r="Z25" i="34" s="1"/>
  <c r="Q23" i="34"/>
  <c r="Z23" i="34"/>
  <c r="C23" i="34"/>
  <c r="Q19" i="34"/>
  <c r="Z19" i="34" s="1"/>
  <c r="C19" i="34"/>
  <c r="Q17" i="34"/>
  <c r="Z17" i="34"/>
  <c r="C17" i="34"/>
  <c r="Q15" i="34"/>
  <c r="Z15" i="34"/>
  <c r="Q14" i="34"/>
  <c r="Z14" i="34" s="1"/>
  <c r="Q13" i="34"/>
  <c r="Z13" i="34" s="1"/>
  <c r="Q12" i="34"/>
  <c r="Z12" i="34"/>
  <c r="J12" i="34"/>
  <c r="W12" i="34"/>
  <c r="H12" i="34"/>
  <c r="F12" i="34"/>
  <c r="S12" i="34"/>
  <c r="Q11" i="34"/>
  <c r="Z11" i="34" s="1"/>
  <c r="Q10" i="34"/>
  <c r="Z10" i="34"/>
  <c r="F10" i="34"/>
  <c r="AA10" i="34"/>
  <c r="Q9" i="34"/>
  <c r="Z9" i="34" s="1"/>
  <c r="J9" i="34"/>
  <c r="AC9" i="34" s="1"/>
  <c r="F9" i="34"/>
  <c r="AA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c r="B92" i="33"/>
  <c r="B90" i="33"/>
  <c r="D87" i="33"/>
  <c r="E87" i="33" s="1"/>
  <c r="D85" i="33"/>
  <c r="E85" i="33"/>
  <c r="D81" i="33"/>
  <c r="E81" i="33" s="1"/>
  <c r="D79" i="33"/>
  <c r="E79" i="33" s="1"/>
  <c r="D77" i="33"/>
  <c r="E77" i="33" s="1"/>
  <c r="F77" i="33" s="1"/>
  <c r="G77" i="33" s="1"/>
  <c r="D69" i="33"/>
  <c r="E69" i="33" s="1"/>
  <c r="F69" i="33" s="1"/>
  <c r="G69" i="33"/>
  <c r="H69" i="33" s="1"/>
  <c r="I69" i="33" s="1"/>
  <c r="J69" i="33" s="1"/>
  <c r="K69" i="33" s="1"/>
  <c r="L69" i="33"/>
  <c r="M69" i="33"/>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c r="Q45" i="33"/>
  <c r="Z45" i="33"/>
  <c r="Q44" i="33"/>
  <c r="Z44" i="33" s="1"/>
  <c r="Q43" i="33"/>
  <c r="Z43" i="33"/>
  <c r="Q42" i="33"/>
  <c r="Z42" i="33" s="1"/>
  <c r="J42" i="33"/>
  <c r="AC42" i="33" s="1"/>
  <c r="AC41" i="33"/>
  <c r="W41" i="33"/>
  <c r="Q41" i="33"/>
  <c r="Z41" i="33"/>
  <c r="Q40" i="33"/>
  <c r="Z40" i="33" s="1"/>
  <c r="J40" i="33"/>
  <c r="AC40" i="33"/>
  <c r="H40" i="33"/>
  <c r="AB40" i="33" s="1"/>
  <c r="AA40" i="33"/>
  <c r="Q39" i="33"/>
  <c r="Z39" i="33"/>
  <c r="J39" i="33"/>
  <c r="AC39" i="33" s="1"/>
  <c r="Q38" i="33"/>
  <c r="Z38" i="33"/>
  <c r="J38" i="33"/>
  <c r="AC38" i="33"/>
  <c r="H38" i="33"/>
  <c r="AB38" i="33" s="1"/>
  <c r="F38" i="33"/>
  <c r="AA38" i="33"/>
  <c r="Q37" i="33"/>
  <c r="Z37" i="33"/>
  <c r="Q36" i="33"/>
  <c r="Z36" i="33" s="1"/>
  <c r="Q35" i="33"/>
  <c r="Z35" i="33"/>
  <c r="H35" i="33"/>
  <c r="AB35" i="33"/>
  <c r="Q34" i="33"/>
  <c r="Z34" i="33" s="1"/>
  <c r="Q33" i="33"/>
  <c r="Z33" i="33"/>
  <c r="J33" i="33"/>
  <c r="AC33" i="33"/>
  <c r="H33" i="33"/>
  <c r="AB33" i="33" s="1"/>
  <c r="F33" i="33"/>
  <c r="AA33" i="33"/>
  <c r="Q32" i="33"/>
  <c r="Z32" i="33"/>
  <c r="Q31" i="33"/>
  <c r="Z31" i="33" s="1"/>
  <c r="Q30" i="33"/>
  <c r="Z30" i="33"/>
  <c r="Q29" i="33"/>
  <c r="Z29" i="33"/>
  <c r="Q28" i="33"/>
  <c r="Z28" i="33" s="1"/>
  <c r="Q27" i="33"/>
  <c r="Z27" i="33" s="1"/>
  <c r="Q26" i="33"/>
  <c r="Z26" i="33"/>
  <c r="Q25" i="33"/>
  <c r="Z25" i="33" s="1"/>
  <c r="Q23" i="33"/>
  <c r="Z23" i="33"/>
  <c r="Q19" i="33"/>
  <c r="Z19" i="33"/>
  <c r="Q17" i="33"/>
  <c r="Z17" i="33" s="1"/>
  <c r="Q15" i="33"/>
  <c r="Z15" i="33"/>
  <c r="F15" i="33"/>
  <c r="AA15" i="33"/>
  <c r="Q14" i="33"/>
  <c r="Z14" i="33" s="1"/>
  <c r="Q13" i="33"/>
  <c r="Z13" i="33"/>
  <c r="Q12" i="33"/>
  <c r="Z12" i="33"/>
  <c r="H12" i="33"/>
  <c r="U12" i="33" s="1"/>
  <c r="Q11" i="33"/>
  <c r="Z11" i="33"/>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1" i="43" s="1"/>
  <c r="G19" i="20"/>
  <c r="B88" i="43"/>
  <c r="G16" i="20"/>
  <c r="B85" i="43"/>
  <c r="G15" i="20"/>
  <c r="B84" i="43" s="1"/>
  <c r="C24" i="20"/>
  <c r="B98" i="43" s="1"/>
  <c r="B76" i="43"/>
  <c r="C21" i="20"/>
  <c r="B100" i="43" s="1"/>
  <c r="C20" i="20"/>
  <c r="B102" i="43" s="1"/>
  <c r="C18" i="20"/>
  <c r="B74" i="43" s="1"/>
  <c r="C17" i="20"/>
  <c r="B62" i="43"/>
  <c r="C16" i="20"/>
  <c r="C17" i="39" s="1"/>
  <c r="C15" i="20"/>
  <c r="B73" i="43"/>
  <c r="E54" i="21"/>
  <c r="F54" i="21" s="1"/>
  <c r="I54" i="21"/>
  <c r="J54" i="21" s="1"/>
  <c r="G54" i="21"/>
  <c r="H54" i="21"/>
  <c r="D125" i="21"/>
  <c r="E125" i="21"/>
  <c r="F125" i="21" s="1"/>
  <c r="G125" i="21" s="1"/>
  <c r="D123" i="21"/>
  <c r="E123" i="21"/>
  <c r="F123" i="21" s="1"/>
  <c r="F42" i="21"/>
  <c r="AA42" i="21"/>
  <c r="D119" i="21"/>
  <c r="F40" i="21"/>
  <c r="S40" i="21" s="1"/>
  <c r="D117" i="21"/>
  <c r="E117" i="21"/>
  <c r="F117" i="21" s="1"/>
  <c r="G117" i="21" s="1"/>
  <c r="D115" i="21"/>
  <c r="E115" i="21"/>
  <c r="F115" i="21" s="1"/>
  <c r="G115" i="21" s="1"/>
  <c r="H115" i="21" s="1"/>
  <c r="I115" i="21" s="1"/>
  <c r="J115" i="21"/>
  <c r="K115" i="21" s="1"/>
  <c r="L115" i="21" s="1"/>
  <c r="M115" i="21" s="1"/>
  <c r="D113" i="21"/>
  <c r="E113" i="21" s="1"/>
  <c r="F113" i="21" s="1"/>
  <c r="G113" i="21"/>
  <c r="H113" i="21" s="1"/>
  <c r="D110" i="21"/>
  <c r="E110" i="21"/>
  <c r="F110" i="21" s="1"/>
  <c r="G110" i="21" s="1"/>
  <c r="H110" i="21" s="1"/>
  <c r="I110" i="21" s="1"/>
  <c r="J110" i="21" s="1"/>
  <c r="K110" i="21" s="1"/>
  <c r="L110" i="21" s="1"/>
  <c r="M110" i="21" s="1"/>
  <c r="J36" i="21"/>
  <c r="AC36" i="21" s="1"/>
  <c r="D108" i="21"/>
  <c r="E108" i="21"/>
  <c r="F108" i="21" s="1"/>
  <c r="G108" i="21"/>
  <c r="H108" i="21"/>
  <c r="I108" i="21" s="1"/>
  <c r="J108" i="21"/>
  <c r="K108" i="2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c r="G89" i="21"/>
  <c r="H89" i="21" s="1"/>
  <c r="I89" i="21"/>
  <c r="J89" i="2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s="1"/>
  <c r="E81" i="21"/>
  <c r="F81" i="21" s="1"/>
  <c r="G81" i="21"/>
  <c r="D77" i="21"/>
  <c r="E77" i="21" s="1"/>
  <c r="B130" i="21"/>
  <c r="B128" i="21"/>
  <c r="J45" i="21" s="1"/>
  <c r="W45" i="21" s="1"/>
  <c r="B126" i="21"/>
  <c r="B98" i="21"/>
  <c r="H31" i="21" s="1"/>
  <c r="B96" i="21"/>
  <c r="B94" i="21"/>
  <c r="J29" i="21"/>
  <c r="AC29" i="21" s="1"/>
  <c r="B92" i="21"/>
  <c r="B90" i="21"/>
  <c r="J27" i="21"/>
  <c r="W27" i="21" s="1"/>
  <c r="B74" i="21"/>
  <c r="B72" i="21"/>
  <c r="H13" i="21" s="1"/>
  <c r="B70" i="21"/>
  <c r="F12" i="21"/>
  <c r="S12" i="21" s="1"/>
  <c r="C19" i="21"/>
  <c r="C17" i="21"/>
  <c r="C23" i="21"/>
  <c r="Q9" i="21"/>
  <c r="Z9" i="21" s="1"/>
  <c r="Q10" i="21"/>
  <c r="Z10" i="21" s="1"/>
  <c r="Q11" i="21"/>
  <c r="Z11" i="21" s="1"/>
  <c r="Q12" i="21"/>
  <c r="Z12" i="21"/>
  <c r="Q13" i="21"/>
  <c r="Z13" i="21"/>
  <c r="Q14" i="21"/>
  <c r="Z14" i="21" s="1"/>
  <c r="Q15" i="21"/>
  <c r="Z15" i="21"/>
  <c r="Q17" i="21"/>
  <c r="Z17" i="21" s="1"/>
  <c r="Q19" i="21"/>
  <c r="Z19" i="21" s="1"/>
  <c r="Q23" i="21"/>
  <c r="Z23" i="21"/>
  <c r="Q25" i="21"/>
  <c r="Z25" i="21"/>
  <c r="Q26" i="21"/>
  <c r="Z26" i="21" s="1"/>
  <c r="Q27" i="21"/>
  <c r="Z27" i="21" s="1"/>
  <c r="Q28" i="21"/>
  <c r="Z28" i="21" s="1"/>
  <c r="Q29" i="21"/>
  <c r="Z29" i="21" s="1"/>
  <c r="Q30" i="21"/>
  <c r="Z30" i="21"/>
  <c r="Q31" i="21"/>
  <c r="Z31" i="21"/>
  <c r="Q32" i="21"/>
  <c r="Z32" i="21" s="1"/>
  <c r="Q33" i="21"/>
  <c r="Z33" i="21"/>
  <c r="Q34" i="21"/>
  <c r="Z34" i="21" s="1"/>
  <c r="J35" i="21"/>
  <c r="W35" i="21" s="1"/>
  <c r="Q35" i="21"/>
  <c r="Z35" i="21"/>
  <c r="Q36" i="21"/>
  <c r="Z36" i="21"/>
  <c r="Q37" i="21"/>
  <c r="Z37" i="21" s="1"/>
  <c r="J38" i="21"/>
  <c r="W38" i="21" s="1"/>
  <c r="Q38" i="21"/>
  <c r="Z38" i="21" s="1"/>
  <c r="J39" i="21"/>
  <c r="AC39" i="21" s="1"/>
  <c r="Q39" i="21"/>
  <c r="Z39" i="21"/>
  <c r="H40" i="21"/>
  <c r="AB40" i="21"/>
  <c r="Q40" i="21"/>
  <c r="Z40" i="21" s="1"/>
  <c r="Q41" i="21"/>
  <c r="Z41" i="21"/>
  <c r="Q42" i="21"/>
  <c r="Z42" i="21" s="1"/>
  <c r="J43" i="21"/>
  <c r="AC43" i="21" s="1"/>
  <c r="Q43" i="21"/>
  <c r="Z43" i="21"/>
  <c r="Q44" i="21"/>
  <c r="Z44" i="21"/>
  <c r="Q45" i="21"/>
  <c r="Z45" i="21" s="1"/>
  <c r="Q46" i="21"/>
  <c r="Z46" i="21" s="1"/>
  <c r="P47" i="21"/>
  <c r="R47" i="21"/>
  <c r="T47" i="21"/>
  <c r="V47" i="21"/>
  <c r="P48" i="21"/>
  <c r="P49" i="21"/>
  <c r="F8" i="21"/>
  <c r="AA8" i="21"/>
  <c r="E10" i="11"/>
  <c r="E9" i="11"/>
  <c r="C7" i="12"/>
  <c r="BB12" i="3"/>
  <c r="F7" i="12"/>
  <c r="D7" i="12"/>
  <c r="E7" i="12"/>
  <c r="G7" i="12"/>
  <c r="K5" i="3"/>
  <c r="I4" i="6"/>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s="1"/>
  <c r="H34" i="21"/>
  <c r="AB34" i="21"/>
  <c r="F43" i="21"/>
  <c r="S43" i="21" s="1"/>
  <c r="H38" i="21"/>
  <c r="U38" i="21" s="1"/>
  <c r="H43" i="21"/>
  <c r="AB43" i="21" s="1"/>
  <c r="F38" i="21"/>
  <c r="S38" i="21" s="1"/>
  <c r="F36" i="21"/>
  <c r="S36" i="2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12" i="21"/>
  <c r="AC12" i="21" s="1"/>
  <c r="H12" i="21"/>
  <c r="AB12" i="21"/>
  <c r="J26" i="21"/>
  <c r="W26" i="21"/>
  <c r="F26" i="21"/>
  <c r="S26" i="21"/>
  <c r="AB41" i="21"/>
  <c r="S41" i="21"/>
  <c r="AA41" i="21"/>
  <c r="F45" i="39"/>
  <c r="S45" i="39"/>
  <c r="J45" i="39"/>
  <c r="W45" i="39" s="1"/>
  <c r="J44" i="39"/>
  <c r="AC44" i="39" s="1"/>
  <c r="F36" i="39"/>
  <c r="S36" i="39" s="1"/>
  <c r="H36" i="39"/>
  <c r="J35" i="39"/>
  <c r="AC35" i="39"/>
  <c r="F35" i="39"/>
  <c r="AA35" i="39" s="1"/>
  <c r="J36" i="39"/>
  <c r="AC36" i="39"/>
  <c r="U9" i="39"/>
  <c r="W25" i="37"/>
  <c r="U30" i="37"/>
  <c r="W31" i="37"/>
  <c r="E103" i="37"/>
  <c r="F103" i="37" s="1"/>
  <c r="G103" i="37" s="1"/>
  <c r="H103" i="37" s="1"/>
  <c r="I103" i="37" s="1"/>
  <c r="J103" i="37" s="1"/>
  <c r="K103" i="37" s="1"/>
  <c r="L103" i="37" s="1"/>
  <c r="M103" i="37" s="1"/>
  <c r="F39" i="37"/>
  <c r="S39" i="37" s="1"/>
  <c r="U14" i="37"/>
  <c r="F29" i="36"/>
  <c r="AA29" i="36" s="1"/>
  <c r="W8" i="36"/>
  <c r="F16" i="36"/>
  <c r="AA16" i="36"/>
  <c r="W28" i="36"/>
  <c r="S30" i="36"/>
  <c r="AA31" i="36"/>
  <c r="AC31" i="36"/>
  <c r="W31" i="36"/>
  <c r="U31" i="36"/>
  <c r="J33" i="36"/>
  <c r="W33" i="36" s="1"/>
  <c r="H22" i="35"/>
  <c r="AB22" i="35" s="1"/>
  <c r="AC27" i="35"/>
  <c r="W28" i="35"/>
  <c r="U31" i="35"/>
  <c r="S34" i="35"/>
  <c r="W36" i="35"/>
  <c r="S31" i="35"/>
  <c r="F36" i="34"/>
  <c r="J35" i="34"/>
  <c r="S34" i="34"/>
  <c r="U34" i="34"/>
  <c r="H39" i="33"/>
  <c r="AB39" i="33"/>
  <c r="F26" i="33"/>
  <c r="AA26" i="33"/>
  <c r="U33" i="33"/>
  <c r="U35" i="33"/>
  <c r="S40" i="33"/>
  <c r="W33" i="33"/>
  <c r="H39" i="37"/>
  <c r="AB39" i="37" s="1"/>
  <c r="S27" i="35"/>
  <c r="F11" i="40"/>
  <c r="AA11" i="40" s="1"/>
  <c r="H11" i="40"/>
  <c r="AB11" i="40" s="1"/>
  <c r="W8" i="40"/>
  <c r="AB39" i="40"/>
  <c r="AA9" i="40"/>
  <c r="AC9" i="40"/>
  <c r="U9" i="40"/>
  <c r="S34" i="40"/>
  <c r="U38" i="40"/>
  <c r="U34" i="40"/>
  <c r="F42" i="39"/>
  <c r="AA42" i="39" s="1"/>
  <c r="F41" i="39"/>
  <c r="S41" i="39" s="1"/>
  <c r="H40" i="39"/>
  <c r="AB40" i="39" s="1"/>
  <c r="H39" i="39"/>
  <c r="U39" i="39" s="1"/>
  <c r="S38" i="39"/>
  <c r="S34" i="39"/>
  <c r="H34" i="39"/>
  <c r="U34" i="39"/>
  <c r="E109" i="39"/>
  <c r="H31" i="39"/>
  <c r="AB31" i="39"/>
  <c r="F31" i="39"/>
  <c r="AA31" i="39" s="1"/>
  <c r="E101" i="39"/>
  <c r="H19" i="39"/>
  <c r="AB19" i="39" s="1"/>
  <c r="F19" i="39"/>
  <c r="AA19" i="39"/>
  <c r="H17" i="39"/>
  <c r="AB17" i="39"/>
  <c r="F17" i="39"/>
  <c r="AA17" i="39" s="1"/>
  <c r="J23" i="40"/>
  <c r="AC23" i="40"/>
  <c r="F21" i="40"/>
  <c r="AA21" i="40" s="1"/>
  <c r="J21" i="40"/>
  <c r="W21" i="40"/>
  <c r="H42" i="39"/>
  <c r="AB42" i="39"/>
  <c r="J34" i="39"/>
  <c r="AC34" i="39"/>
  <c r="F109" i="39"/>
  <c r="G109" i="39" s="1"/>
  <c r="H109" i="39"/>
  <c r="I109" i="39"/>
  <c r="J109" i="39"/>
  <c r="K109" i="39" s="1"/>
  <c r="L109" i="39" s="1"/>
  <c r="M109" i="39" s="1"/>
  <c r="J31" i="39"/>
  <c r="F101" i="39"/>
  <c r="H27" i="39"/>
  <c r="U27" i="39"/>
  <c r="J19" i="39"/>
  <c r="AC19" i="39" s="1"/>
  <c r="J17" i="39"/>
  <c r="J27" i="39"/>
  <c r="AC27" i="39" s="1"/>
  <c r="F27" i="39"/>
  <c r="F11" i="21"/>
  <c r="S11" i="21" s="1"/>
  <c r="U34" i="21"/>
  <c r="S34" i="21"/>
  <c r="C25" i="39"/>
  <c r="C27" i="39"/>
  <c r="H11" i="39"/>
  <c r="S40" i="39"/>
  <c r="C15" i="39"/>
  <c r="H32" i="33"/>
  <c r="AB32" i="33" s="1"/>
  <c r="H11" i="21"/>
  <c r="U11" i="21" s="1"/>
  <c r="J11" i="21"/>
  <c r="W11" i="21" s="1"/>
  <c r="H37" i="40"/>
  <c r="U37" i="40"/>
  <c r="H36" i="40"/>
  <c r="AB36" i="40"/>
  <c r="F35" i="40"/>
  <c r="AA35" i="40" s="1"/>
  <c r="H23" i="40"/>
  <c r="AB23" i="40"/>
  <c r="H17" i="40"/>
  <c r="U17" i="40" s="1"/>
  <c r="J15" i="40"/>
  <c r="W15" i="40" s="1"/>
  <c r="J11" i="40"/>
  <c r="W11" i="40"/>
  <c r="AB8" i="39"/>
  <c r="AB12" i="33"/>
  <c r="AC12" i="34"/>
  <c r="AA12" i="34"/>
  <c r="AB12" i="36"/>
  <c r="F37" i="39"/>
  <c r="AA37" i="39"/>
  <c r="J34" i="36"/>
  <c r="W34" i="36" s="1"/>
  <c r="J30" i="35"/>
  <c r="W30" i="35"/>
  <c r="H30" i="35"/>
  <c r="AB30" i="35"/>
  <c r="F22" i="35"/>
  <c r="AA22" i="35" s="1"/>
  <c r="H10" i="35"/>
  <c r="U10" i="35"/>
  <c r="AC16" i="36"/>
  <c r="F33" i="36"/>
  <c r="AA33" i="36" s="1"/>
  <c r="W30" i="36"/>
  <c r="H16" i="36"/>
  <c r="AB16" i="36" s="1"/>
  <c r="E85" i="36"/>
  <c r="F85" i="36"/>
  <c r="G85" i="36"/>
  <c r="H85" i="36" s="1"/>
  <c r="I85" i="36" s="1"/>
  <c r="J85" i="36" s="1"/>
  <c r="K85" i="36" s="1"/>
  <c r="L85" i="36"/>
  <c r="M85" i="36" s="1"/>
  <c r="J29" i="36"/>
  <c r="AC29" i="36"/>
  <c r="F12" i="36"/>
  <c r="F24" i="36"/>
  <c r="AA24" i="36"/>
  <c r="F34" i="36"/>
  <c r="S34" i="36" s="1"/>
  <c r="S10" i="36"/>
  <c r="AB8" i="36"/>
  <c r="U8" i="35"/>
  <c r="F14" i="35"/>
  <c r="AA14" i="35" s="1"/>
  <c r="F23" i="35"/>
  <c r="AA23" i="35"/>
  <c r="J32" i="35"/>
  <c r="AC32" i="35" s="1"/>
  <c r="J16" i="35"/>
  <c r="AC16" i="35"/>
  <c r="H16" i="35"/>
  <c r="U16" i="35" s="1"/>
  <c r="F16" i="35"/>
  <c r="S16" i="35" s="1"/>
  <c r="H14" i="35"/>
  <c r="AB14" i="35" s="1"/>
  <c r="J29" i="35"/>
  <c r="H33" i="35"/>
  <c r="AB33" i="35"/>
  <c r="AC8" i="35"/>
  <c r="J20" i="35"/>
  <c r="W20" i="35"/>
  <c r="F35" i="37"/>
  <c r="S35" i="37" s="1"/>
  <c r="E101" i="37"/>
  <c r="F101" i="37"/>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c r="S35" i="34"/>
  <c r="F28" i="34"/>
  <c r="AA28" i="34"/>
  <c r="F27" i="34"/>
  <c r="AA27" i="34"/>
  <c r="F25" i="34"/>
  <c r="S25" i="34" s="1"/>
  <c r="H23" i="34"/>
  <c r="U23" i="34" s="1"/>
  <c r="J23" i="34"/>
  <c r="F19" i="34"/>
  <c r="H17" i="34"/>
  <c r="U17" i="34" s="1"/>
  <c r="F15" i="34"/>
  <c r="AA15" i="34" s="1"/>
  <c r="J15" i="34"/>
  <c r="H15" i="34"/>
  <c r="AB15" i="34"/>
  <c r="S9" i="34"/>
  <c r="W8" i="34"/>
  <c r="J28" i="34"/>
  <c r="W28" i="34" s="1"/>
  <c r="F41" i="33"/>
  <c r="AA41" i="33" s="1"/>
  <c r="S38" i="33"/>
  <c r="E113" i="33"/>
  <c r="F32" i="33"/>
  <c r="AA32" i="33"/>
  <c r="J19" i="33"/>
  <c r="AC19" i="33"/>
  <c r="J15" i="33"/>
  <c r="AC15" i="33" s="1"/>
  <c r="F11" i="33"/>
  <c r="AA11" i="33" s="1"/>
  <c r="S26" i="33"/>
  <c r="U40" i="33"/>
  <c r="W40" i="33"/>
  <c r="U8" i="33"/>
  <c r="S8" i="33"/>
  <c r="F37" i="40"/>
  <c r="AA37" i="40"/>
  <c r="F36" i="40"/>
  <c r="AA36" i="40" s="1"/>
  <c r="H28" i="40"/>
  <c r="U28" i="40"/>
  <c r="F23" i="40"/>
  <c r="AA23" i="40"/>
  <c r="F17" i="40"/>
  <c r="AA17" i="40" s="1"/>
  <c r="J17" i="40"/>
  <c r="W17" i="40"/>
  <c r="F15" i="40"/>
  <c r="S15" i="40" s="1"/>
  <c r="H15" i="40"/>
  <c r="AB15" i="40" s="1"/>
  <c r="AC11" i="40"/>
  <c r="S12" i="36"/>
  <c r="AA12" i="36"/>
  <c r="AB30" i="36"/>
  <c r="AC34" i="36"/>
  <c r="U30" i="35"/>
  <c r="U33" i="35"/>
  <c r="F29" i="35"/>
  <c r="S29" i="35"/>
  <c r="H29" i="35"/>
  <c r="AB29" i="35"/>
  <c r="H33" i="37"/>
  <c r="AB33" i="37" s="1"/>
  <c r="F33" i="37"/>
  <c r="AA33" i="37" s="1"/>
  <c r="U34" i="37"/>
  <c r="W33" i="37"/>
  <c r="S34" i="37"/>
  <c r="AA34" i="37"/>
  <c r="J43" i="34"/>
  <c r="AB42" i="34"/>
  <c r="J40" i="34"/>
  <c r="F114" i="34"/>
  <c r="G114" i="34" s="1"/>
  <c r="H114" i="34" s="1"/>
  <c r="I114" i="34" s="1"/>
  <c r="J114" i="34" s="1"/>
  <c r="K114" i="34" s="1"/>
  <c r="L114" i="34" s="1"/>
  <c r="M114" i="34" s="1"/>
  <c r="H38" i="34"/>
  <c r="AB38" i="34"/>
  <c r="J36" i="34"/>
  <c r="W36" i="34" s="1"/>
  <c r="H37" i="34"/>
  <c r="H25" i="34"/>
  <c r="AB25" i="34"/>
  <c r="J25" i="34"/>
  <c r="AC25" i="34"/>
  <c r="AB23" i="34"/>
  <c r="F23" i="34"/>
  <c r="AA23" i="34" s="1"/>
  <c r="J19" i="34"/>
  <c r="AC19" i="34"/>
  <c r="F17" i="34"/>
  <c r="AA17" i="34"/>
  <c r="J17" i="34"/>
  <c r="W17" i="34" s="1"/>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c r="S28" i="34"/>
  <c r="U23" i="40"/>
  <c r="G123" i="21"/>
  <c r="H123" i="21"/>
  <c r="I123" i="21"/>
  <c r="J123" i="21" s="1"/>
  <c r="K123" i="21" s="1"/>
  <c r="L123" i="21" s="1"/>
  <c r="M123" i="21" s="1"/>
  <c r="J42" i="21"/>
  <c r="AC42" i="21" s="1"/>
  <c r="H42" i="21"/>
  <c r="U42" i="21" s="1"/>
  <c r="J44" i="34"/>
  <c r="F44" i="34"/>
  <c r="S44" i="34" s="1"/>
  <c r="AA44" i="34"/>
  <c r="J10" i="35"/>
  <c r="W10" i="35" s="1"/>
  <c r="J14" i="21"/>
  <c r="W14" i="21" s="1"/>
  <c r="F14" i="21"/>
  <c r="S14" i="21" s="1"/>
  <c r="H14" i="21"/>
  <c r="U14" i="21" s="1"/>
  <c r="H28" i="21"/>
  <c r="AB28" i="21"/>
  <c r="F28" i="21"/>
  <c r="AA28" i="21"/>
  <c r="J28" i="21"/>
  <c r="W28" i="21" s="1"/>
  <c r="H30" i="21"/>
  <c r="U30" i="21" s="1"/>
  <c r="F30" i="21"/>
  <c r="S30" i="21" s="1"/>
  <c r="J30" i="21"/>
  <c r="AC30" i="21" s="1"/>
  <c r="J44" i="21"/>
  <c r="AC44" i="21"/>
  <c r="H44" i="21"/>
  <c r="U44" i="21"/>
  <c r="F44" i="21"/>
  <c r="AA44" i="21" s="1"/>
  <c r="H46" i="21"/>
  <c r="U46" i="21" s="1"/>
  <c r="J46" i="21"/>
  <c r="AC46" i="21" s="1"/>
  <c r="F46" i="21"/>
  <c r="AA46" i="21" s="1"/>
  <c r="E119" i="21"/>
  <c r="F119" i="21"/>
  <c r="G119" i="21"/>
  <c r="H119" i="21"/>
  <c r="I119" i="21" s="1"/>
  <c r="J119" i="21" s="1"/>
  <c r="K119" i="21" s="1"/>
  <c r="L119" i="21" s="1"/>
  <c r="M119" i="21" s="1"/>
  <c r="H26" i="33"/>
  <c r="U26" i="33"/>
  <c r="H28" i="33"/>
  <c r="U28" i="33"/>
  <c r="F28" i="33"/>
  <c r="AA28" i="33"/>
  <c r="J28" i="33"/>
  <c r="W28" i="33" s="1"/>
  <c r="F33" i="35"/>
  <c r="S33" i="35"/>
  <c r="J33" i="35"/>
  <c r="AC33" i="35"/>
  <c r="F30" i="35"/>
  <c r="S30" i="35"/>
  <c r="E89" i="35"/>
  <c r="F89" i="35"/>
  <c r="G89" i="35"/>
  <c r="H89" i="35"/>
  <c r="I89" i="35"/>
  <c r="J89" i="35" s="1"/>
  <c r="K89" i="35" s="1"/>
  <c r="L89" i="35" s="1"/>
  <c r="M89" i="35" s="1"/>
  <c r="H10" i="36"/>
  <c r="AB10" i="36" s="1"/>
  <c r="J14" i="36"/>
  <c r="AC14" i="36" s="1"/>
  <c r="H14" i="36"/>
  <c r="U14" i="36" s="1"/>
  <c r="F28" i="36"/>
  <c r="AA28" i="36"/>
  <c r="J13" i="21"/>
  <c r="AC13" i="21" s="1"/>
  <c r="H27" i="21"/>
  <c r="AB27" i="21" s="1"/>
  <c r="F27" i="21"/>
  <c r="AA27" i="21" s="1"/>
  <c r="H29" i="21"/>
  <c r="U29" i="21" s="1"/>
  <c r="J31" i="21"/>
  <c r="AC31" i="21" s="1"/>
  <c r="F31" i="21"/>
  <c r="S31" i="21"/>
  <c r="F45" i="21"/>
  <c r="AA45" i="21" s="1"/>
  <c r="F27" i="33"/>
  <c r="AA27" i="33" s="1"/>
  <c r="J13" i="33"/>
  <c r="H13" i="33"/>
  <c r="AB13" i="33"/>
  <c r="F13" i="33"/>
  <c r="S13" i="33"/>
  <c r="J29" i="33"/>
  <c r="AC29" i="33"/>
  <c r="H29" i="33"/>
  <c r="U29" i="33" s="1"/>
  <c r="F29" i="33"/>
  <c r="S29" i="33"/>
  <c r="J31" i="33"/>
  <c r="W31" i="33"/>
  <c r="H31" i="33"/>
  <c r="F31" i="33"/>
  <c r="J45" i="33"/>
  <c r="W45" i="33"/>
  <c r="F45" i="33"/>
  <c r="J14" i="34"/>
  <c r="W14" i="34"/>
  <c r="F14" i="34"/>
  <c r="S14" i="34"/>
  <c r="H14" i="34"/>
  <c r="H30" i="34"/>
  <c r="F30" i="34"/>
  <c r="S30" i="34"/>
  <c r="J30" i="34"/>
  <c r="W30" i="34"/>
  <c r="H32" i="34"/>
  <c r="F32" i="34"/>
  <c r="J32" i="34"/>
  <c r="W32" i="34"/>
  <c r="H46" i="34"/>
  <c r="U46" i="34"/>
  <c r="F46" i="34"/>
  <c r="J46" i="34"/>
  <c r="H11" i="35"/>
  <c r="U11" i="35"/>
  <c r="J11" i="35"/>
  <c r="W11" i="35" s="1"/>
  <c r="AC11" i="35"/>
  <c r="F11" i="35"/>
  <c r="S11" i="35" s="1"/>
  <c r="J26" i="36"/>
  <c r="W26" i="36"/>
  <c r="H28" i="36"/>
  <c r="U28" i="36"/>
  <c r="H32" i="36"/>
  <c r="AB32" i="36"/>
  <c r="J32" i="36"/>
  <c r="W32" i="36"/>
  <c r="J11" i="36"/>
  <c r="W11" i="36" s="1"/>
  <c r="AC11" i="36"/>
  <c r="H11" i="36"/>
  <c r="F11" i="36"/>
  <c r="AA11" i="36"/>
  <c r="H13" i="36"/>
  <c r="AB13" i="36"/>
  <c r="J13" i="36"/>
  <c r="F13" i="36"/>
  <c r="S13" i="36" s="1"/>
  <c r="E89" i="37"/>
  <c r="F89" i="37"/>
  <c r="G89" i="37"/>
  <c r="H89" i="37"/>
  <c r="I89" i="37" s="1"/>
  <c r="J89" i="37" s="1"/>
  <c r="K89" i="37" s="1"/>
  <c r="L89" i="37" s="1"/>
  <c r="M89" i="37"/>
  <c r="J29" i="37"/>
  <c r="W29" i="37"/>
  <c r="F29" i="37"/>
  <c r="S29" i="37"/>
  <c r="F105" i="37"/>
  <c r="G105" i="37" s="1"/>
  <c r="H36" i="37"/>
  <c r="AB36" i="37"/>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c r="J46" i="33"/>
  <c r="AC46" i="33"/>
  <c r="F46" i="33"/>
  <c r="AA46" i="33"/>
  <c r="H46" i="33"/>
  <c r="AB46" i="33"/>
  <c r="H13" i="34"/>
  <c r="AB13" i="34" s="1"/>
  <c r="U13" i="34"/>
  <c r="J13" i="34"/>
  <c r="F13" i="34"/>
  <c r="AA13" i="34"/>
  <c r="J29" i="34"/>
  <c r="F29" i="34"/>
  <c r="S29" i="34" s="1"/>
  <c r="H29" i="34"/>
  <c r="AB29" i="34" s="1"/>
  <c r="J31" i="34"/>
  <c r="AC31" i="34"/>
  <c r="H31" i="34"/>
  <c r="U31" i="34" s="1"/>
  <c r="AB31" i="34"/>
  <c r="F31" i="34"/>
  <c r="S31" i="34" s="1"/>
  <c r="H45" i="34"/>
  <c r="U45" i="34"/>
  <c r="J45" i="34"/>
  <c r="W45" i="34" s="1"/>
  <c r="F45" i="34"/>
  <c r="S45" i="34" s="1"/>
  <c r="H47" i="34"/>
  <c r="U47" i="34"/>
  <c r="F47" i="34"/>
  <c r="S47" i="34"/>
  <c r="J47" i="34"/>
  <c r="AC47" i="34" s="1"/>
  <c r="F13" i="35"/>
  <c r="S13" i="35"/>
  <c r="J13" i="35"/>
  <c r="AC13" i="35" s="1"/>
  <c r="H13" i="35"/>
  <c r="U13" i="35" s="1"/>
  <c r="J25" i="35"/>
  <c r="W25" i="35" s="1"/>
  <c r="F25" i="35"/>
  <c r="S25" i="35" s="1"/>
  <c r="H25" i="35"/>
  <c r="AB25" i="35" s="1"/>
  <c r="J35" i="35"/>
  <c r="AC35" i="35"/>
  <c r="F35" i="35"/>
  <c r="AA35" i="35" s="1"/>
  <c r="H35" i="35"/>
  <c r="AB35" i="35" s="1"/>
  <c r="J25" i="36"/>
  <c r="W25" i="36" s="1"/>
  <c r="F25" i="36"/>
  <c r="S25" i="36"/>
  <c r="H25" i="36"/>
  <c r="AB25" i="36" s="1"/>
  <c r="H13" i="37"/>
  <c r="AB13" i="37"/>
  <c r="F13" i="37"/>
  <c r="S13" i="37" s="1"/>
  <c r="J13" i="37"/>
  <c r="W13" i="37" s="1"/>
  <c r="F28" i="37"/>
  <c r="AA28" i="37" s="1"/>
  <c r="J28" i="37"/>
  <c r="AC28" i="37"/>
  <c r="H28" i="37"/>
  <c r="AB28" i="37" s="1"/>
  <c r="H38" i="37"/>
  <c r="AB38" i="37"/>
  <c r="J38" i="37"/>
  <c r="AC38" i="37" s="1"/>
  <c r="F38" i="37"/>
  <c r="S38" i="37" s="1"/>
  <c r="F43" i="39"/>
  <c r="AA43" i="39" s="1"/>
  <c r="H43" i="39"/>
  <c r="J14" i="39"/>
  <c r="AC14" i="39" s="1"/>
  <c r="F14" i="39"/>
  <c r="H14" i="39"/>
  <c r="AB14" i="39"/>
  <c r="F12" i="40"/>
  <c r="H12" i="40"/>
  <c r="AB12" i="40" s="1"/>
  <c r="H30" i="40"/>
  <c r="AB30" i="40" s="1"/>
  <c r="F33" i="40"/>
  <c r="AA33" i="40"/>
  <c r="H33" i="40"/>
  <c r="U33" i="40" s="1"/>
  <c r="J35" i="40"/>
  <c r="AC35" i="40"/>
  <c r="J37" i="40"/>
  <c r="AC37" i="40" s="1"/>
  <c r="H13" i="40"/>
  <c r="U13" i="40" s="1"/>
  <c r="J13" i="40"/>
  <c r="W13" i="40" s="1"/>
  <c r="F13" i="40"/>
  <c r="AA13" i="40"/>
  <c r="F14" i="37"/>
  <c r="S14" i="37" s="1"/>
  <c r="F27" i="37"/>
  <c r="AA27" i="37"/>
  <c r="F13" i="39"/>
  <c r="J13" i="39"/>
  <c r="W13" i="39"/>
  <c r="H13" i="39"/>
  <c r="H14" i="40"/>
  <c r="AB14" i="40" s="1"/>
  <c r="J14" i="40"/>
  <c r="W14" i="40" s="1"/>
  <c r="F14" i="40"/>
  <c r="AA14" i="40" s="1"/>
  <c r="J14" i="37"/>
  <c r="AC14" i="37"/>
  <c r="J27" i="37"/>
  <c r="AC27" i="37" s="1"/>
  <c r="AA44" i="33"/>
  <c r="AA13" i="35"/>
  <c r="U46" i="33"/>
  <c r="AA14" i="33"/>
  <c r="J36" i="37"/>
  <c r="AC36" i="37" s="1"/>
  <c r="AB11" i="35"/>
  <c r="J10" i="36"/>
  <c r="AC10" i="36" s="1"/>
  <c r="AB26" i="33"/>
  <c r="AB30" i="21"/>
  <c r="AA14" i="37"/>
  <c r="W31" i="34"/>
  <c r="AC13" i="36"/>
  <c r="W13" i="36"/>
  <c r="S11" i="36"/>
  <c r="AB46" i="34"/>
  <c r="AC30" i="34"/>
  <c r="AA14" i="34"/>
  <c r="AB31" i="33"/>
  <c r="U31" i="33"/>
  <c r="W29" i="33"/>
  <c r="U13" i="33"/>
  <c r="AC28" i="21"/>
  <c r="BA586" i="3"/>
  <c r="F17" i="21"/>
  <c r="AA17" i="21" s="1"/>
  <c r="H17" i="21"/>
  <c r="AB17" i="21" s="1"/>
  <c r="F15" i="21"/>
  <c r="S15" i="21" s="1"/>
  <c r="J41" i="39"/>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AZ530" i="3" s="1"/>
  <c r="BL526" i="3"/>
  <c r="BL522" i="3"/>
  <c r="BL516" i="3"/>
  <c r="BL512" i="3"/>
  <c r="BL506" i="3"/>
  <c r="BL502" i="3"/>
  <c r="BL498" i="3"/>
  <c r="BL494" i="3"/>
  <c r="BL582" i="3"/>
  <c r="BL578" i="3"/>
  <c r="BL574" i="3"/>
  <c r="BL570" i="3"/>
  <c r="BL566" i="3"/>
  <c r="BL562" i="3"/>
  <c r="AZ562" i="3" s="1"/>
  <c r="BL556" i="3"/>
  <c r="AZ556" i="3" s="1"/>
  <c r="BL552" i="3"/>
  <c r="BL544" i="3"/>
  <c r="BL540" i="3"/>
  <c r="BL536" i="3"/>
  <c r="G533" i="3"/>
  <c r="BL532" i="3"/>
  <c r="G529" i="3"/>
  <c r="BL528" i="3"/>
  <c r="G525" i="3"/>
  <c r="BL524" i="3"/>
  <c r="BL518" i="3"/>
  <c r="AZ518" i="3" s="1"/>
  <c r="BL514" i="3"/>
  <c r="AZ514" i="3" s="1"/>
  <c r="BL510" i="3"/>
  <c r="BL504" i="3"/>
  <c r="BL500" i="3"/>
  <c r="BL496" i="3"/>
  <c r="G493" i="3"/>
  <c r="BA584" i="3"/>
  <c r="BA582" i="3"/>
  <c r="AZ582" i="3" s="1"/>
  <c r="BA580" i="3"/>
  <c r="AZ580" i="3" s="1"/>
  <c r="BA578" i="3"/>
  <c r="AZ578" i="3" s="1"/>
  <c r="BA576" i="3"/>
  <c r="AZ576" i="3" s="1"/>
  <c r="BA574" i="3"/>
  <c r="AZ574" i="3"/>
  <c r="BA572" i="3"/>
  <c r="AZ572" i="3" s="1"/>
  <c r="BA570" i="3"/>
  <c r="BA568" i="3"/>
  <c r="AZ568" i="3" s="1"/>
  <c r="BA566" i="3"/>
  <c r="AZ566" i="3" s="1"/>
  <c r="BA564" i="3"/>
  <c r="AZ564" i="3" s="1"/>
  <c r="BA562" i="3"/>
  <c r="BA560" i="3"/>
  <c r="AZ560" i="3" s="1"/>
  <c r="BA558" i="3"/>
  <c r="AZ558" i="3"/>
  <c r="BA556" i="3"/>
  <c r="BA554" i="3"/>
  <c r="AZ554" i="3"/>
  <c r="BA552" i="3"/>
  <c r="AZ552" i="3" s="1"/>
  <c r="BA546" i="3"/>
  <c r="BA544" i="3"/>
  <c r="AZ544" i="3"/>
  <c r="BA542" i="3"/>
  <c r="AZ542" i="3"/>
  <c r="BA540" i="3"/>
  <c r="AZ540" i="3"/>
  <c r="BA538" i="3"/>
  <c r="AZ538" i="3"/>
  <c r="BA536" i="3"/>
  <c r="AZ536" i="3" s="1"/>
  <c r="BA534" i="3"/>
  <c r="AZ534" i="3"/>
  <c r="BA532" i="3"/>
  <c r="AZ532" i="3"/>
  <c r="BA530" i="3"/>
  <c r="BA528" i="3"/>
  <c r="AZ528" i="3" s="1"/>
  <c r="BA526" i="3"/>
  <c r="AZ526" i="3" s="1"/>
  <c r="BA524" i="3"/>
  <c r="AZ524" i="3" s="1"/>
  <c r="BA522" i="3"/>
  <c r="AZ522" i="3" s="1"/>
  <c r="BA520" i="3"/>
  <c r="BA518" i="3"/>
  <c r="BA516" i="3"/>
  <c r="BA514" i="3"/>
  <c r="BA512" i="3"/>
  <c r="AZ512" i="3"/>
  <c r="BA510" i="3"/>
  <c r="AZ510" i="3"/>
  <c r="BA508" i="3"/>
  <c r="AZ508" i="3" s="1"/>
  <c r="BA506" i="3"/>
  <c r="BA504" i="3"/>
  <c r="AZ504" i="3"/>
  <c r="BA502" i="3"/>
  <c r="BA500" i="3"/>
  <c r="AZ500" i="3" s="1"/>
  <c r="BA498" i="3"/>
  <c r="AZ498" i="3"/>
  <c r="BA496" i="3"/>
  <c r="BA494" i="3"/>
  <c r="BA587" i="3"/>
  <c r="AZ587" i="3"/>
  <c r="BA583" i="3"/>
  <c r="BA581" i="3"/>
  <c r="AZ581" i="3" s="1"/>
  <c r="BA579" i="3"/>
  <c r="BA577" i="3"/>
  <c r="BA575" i="3"/>
  <c r="AZ575" i="3" s="1"/>
  <c r="BA573" i="3"/>
  <c r="BA571" i="3"/>
  <c r="BA569" i="3"/>
  <c r="BA567" i="3"/>
  <c r="AZ567" i="3" s="1"/>
  <c r="BA565" i="3"/>
  <c r="BA563" i="3"/>
  <c r="BA561" i="3"/>
  <c r="AZ561" i="3" s="1"/>
  <c r="BA559" i="3"/>
  <c r="AZ559" i="3" s="1"/>
  <c r="BA553" i="3"/>
  <c r="BA549" i="3"/>
  <c r="BA547" i="3"/>
  <c r="BA545" i="3"/>
  <c r="AZ545" i="3" s="1"/>
  <c r="BA543" i="3"/>
  <c r="BA541" i="3"/>
  <c r="BA539" i="3"/>
  <c r="BA537" i="3"/>
  <c r="AZ537" i="3" s="1"/>
  <c r="BA535" i="3"/>
  <c r="BA533" i="3"/>
  <c r="AZ533" i="3" s="1"/>
  <c r="BA531" i="3"/>
  <c r="BA529" i="3"/>
  <c r="BA527" i="3"/>
  <c r="BA525" i="3"/>
  <c r="BA523" i="3"/>
  <c r="BA519" i="3"/>
  <c r="BA517" i="3"/>
  <c r="AZ517" i="3" s="1"/>
  <c r="BA515" i="3"/>
  <c r="BA513" i="3"/>
  <c r="AZ513" i="3" s="1"/>
  <c r="BA511" i="3"/>
  <c r="BA507" i="3"/>
  <c r="AZ507" i="3" s="1"/>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c r="BQ557" i="3"/>
  <c r="BL557" i="3" s="1"/>
  <c r="BQ583" i="3"/>
  <c r="BL583" i="3"/>
  <c r="AZ583" i="3"/>
  <c r="BQ581" i="3"/>
  <c r="BL581" i="3"/>
  <c r="BQ579" i="3"/>
  <c r="BL579" i="3"/>
  <c r="AZ579" i="3" s="1"/>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c r="BQ537" i="3"/>
  <c r="BL537" i="3"/>
  <c r="BQ535" i="3"/>
  <c r="BL535" i="3" s="1"/>
  <c r="BQ533" i="3"/>
  <c r="BL533" i="3"/>
  <c r="BQ531" i="3"/>
  <c r="BQ529" i="3"/>
  <c r="BL529" i="3"/>
  <c r="AZ529" i="3"/>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c r="AZ519" i="3"/>
  <c r="BQ517" i="3"/>
  <c r="BL517" i="3"/>
  <c r="BQ515" i="3"/>
  <c r="BL515" i="3" s="1"/>
  <c r="AZ515" i="3" s="1"/>
  <c r="BQ513" i="3"/>
  <c r="BL513" i="3" s="1"/>
  <c r="BQ511" i="3"/>
  <c r="BL511" i="3"/>
  <c r="AZ511" i="3"/>
  <c r="BA509" i="3"/>
  <c r="AC509" i="3"/>
  <c r="BQ509" i="3"/>
  <c r="BL509" i="3"/>
  <c r="AZ509" i="3" s="1"/>
  <c r="BL508" i="3"/>
  <c r="G507" i="3"/>
  <c r="G505" i="3"/>
  <c r="G503" i="3"/>
  <c r="G501" i="3"/>
  <c r="G499" i="3"/>
  <c r="G497" i="3"/>
  <c r="G495" i="3"/>
  <c r="BQ507" i="3"/>
  <c r="BL507" i="3" s="1"/>
  <c r="BQ505" i="3"/>
  <c r="BL505" i="3"/>
  <c r="AZ505" i="3" s="1"/>
  <c r="BQ503" i="3"/>
  <c r="BL503" i="3" s="1"/>
  <c r="BQ501" i="3"/>
  <c r="BL501" i="3"/>
  <c r="BQ499" i="3"/>
  <c r="BL499" i="3"/>
  <c r="BQ497" i="3"/>
  <c r="BL497" i="3"/>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J25" i="21"/>
  <c r="AC25" i="21" s="1"/>
  <c r="E125" i="33"/>
  <c r="F125" i="33" s="1"/>
  <c r="G125" i="33" s="1"/>
  <c r="H43" i="33"/>
  <c r="AB43" i="33" s="1"/>
  <c r="H17" i="37"/>
  <c r="U17" i="37" s="1"/>
  <c r="AB27" i="37"/>
  <c r="U32" i="33"/>
  <c r="AA36" i="39"/>
  <c r="F39" i="33"/>
  <c r="AA39" i="33"/>
  <c r="E123" i="33"/>
  <c r="F42" i="33"/>
  <c r="AA42" i="33" s="1"/>
  <c r="H28" i="34"/>
  <c r="AB28" i="34"/>
  <c r="F14" i="36"/>
  <c r="AA14" i="36" s="1"/>
  <c r="F22" i="36"/>
  <c r="S22" i="36"/>
  <c r="F26" i="36"/>
  <c r="S26" i="36" s="1"/>
  <c r="H27" i="34"/>
  <c r="AB27" i="34" s="1"/>
  <c r="H35" i="34"/>
  <c r="F41" i="34"/>
  <c r="S41" i="34" s="1"/>
  <c r="H41" i="34"/>
  <c r="U41" i="34" s="1"/>
  <c r="J41" i="34"/>
  <c r="AC41" i="34"/>
  <c r="F10" i="35"/>
  <c r="S10" i="35" s="1"/>
  <c r="F24" i="35"/>
  <c r="AA24" i="35" s="1"/>
  <c r="H24" i="35"/>
  <c r="AB24" i="35" s="1"/>
  <c r="H23" i="37"/>
  <c r="AB23" i="37"/>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W23" i="35"/>
  <c r="W14" i="37"/>
  <c r="U33" i="37"/>
  <c r="U39" i="37"/>
  <c r="AC8" i="37"/>
  <c r="W37" i="34"/>
  <c r="AC36" i="34"/>
  <c r="AA13" i="33"/>
  <c r="AC31" i="33"/>
  <c r="AC45" i="33"/>
  <c r="U11" i="33"/>
  <c r="U19" i="21"/>
  <c r="W44" i="21"/>
  <c r="U26" i="21"/>
  <c r="U12" i="21"/>
  <c r="AB38" i="21"/>
  <c r="F43" i="33"/>
  <c r="AA43" i="33"/>
  <c r="W15" i="34"/>
  <c r="AC15" i="34"/>
  <c r="W16" i="35"/>
  <c r="W40" i="37"/>
  <c r="G107" i="37"/>
  <c r="H107" i="37"/>
  <c r="I107" i="37" s="1"/>
  <c r="J107" i="37" s="1"/>
  <c r="K107" i="37" s="1"/>
  <c r="L107" i="37"/>
  <c r="M107" i="37" s="1"/>
  <c r="H37" i="21"/>
  <c r="U37" i="21" s="1"/>
  <c r="S42" i="21"/>
  <c r="H19" i="34"/>
  <c r="AB19" i="34"/>
  <c r="F36" i="35"/>
  <c r="S36" i="35" s="1"/>
  <c r="J9" i="37"/>
  <c r="W9" i="37"/>
  <c r="H9" i="37"/>
  <c r="AB9" i="37"/>
  <c r="F9" i="37"/>
  <c r="J12" i="37"/>
  <c r="AC12" i="37" s="1"/>
  <c r="W12" i="37"/>
  <c r="H12" i="37"/>
  <c r="AB12" i="37"/>
  <c r="F12" i="37"/>
  <c r="S12" i="37" s="1"/>
  <c r="F15" i="37"/>
  <c r="AA15" i="37" s="1"/>
  <c r="E94" i="37"/>
  <c r="F94" i="37" s="1"/>
  <c r="G94" i="37" s="1"/>
  <c r="F31" i="37"/>
  <c r="S31" i="37"/>
  <c r="F12" i="39"/>
  <c r="S12" i="39"/>
  <c r="J42" i="39"/>
  <c r="AC42" i="39"/>
  <c r="H21" i="40"/>
  <c r="AB21" i="40"/>
  <c r="H94" i="37"/>
  <c r="I94" i="37" s="1"/>
  <c r="J94" i="37" s="1"/>
  <c r="K94" i="37" s="1"/>
  <c r="L94" i="37" s="1"/>
  <c r="M94" i="37" s="1"/>
  <c r="H31" i="37"/>
  <c r="U31" i="37"/>
  <c r="F71" i="37"/>
  <c r="G71" i="37" s="1"/>
  <c r="J15" i="37"/>
  <c r="W15" i="37" s="1"/>
  <c r="U12" i="37"/>
  <c r="AT6" i="3"/>
  <c r="H5" i="3"/>
  <c r="H19" i="40"/>
  <c r="U19" i="40" s="1"/>
  <c r="F88" i="40"/>
  <c r="G88" i="40" s="1"/>
  <c r="F19" i="40"/>
  <c r="S19" i="40" s="1"/>
  <c r="S14" i="40"/>
  <c r="AB33" i="40"/>
  <c r="W23" i="39"/>
  <c r="AC43" i="39"/>
  <c r="W43" i="39"/>
  <c r="U45" i="39"/>
  <c r="AB45" i="39"/>
  <c r="G101" i="39"/>
  <c r="H37" i="39"/>
  <c r="AB37" i="39"/>
  <c r="W37" i="39"/>
  <c r="H25" i="39"/>
  <c r="AB25" i="39" s="1"/>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59" i="34" s="1"/>
  <c r="D59" i="34" s="1"/>
  <c r="C7" i="36"/>
  <c r="W35" i="40"/>
  <c r="A118" i="9"/>
  <c r="A4" i="52"/>
  <c r="B41" i="72" s="1"/>
  <c r="J11" i="39"/>
  <c r="W11" i="39" s="1"/>
  <c r="F11" i="39"/>
  <c r="AA11" i="39" s="1"/>
  <c r="A12" i="52"/>
  <c r="B56" i="72" s="1"/>
  <c r="S11" i="39"/>
  <c r="G4" i="4"/>
  <c r="I4" i="4"/>
  <c r="A2" i="9"/>
  <c r="AZ20" i="3"/>
  <c r="AZ28" i="3"/>
  <c r="AZ497" i="3"/>
  <c r="BL549" i="3"/>
  <c r="AZ494" i="3"/>
  <c r="AZ502" i="3"/>
  <c r="G546" i="3"/>
  <c r="G524" i="3"/>
  <c r="G303" i="3"/>
  <c r="BL304" i="3"/>
  <c r="G305" i="3"/>
  <c r="BL306" i="3"/>
  <c r="AZ306" i="3" s="1"/>
  <c r="BA308" i="3"/>
  <c r="AZ308" i="3"/>
  <c r="BA309" i="3"/>
  <c r="AZ309" i="3" s="1"/>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AZ380" i="3" s="1"/>
  <c r="G388" i="3"/>
  <c r="BL389" i="3"/>
  <c r="G390" i="3"/>
  <c r="BL391" i="3"/>
  <c r="BA393" i="3"/>
  <c r="AZ393" i="3"/>
  <c r="BA394" i="3"/>
  <c r="AZ394" i="3" s="1"/>
  <c r="BL394" i="3"/>
  <c r="G113" i="3"/>
  <c r="BA115" i="3"/>
  <c r="AZ115" i="3" s="1"/>
  <c r="BL116" i="3"/>
  <c r="AZ116" i="3" s="1"/>
  <c r="G117" i="3"/>
  <c r="BA119" i="3"/>
  <c r="AZ119" i="3" s="1"/>
  <c r="BL120" i="3"/>
  <c r="AZ120" i="3" s="1"/>
  <c r="G121" i="3"/>
  <c r="BA123" i="3"/>
  <c r="AZ123" i="3" s="1"/>
  <c r="BL124" i="3"/>
  <c r="G125" i="3"/>
  <c r="BA127" i="3"/>
  <c r="AZ127" i="3" s="1"/>
  <c r="BL128" i="3"/>
  <c r="G129" i="3"/>
  <c r="BA131" i="3"/>
  <c r="AZ131" i="3"/>
  <c r="BL132" i="3"/>
  <c r="AZ132" i="3" s="1"/>
  <c r="G133" i="3"/>
  <c r="BA135" i="3"/>
  <c r="AZ135" i="3" s="1"/>
  <c r="BL136" i="3"/>
  <c r="G137" i="3"/>
  <c r="BA139" i="3"/>
  <c r="AZ139" i="3" s="1"/>
  <c r="BL140" i="3"/>
  <c r="G141" i="3"/>
  <c r="BA143" i="3"/>
  <c r="AZ143" i="3"/>
  <c r="BL144" i="3"/>
  <c r="G145" i="3"/>
  <c r="BA147" i="3"/>
  <c r="BL148" i="3"/>
  <c r="G149" i="3"/>
  <c r="BA151" i="3"/>
  <c r="AZ151" i="3" s="1"/>
  <c r="BL152" i="3"/>
  <c r="G153" i="3"/>
  <c r="BA155" i="3"/>
  <c r="AZ155" i="3" s="1"/>
  <c r="BL156" i="3"/>
  <c r="G157" i="3"/>
  <c r="BA159" i="3"/>
  <c r="AZ159" i="3"/>
  <c r="BL160" i="3"/>
  <c r="G161" i="3"/>
  <c r="BA163" i="3"/>
  <c r="BL164" i="3"/>
  <c r="G165" i="3"/>
  <c r="BA167" i="3"/>
  <c r="AZ167" i="3"/>
  <c r="BL168" i="3"/>
  <c r="G169" i="3"/>
  <c r="BA171" i="3"/>
  <c r="AZ171" i="3" s="1"/>
  <c r="BL172" i="3"/>
  <c r="G173" i="3"/>
  <c r="BA175" i="3"/>
  <c r="BL176" i="3"/>
  <c r="G177" i="3"/>
  <c r="BA179" i="3"/>
  <c r="AZ179" i="3"/>
  <c r="BL180" i="3"/>
  <c r="AZ180" i="3" s="1"/>
  <c r="G181" i="3"/>
  <c r="BA183" i="3"/>
  <c r="BL184" i="3"/>
  <c r="G185" i="3"/>
  <c r="BA187" i="3"/>
  <c r="AZ187" i="3" s="1"/>
  <c r="BL188" i="3"/>
  <c r="G189" i="3"/>
  <c r="BA191" i="3"/>
  <c r="BL192" i="3"/>
  <c r="G193" i="3"/>
  <c r="BA195" i="3"/>
  <c r="AZ195" i="3"/>
  <c r="BL196" i="3"/>
  <c r="AZ196" i="3"/>
  <c r="G197" i="3"/>
  <c r="BA199" i="3"/>
  <c r="AZ199" i="3"/>
  <c r="BL200" i="3"/>
  <c r="G201" i="3"/>
  <c r="BA203" i="3"/>
  <c r="BL204" i="3"/>
  <c r="AZ55" i="3"/>
  <c r="AZ67" i="3"/>
  <c r="AZ75" i="3"/>
  <c r="AZ83" i="3"/>
  <c r="AZ136" i="3"/>
  <c r="AZ144" i="3"/>
  <c r="AZ160" i="3"/>
  <c r="AZ168" i="3"/>
  <c r="AZ93" i="3"/>
  <c r="AZ97" i="3"/>
  <c r="AZ128" i="3"/>
  <c r="G534" i="3"/>
  <c r="G530" i="3"/>
  <c r="G522" i="3"/>
  <c r="G516" i="3"/>
  <c r="G512" i="3"/>
  <c r="G506" i="3"/>
  <c r="G498" i="3"/>
  <c r="G494" i="3"/>
  <c r="G16" i="3"/>
  <c r="G15" i="3"/>
  <c r="BA304" i="3"/>
  <c r="AZ304" i="3"/>
  <c r="BA305" i="3"/>
  <c r="AZ305" i="3"/>
  <c r="BL305" i="3"/>
  <c r="G306" i="3"/>
  <c r="G309" i="3"/>
  <c r="BL310" i="3"/>
  <c r="BA312" i="3"/>
  <c r="AZ312" i="3"/>
  <c r="BA313" i="3"/>
  <c r="AZ313" i="3" s="1"/>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AZ347" i="3" s="1"/>
  <c r="G350" i="3"/>
  <c r="BA351" i="3"/>
  <c r="AZ351" i="3"/>
  <c r="BL351" i="3"/>
  <c r="G352" i="3"/>
  <c r="G354" i="3"/>
  <c r="BA355" i="3"/>
  <c r="AZ355" i="3" s="1"/>
  <c r="BA356" i="3"/>
  <c r="AZ356" i="3" s="1"/>
  <c r="BL356" i="3"/>
  <c r="G357" i="3"/>
  <c r="G360" i="3"/>
  <c r="BL361" i="3"/>
  <c r="BA363" i="3"/>
  <c r="AZ363" i="3"/>
  <c r="BA364" i="3"/>
  <c r="BL364" i="3"/>
  <c r="G365" i="3"/>
  <c r="G368" i="3"/>
  <c r="BL369" i="3"/>
  <c r="BA371" i="3"/>
  <c r="AZ371" i="3" s="1"/>
  <c r="BA372" i="3"/>
  <c r="BL372" i="3"/>
  <c r="AZ372" i="3" s="1"/>
  <c r="G373" i="3"/>
  <c r="G376" i="3"/>
  <c r="BL377" i="3"/>
  <c r="BL379" i="3"/>
  <c r="BA381" i="3"/>
  <c r="AZ381" i="3"/>
  <c r="BA382" i="3"/>
  <c r="AZ382" i="3" s="1"/>
  <c r="BL382" i="3"/>
  <c r="G383" i="3"/>
  <c r="G386" i="3"/>
  <c r="BL387" i="3"/>
  <c r="BA389" i="3"/>
  <c r="AZ389" i="3"/>
  <c r="BA390" i="3"/>
  <c r="BL390" i="3"/>
  <c r="G391" i="3"/>
  <c r="G394" i="3"/>
  <c r="AZ142" i="3"/>
  <c r="AZ158" i="3"/>
  <c r="AZ186" i="3"/>
  <c r="AZ202" i="3"/>
  <c r="BA16" i="3"/>
  <c r="AZ16" i="3" s="1"/>
  <c r="BL303" i="3"/>
  <c r="G304" i="3"/>
  <c r="BA306" i="3"/>
  <c r="BL307" i="3"/>
  <c r="G308" i="3"/>
  <c r="BA310" i="3"/>
  <c r="AZ310" i="3" s="1"/>
  <c r="BL311" i="3"/>
  <c r="AZ311" i="3"/>
  <c r="G312" i="3"/>
  <c r="BA314" i="3"/>
  <c r="AZ314" i="3"/>
  <c r="BL315" i="3"/>
  <c r="AZ315" i="3"/>
  <c r="G316" i="3"/>
  <c r="BA318" i="3"/>
  <c r="BL319" i="3"/>
  <c r="G320" i="3"/>
  <c r="BA322" i="3"/>
  <c r="AZ322" i="3" s="1"/>
  <c r="BL323" i="3"/>
  <c r="G324" i="3"/>
  <c r="BA326" i="3"/>
  <c r="AZ326" i="3"/>
  <c r="BL327" i="3"/>
  <c r="AZ327" i="3" s="1"/>
  <c r="G328" i="3"/>
  <c r="BA330" i="3"/>
  <c r="AZ330" i="3" s="1"/>
  <c r="BL331" i="3"/>
  <c r="AZ331" i="3" s="1"/>
  <c r="G332" i="3"/>
  <c r="BA334" i="3"/>
  <c r="AZ334" i="3"/>
  <c r="BL335" i="3"/>
  <c r="G336" i="3"/>
  <c r="BA338" i="3"/>
  <c r="AZ338" i="3" s="1"/>
  <c r="BL339" i="3"/>
  <c r="G340" i="3"/>
  <c r="BL343" i="3"/>
  <c r="AZ343" i="3" s="1"/>
  <c r="G344" i="3"/>
  <c r="G348" i="3"/>
  <c r="G355" i="3"/>
  <c r="AZ209" i="3"/>
  <c r="AZ214" i="3"/>
  <c r="AZ218" i="3"/>
  <c r="AZ222" i="3"/>
  <c r="G342" i="3"/>
  <c r="BL345" i="3"/>
  <c r="AZ345" i="3"/>
  <c r="G346" i="3"/>
  <c r="AZ348" i="3"/>
  <c r="BL349" i="3"/>
  <c r="AZ349" i="3" s="1"/>
  <c r="BL352" i="3"/>
  <c r="G353" i="3"/>
  <c r="BA357" i="3"/>
  <c r="BL358" i="3"/>
  <c r="G359" i="3"/>
  <c r="BA361" i="3"/>
  <c r="AZ361" i="3" s="1"/>
  <c r="BL362" i="3"/>
  <c r="G363" i="3"/>
  <c r="BA365" i="3"/>
  <c r="AZ365" i="3"/>
  <c r="BL366" i="3"/>
  <c r="AZ366" i="3"/>
  <c r="G367" i="3"/>
  <c r="BA369" i="3"/>
  <c r="AZ369" i="3" s="1"/>
  <c r="BL370" i="3"/>
  <c r="AZ370" i="3" s="1"/>
  <c r="G371" i="3"/>
  <c r="BA373" i="3"/>
  <c r="AZ373" i="3" s="1"/>
  <c r="BL374" i="3"/>
  <c r="G375" i="3"/>
  <c r="BA377" i="3"/>
  <c r="AZ377" i="3"/>
  <c r="AZ229" i="3"/>
  <c r="AZ237" i="3"/>
  <c r="AZ241" i="3"/>
  <c r="AZ253" i="3"/>
  <c r="AZ257" i="3"/>
  <c r="AZ269" i="3"/>
  <c r="AZ273" i="3"/>
  <c r="BA379" i="3"/>
  <c r="AZ379" i="3" s="1"/>
  <c r="BL380" i="3"/>
  <c r="G381" i="3"/>
  <c r="BA383" i="3"/>
  <c r="AZ383" i="3" s="1"/>
  <c r="BL384" i="3"/>
  <c r="G385" i="3"/>
  <c r="BA387" i="3"/>
  <c r="AZ387" i="3" s="1"/>
  <c r="BL388" i="3"/>
  <c r="G389" i="3"/>
  <c r="BA391" i="3"/>
  <c r="AZ391" i="3"/>
  <c r="BL392" i="3"/>
  <c r="G393" i="3"/>
  <c r="AZ263" i="3"/>
  <c r="AZ279" i="3"/>
  <c r="AZ283" i="3"/>
  <c r="AZ299" i="3"/>
  <c r="BO5" i="3"/>
  <c r="F29" i="6" s="1"/>
  <c r="E29" i="6" s="1"/>
  <c r="BM5" i="3"/>
  <c r="BJ5" i="3"/>
  <c r="BH5" i="3"/>
  <c r="BF5" i="3"/>
  <c r="BD5" i="3"/>
  <c r="AZ325" i="3"/>
  <c r="AC5" i="3"/>
  <c r="AZ549" i="3"/>
  <c r="AZ506" i="3"/>
  <c r="AZ496" i="3"/>
  <c r="G548" i="3"/>
  <c r="G538" i="3"/>
  <c r="G520" i="3"/>
  <c r="G502" i="3"/>
  <c r="BS5" i="3"/>
  <c r="BP5" i="3"/>
  <c r="BN5" i="3"/>
  <c r="BK5" i="3"/>
  <c r="BI5" i="3"/>
  <c r="BG5" i="3"/>
  <c r="BE5" i="3"/>
  <c r="BC5" i="3"/>
  <c r="G17" i="3"/>
  <c r="BA17" i="3"/>
  <c r="BT5" i="3"/>
  <c r="AZ360" i="3"/>
  <c r="AZ364" i="3"/>
  <c r="BA15" i="3"/>
  <c r="AZ15" i="3" s="1"/>
  <c r="BB5" i="3"/>
  <c r="BR5" i="3"/>
  <c r="AZ384" i="3"/>
  <c r="AZ499" i="3"/>
  <c r="E8" i="6"/>
  <c r="G509" i="3"/>
  <c r="BL493" i="3"/>
  <c r="AZ491" i="3"/>
  <c r="AZ390" i="3"/>
  <c r="AZ493" i="3"/>
  <c r="U36" i="40"/>
  <c r="H117" i="43"/>
  <c r="D21" i="43"/>
  <c r="F42" i="43"/>
  <c r="I21" i="43"/>
  <c r="F39" i="43"/>
  <c r="J21" i="43"/>
  <c r="F6" i="1"/>
  <c r="G6" i="1" s="1"/>
  <c r="U17" i="39"/>
  <c r="S14" i="35"/>
  <c r="U43" i="21"/>
  <c r="U35" i="21"/>
  <c r="AC35" i="21"/>
  <c r="U10" i="21"/>
  <c r="G8" i="1"/>
  <c r="G9" i="1"/>
  <c r="G10" i="1"/>
  <c r="F48" i="9"/>
  <c r="O52" i="9" s="1"/>
  <c r="AC11" i="39"/>
  <c r="AZ563" i="3"/>
  <c r="AZ501" i="3"/>
  <c r="W37" i="37"/>
  <c r="W44" i="34"/>
  <c r="AC44" i="34"/>
  <c r="S15" i="37"/>
  <c r="U13" i="37"/>
  <c r="U12" i="40"/>
  <c r="J37" i="33"/>
  <c r="AC17" i="34"/>
  <c r="F106" i="33"/>
  <c r="G106" i="33" s="1"/>
  <c r="H106" i="33" s="1"/>
  <c r="I106" i="33" s="1"/>
  <c r="J106" i="33" s="1"/>
  <c r="K106" i="33" s="1"/>
  <c r="L106" i="33" s="1"/>
  <c r="M106" i="33" s="1"/>
  <c r="J34" i="33"/>
  <c r="W34" i="33"/>
  <c r="F33" i="34"/>
  <c r="S33" i="34"/>
  <c r="W12" i="36"/>
  <c r="AC12" i="36"/>
  <c r="H20" i="36"/>
  <c r="U20" i="36"/>
  <c r="J20" i="36"/>
  <c r="W20" i="36" s="1"/>
  <c r="W24" i="36"/>
  <c r="J27" i="36"/>
  <c r="W27" i="36" s="1"/>
  <c r="AB25" i="37"/>
  <c r="AC33" i="40"/>
  <c r="F111" i="40"/>
  <c r="G111" i="40"/>
  <c r="H111" i="40" s="1"/>
  <c r="I111" i="40" s="1"/>
  <c r="J111" i="40"/>
  <c r="K111" i="40" s="1"/>
  <c r="L111" i="40" s="1"/>
  <c r="M111" i="40" s="1"/>
  <c r="H35" i="40"/>
  <c r="AB35" i="40" s="1"/>
  <c r="AC29" i="35"/>
  <c r="W29" i="35"/>
  <c r="H35" i="37"/>
  <c r="U35" i="37" s="1"/>
  <c r="AC14" i="35"/>
  <c r="H20" i="35"/>
  <c r="U20" i="35"/>
  <c r="F20" i="35"/>
  <c r="AB23" i="35"/>
  <c r="AB29" i="36"/>
  <c r="U29" i="36"/>
  <c r="H32" i="37"/>
  <c r="AB32" i="37" s="1"/>
  <c r="F96" i="37"/>
  <c r="H27" i="40"/>
  <c r="J27" i="40"/>
  <c r="AC27" i="40"/>
  <c r="F27" i="40"/>
  <c r="S27" i="40"/>
  <c r="J30" i="40"/>
  <c r="AC30" i="40" s="1"/>
  <c r="F30" i="40"/>
  <c r="AA30" i="40"/>
  <c r="AC21" i="40"/>
  <c r="S31" i="39"/>
  <c r="S11" i="40"/>
  <c r="E98" i="40"/>
  <c r="F98" i="40"/>
  <c r="G98" i="40"/>
  <c r="H98" i="40" s="1"/>
  <c r="I98" i="40" s="1"/>
  <c r="J98" i="40" s="1"/>
  <c r="K98" i="40" s="1"/>
  <c r="L98" i="40" s="1"/>
  <c r="M98" i="40" s="1"/>
  <c r="F10" i="33"/>
  <c r="S10" i="33"/>
  <c r="F34" i="33"/>
  <c r="AA34" i="33" s="1"/>
  <c r="S34" i="33"/>
  <c r="H34" i="33"/>
  <c r="U34" i="33"/>
  <c r="F35" i="33"/>
  <c r="F39" i="34"/>
  <c r="S39" i="34" s="1"/>
  <c r="J39" i="34"/>
  <c r="W39" i="34"/>
  <c r="F40" i="34"/>
  <c r="S40" i="34"/>
  <c r="F43" i="34"/>
  <c r="S43" i="34" s="1"/>
  <c r="AA43" i="34"/>
  <c r="H44" i="34"/>
  <c r="AB44" i="34" s="1"/>
  <c r="AC38" i="39"/>
  <c r="F39" i="39"/>
  <c r="S39" i="39"/>
  <c r="J39" i="39"/>
  <c r="AC39" i="39" s="1"/>
  <c r="E97" i="39"/>
  <c r="F97" i="39"/>
  <c r="G97" i="39" s="1"/>
  <c r="C40" i="11"/>
  <c r="AZ227" i="3"/>
  <c r="AZ232" i="3"/>
  <c r="AZ243" i="3"/>
  <c r="AZ248" i="3"/>
  <c r="AZ259" i="3"/>
  <c r="AZ268" i="3"/>
  <c r="AZ271" i="3"/>
  <c r="AZ288" i="3"/>
  <c r="AZ296" i="3"/>
  <c r="AZ114" i="3"/>
  <c r="AZ117" i="3"/>
  <c r="AZ45" i="3"/>
  <c r="AZ50" i="3"/>
  <c r="AZ53" i="3"/>
  <c r="AZ72" i="3"/>
  <c r="AZ77" i="3"/>
  <c r="AZ82" i="3"/>
  <c r="AZ86" i="3"/>
  <c r="AZ102" i="3"/>
  <c r="F23" i="39"/>
  <c r="H27" i="36"/>
  <c r="U27" i="36"/>
  <c r="F27" i="36"/>
  <c r="AA27" i="36"/>
  <c r="H33" i="34"/>
  <c r="U33" i="34"/>
  <c r="F32" i="37"/>
  <c r="AA32" i="37" s="1"/>
  <c r="G96" i="37"/>
  <c r="H96" i="37" s="1"/>
  <c r="I96" i="37" s="1"/>
  <c r="J96" i="37" s="1"/>
  <c r="K96" i="37" s="1"/>
  <c r="L96" i="37" s="1"/>
  <c r="M96" i="37" s="1"/>
  <c r="F20" i="36"/>
  <c r="AA20" i="36" s="1"/>
  <c r="J33" i="34"/>
  <c r="AC33" i="34"/>
  <c r="H23" i="39"/>
  <c r="U23" i="39" s="1"/>
  <c r="D48" i="9"/>
  <c r="M52" i="9" s="1"/>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E26" i="43"/>
  <c r="W12" i="33"/>
  <c r="AC12" i="33"/>
  <c r="AA32" i="36"/>
  <c r="S32" i="36"/>
  <c r="AZ551" i="3"/>
  <c r="AZ408" i="3"/>
  <c r="AZ437" i="3"/>
  <c r="AZ441" i="3"/>
  <c r="AZ457" i="3"/>
  <c r="AZ473" i="3"/>
  <c r="AZ490" i="3"/>
  <c r="AA39" i="34"/>
  <c r="BL14" i="3"/>
  <c r="AZ266" i="3"/>
  <c r="U30" i="33"/>
  <c r="AA47" i="34"/>
  <c r="W28" i="37"/>
  <c r="S19" i="39"/>
  <c r="F12" i="33"/>
  <c r="AA12" i="33" s="1"/>
  <c r="H12" i="39"/>
  <c r="AB12" i="39" s="1"/>
  <c r="F39" i="40"/>
  <c r="BA14" i="3"/>
  <c r="AZ14" i="3"/>
  <c r="AZ213" i="3"/>
  <c r="AZ234" i="3"/>
  <c r="AZ238" i="3"/>
  <c r="AZ254" i="3"/>
  <c r="AZ19" i="3"/>
  <c r="S12" i="1"/>
  <c r="R12" i="1"/>
  <c r="B12" i="1"/>
  <c r="E12" i="1" s="1"/>
  <c r="S10" i="1"/>
  <c r="AQ10" i="1"/>
  <c r="R10" i="1"/>
  <c r="B10" i="1"/>
  <c r="E10" i="1"/>
  <c r="AZ80" i="3"/>
  <c r="AZ88" i="3"/>
  <c r="AZ107" i="3"/>
  <c r="K12" i="1"/>
  <c r="M12" i="1" s="1"/>
  <c r="S13" i="1"/>
  <c r="AR13" i="1" s="1"/>
  <c r="R13" i="1"/>
  <c r="S11" i="1"/>
  <c r="R11" i="1"/>
  <c r="S9" i="1"/>
  <c r="R9" i="1"/>
  <c r="J51" i="67"/>
  <c r="C42" i="1"/>
  <c r="C77" i="9" s="1"/>
  <c r="C74" i="9" s="1"/>
  <c r="AC34" i="33"/>
  <c r="B41" i="1"/>
  <c r="F53" i="9"/>
  <c r="S22" i="31"/>
  <c r="AB37" i="40"/>
  <c r="S35" i="40"/>
  <c r="U35" i="40"/>
  <c r="AC36" i="40"/>
  <c r="AA32" i="40"/>
  <c r="S17" i="40"/>
  <c r="S23" i="40"/>
  <c r="AC17" i="40"/>
  <c r="AC15" i="40"/>
  <c r="S30" i="40"/>
  <c r="AA19" i="40"/>
  <c r="S28" i="40"/>
  <c r="AA27" i="40"/>
  <c r="U21" i="40"/>
  <c r="AB19" i="40"/>
  <c r="W42" i="39"/>
  <c r="U37" i="39"/>
  <c r="S43" i="39"/>
  <c r="S37" i="39"/>
  <c r="U35" i="39"/>
  <c r="F32" i="39"/>
  <c r="S32" i="39" s="1"/>
  <c r="F107" i="39"/>
  <c r="G107" i="39" s="1"/>
  <c r="U25" i="39"/>
  <c r="AB27" i="39"/>
  <c r="U31" i="39"/>
  <c r="J21" i="39"/>
  <c r="F21" i="39"/>
  <c r="G95" i="39"/>
  <c r="H21" i="39"/>
  <c r="W19" i="39"/>
  <c r="U19" i="39"/>
  <c r="S17" i="39"/>
  <c r="AC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s="1"/>
  <c r="U23" i="37"/>
  <c r="U15" i="37"/>
  <c r="AC13" i="37"/>
  <c r="U9" i="37"/>
  <c r="AA13" i="37"/>
  <c r="AA12" i="37"/>
  <c r="H10" i="37"/>
  <c r="AB10" i="37" s="1"/>
  <c r="H60" i="37"/>
  <c r="F63" i="37"/>
  <c r="F11" i="37"/>
  <c r="S11" i="37" s="1"/>
  <c r="S27" i="34"/>
  <c r="W25" i="34"/>
  <c r="AB8" i="34"/>
  <c r="AA33" i="34"/>
  <c r="U44" i="34"/>
  <c r="U43" i="34"/>
  <c r="AC39" i="34"/>
  <c r="W41" i="34"/>
  <c r="AC42" i="34"/>
  <c r="U39" i="34"/>
  <c r="AB41" i="34"/>
  <c r="AA45" i="34"/>
  <c r="W34" i="34"/>
  <c r="AA25" i="34"/>
  <c r="U28" i="34"/>
  <c r="S17" i="34"/>
  <c r="AA29" i="34"/>
  <c r="U27" i="34"/>
  <c r="S23" i="34"/>
  <c r="U15" i="34"/>
  <c r="S10" i="34"/>
  <c r="S13" i="34"/>
  <c r="H67" i="34"/>
  <c r="I67" i="34" s="1"/>
  <c r="H10" i="34"/>
  <c r="F11" i="34"/>
  <c r="S11" i="34" s="1"/>
  <c r="F70" i="34"/>
  <c r="W42" i="33"/>
  <c r="S27" i="33"/>
  <c r="S32" i="33"/>
  <c r="AA29" i="33"/>
  <c r="AB29" i="33"/>
  <c r="W38" i="33"/>
  <c r="H41" i="33"/>
  <c r="AB41" i="33" s="1"/>
  <c r="F121" i="33"/>
  <c r="G121" i="33" s="1"/>
  <c r="H121" i="33" s="1"/>
  <c r="I121" i="33" s="1"/>
  <c r="J121" i="33" s="1"/>
  <c r="K121" i="33" s="1"/>
  <c r="L121" i="33"/>
  <c r="M121" i="33" s="1"/>
  <c r="U42" i="33"/>
  <c r="S42" i="33"/>
  <c r="F36"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H27" i="33"/>
  <c r="F87" i="33"/>
  <c r="H25" i="33"/>
  <c r="F25" i="33"/>
  <c r="J23" i="33"/>
  <c r="F85" i="33"/>
  <c r="H23" i="33"/>
  <c r="AB23" i="33" s="1"/>
  <c r="F81" i="33"/>
  <c r="F19" i="33"/>
  <c r="S19" i="33"/>
  <c r="W19" i="33"/>
  <c r="J17" i="33"/>
  <c r="W17" i="33" s="1"/>
  <c r="F79" i="33"/>
  <c r="G79" i="33" s="1"/>
  <c r="S15" i="33"/>
  <c r="W15" i="33"/>
  <c r="I66" i="33"/>
  <c r="J10" i="33"/>
  <c r="H10" i="33"/>
  <c r="U10" i="33" s="1"/>
  <c r="AA10" i="33"/>
  <c r="AC11" i="33"/>
  <c r="AB14" i="33"/>
  <c r="W43" i="21"/>
  <c r="W36" i="21"/>
  <c r="W41" i="21"/>
  <c r="AB39" i="21"/>
  <c r="AA43" i="21"/>
  <c r="S39" i="21"/>
  <c r="AA38" i="21"/>
  <c r="AA36" i="21"/>
  <c r="AC40" i="21"/>
  <c r="J15" i="21"/>
  <c r="F77" i="21"/>
  <c r="G77" i="21" s="1"/>
  <c r="F23" i="21"/>
  <c r="E85" i="21"/>
  <c r="AC11" i="21"/>
  <c r="AA14" i="21"/>
  <c r="AB8" i="21"/>
  <c r="S8" i="21"/>
  <c r="M3" i="43"/>
  <c r="M1" i="43"/>
  <c r="N8" i="43"/>
  <c r="D120" i="9"/>
  <c r="C18" i="9"/>
  <c r="D18" i="9" s="1"/>
  <c r="F34" i="67"/>
  <c r="F62" i="67"/>
  <c r="M20" i="67"/>
  <c r="F34" i="15"/>
  <c r="F62" i="15"/>
  <c r="G13" i="3"/>
  <c r="BA13" i="3"/>
  <c r="E10" i="6"/>
  <c r="BL17" i="3"/>
  <c r="AZ17" i="3"/>
  <c r="BL13" i="3"/>
  <c r="AZ13" i="3" s="1"/>
  <c r="E65" i="39"/>
  <c r="J56" i="9"/>
  <c r="J57" i="9"/>
  <c r="J59" i="9" s="1"/>
  <c r="J61" i="9" s="1"/>
  <c r="A24" i="51"/>
  <c r="B18" i="72"/>
  <c r="U29" i="34"/>
  <c r="E5" i="6"/>
  <c r="D9" i="11" s="1"/>
  <c r="C9" i="11"/>
  <c r="P10" i="1"/>
  <c r="E32" i="6"/>
  <c r="L19" i="6"/>
  <c r="G1" i="68"/>
  <c r="K1" i="12"/>
  <c r="AR10" i="1"/>
  <c r="T10" i="1"/>
  <c r="E19" i="69"/>
  <c r="E19" i="68"/>
  <c r="E19" i="11"/>
  <c r="E1" i="73"/>
  <c r="G22" i="69"/>
  <c r="G22" i="68"/>
  <c r="G26" i="12"/>
  <c r="G22" i="11"/>
  <c r="Z7" i="43"/>
  <c r="E51" i="43"/>
  <c r="B49" i="43" s="1"/>
  <c r="E73" i="43"/>
  <c r="B71" i="43" s="1"/>
  <c r="H21" i="43"/>
  <c r="C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46" i="36"/>
  <c r="D46" i="36" s="1"/>
  <c r="C52" i="37"/>
  <c r="D52" i="37" s="1"/>
  <c r="A4" i="51"/>
  <c r="B6" i="72" s="1"/>
  <c r="C4" i="12"/>
  <c r="L20" i="6"/>
  <c r="E56" i="39"/>
  <c r="B6" i="1"/>
  <c r="E6" i="1" s="1"/>
  <c r="S8" i="1"/>
  <c r="K11" i="1"/>
  <c r="M11" i="1"/>
  <c r="O11" i="1" s="1"/>
  <c r="P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U13" i="21"/>
  <c r="AB13" i="21"/>
  <c r="W8" i="21"/>
  <c r="S35" i="21"/>
  <c r="AB37" i="21"/>
  <c r="J37" i="21"/>
  <c r="AC37" i="21" s="1"/>
  <c r="W37" i="21"/>
  <c r="H15" i="21"/>
  <c r="U15" i="21"/>
  <c r="J17" i="21"/>
  <c r="AC17" i="21" s="1"/>
  <c r="AC19" i="21"/>
  <c r="W39" i="21"/>
  <c r="AC14" i="21"/>
  <c r="W30" i="21"/>
  <c r="S46" i="21"/>
  <c r="H45" i="21"/>
  <c r="U45" i="21" s="1"/>
  <c r="F29" i="21"/>
  <c r="F13" i="21"/>
  <c r="AA13" i="21" s="1"/>
  <c r="AC38" i="21"/>
  <c r="H32" i="21"/>
  <c r="H9" i="21"/>
  <c r="J9" i="21"/>
  <c r="J32" i="21"/>
  <c r="AC32" i="21" s="1"/>
  <c r="F32" i="21"/>
  <c r="AA31" i="21"/>
  <c r="U17" i="21"/>
  <c r="W29" i="21"/>
  <c r="S19" i="21"/>
  <c r="S9" i="21"/>
  <c r="AA9" i="21"/>
  <c r="K141" i="21"/>
  <c r="K144" i="21"/>
  <c r="K143" i="21"/>
  <c r="U27" i="21"/>
  <c r="AB25" i="21"/>
  <c r="AB44" i="21"/>
  <c r="AA30" i="21"/>
  <c r="W13" i="21"/>
  <c r="W42" i="21"/>
  <c r="AC45" i="21"/>
  <c r="F10" i="21"/>
  <c r="S10" i="21" s="1"/>
  <c r="K145" i="21"/>
  <c r="W25"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c r="C4" i="4"/>
  <c r="AQ13" i="1"/>
  <c r="M6" i="1"/>
  <c r="O6" i="1" s="1"/>
  <c r="P6" i="1" s="1"/>
  <c r="F30" i="68"/>
  <c r="F48" i="68" s="1"/>
  <c r="F30" i="11"/>
  <c r="C48" i="11" s="1"/>
  <c r="F28" i="67"/>
  <c r="F31" i="12"/>
  <c r="F52" i="9"/>
  <c r="M18" i="67"/>
  <c r="F32" i="67"/>
  <c r="F60" i="67"/>
  <c r="F30" i="69"/>
  <c r="F48" i="69" s="1"/>
  <c r="F32" i="15"/>
  <c r="F60" i="15" s="1"/>
  <c r="M18" i="15"/>
  <c r="F28" i="15"/>
  <c r="D9" i="69"/>
  <c r="C9" i="69" s="1"/>
  <c r="K15" i="1"/>
  <c r="T9" i="1"/>
  <c r="T13" i="1"/>
  <c r="D9" i="68"/>
  <c r="C9" i="68" s="1"/>
  <c r="S7" i="1"/>
  <c r="T7" i="1" s="1"/>
  <c r="E7" i="70"/>
  <c r="S12" i="33"/>
  <c r="D68" i="9"/>
  <c r="F54" i="9"/>
  <c r="J32" i="39"/>
  <c r="H107" i="39"/>
  <c r="I107" i="39" s="1"/>
  <c r="J107" i="39" s="1"/>
  <c r="K107" i="39" s="1"/>
  <c r="L107" i="39" s="1"/>
  <c r="M107" i="39" s="1"/>
  <c r="H32" i="39"/>
  <c r="AB32" i="39" s="1"/>
  <c r="AA32" i="39"/>
  <c r="AB21" i="39"/>
  <c r="U21" i="39"/>
  <c r="AA21" i="39"/>
  <c r="S21" i="39"/>
  <c r="AC21" i="39"/>
  <c r="W21" i="39"/>
  <c r="S26" i="35"/>
  <c r="U9" i="35"/>
  <c r="AB9" i="35"/>
  <c r="AA9" i="35"/>
  <c r="S9" i="35"/>
  <c r="AC26" i="35"/>
  <c r="W26" i="35"/>
  <c r="AB26" i="35"/>
  <c r="U26" i="35"/>
  <c r="AC17" i="37"/>
  <c r="S17" i="37"/>
  <c r="J19" i="37"/>
  <c r="AC19" i="37" s="1"/>
  <c r="S19" i="37"/>
  <c r="AA19" i="37"/>
  <c r="J23" i="37"/>
  <c r="G79" i="37"/>
  <c r="J10" i="37"/>
  <c r="I60" i="37"/>
  <c r="G63" i="37"/>
  <c r="H11" i="37"/>
  <c r="U10" i="37"/>
  <c r="G70" i="34"/>
  <c r="H11" i="34"/>
  <c r="AB10" i="34"/>
  <c r="U10" i="34"/>
  <c r="J10" i="34"/>
  <c r="U41" i="33"/>
  <c r="AC35" i="33"/>
  <c r="H111" i="33"/>
  <c r="I111" i="33" s="1"/>
  <c r="J111" i="33" s="1"/>
  <c r="K111" i="33" s="1"/>
  <c r="L111" i="33" s="1"/>
  <c r="M111" i="33" s="1"/>
  <c r="J36" i="33"/>
  <c r="AC36" i="33" s="1"/>
  <c r="H36" i="33"/>
  <c r="S36" i="33"/>
  <c r="AA36" i="33"/>
  <c r="W32" i="33"/>
  <c r="U27" i="33"/>
  <c r="AB27" i="33"/>
  <c r="G91" i="33"/>
  <c r="H91" i="33" s="1"/>
  <c r="I91" i="33" s="1"/>
  <c r="J91" i="33"/>
  <c r="K91" i="33" s="1"/>
  <c r="L91" i="33" s="1"/>
  <c r="M91" i="33" s="1"/>
  <c r="J27" i="33"/>
  <c r="U25" i="33"/>
  <c r="AB25" i="33"/>
  <c r="S25" i="33"/>
  <c r="AA25" i="33"/>
  <c r="G87" i="33"/>
  <c r="H87" i="33" s="1"/>
  <c r="I87" i="33" s="1"/>
  <c r="J87" i="33" s="1"/>
  <c r="K87" i="33"/>
  <c r="L87" i="33" s="1"/>
  <c r="M87" i="33" s="1"/>
  <c r="J25" i="33"/>
  <c r="U23" i="33"/>
  <c r="F23" i="33"/>
  <c r="AA23" i="33" s="1"/>
  <c r="G85" i="33"/>
  <c r="AC23" i="33"/>
  <c r="W23" i="33"/>
  <c r="AA19" i="33"/>
  <c r="H19" i="33"/>
  <c r="AB19" i="33" s="1"/>
  <c r="G81" i="33"/>
  <c r="H17" i="33"/>
  <c r="F17" i="33"/>
  <c r="AA17" i="33" s="1"/>
  <c r="AC17" i="33"/>
  <c r="AB10" i="33"/>
  <c r="AC10" i="33"/>
  <c r="W10" i="33"/>
  <c r="U33" i="21"/>
  <c r="S37" i="21"/>
  <c r="AB15" i="21"/>
  <c r="J23" i="21"/>
  <c r="AC23" i="21" s="1"/>
  <c r="F85" i="21"/>
  <c r="G85" i="21"/>
  <c r="H23" i="21"/>
  <c r="S13" i="21"/>
  <c r="S6" i="1"/>
  <c r="AR8" i="1"/>
  <c r="AQ8" i="1"/>
  <c r="T8" i="1"/>
  <c r="AQ7" i="1"/>
  <c r="R22" i="31"/>
  <c r="L27" i="6"/>
  <c r="AP7" i="1"/>
  <c r="O7" i="1"/>
  <c r="Q16" i="1"/>
  <c r="F27" i="68" s="1"/>
  <c r="F45" i="68" s="1"/>
  <c r="F27" i="69"/>
  <c r="F45" i="69" s="1"/>
  <c r="H16" i="1"/>
  <c r="AB45" i="21"/>
  <c r="AC33" i="21"/>
  <c r="W33" i="21"/>
  <c r="S33" i="21"/>
  <c r="AA33" i="21"/>
  <c r="AB9" i="21"/>
  <c r="U9" i="21"/>
  <c r="AA32" i="21"/>
  <c r="S32" i="21"/>
  <c r="W9" i="21"/>
  <c r="AC9" i="21"/>
  <c r="AB32" i="21"/>
  <c r="U32" i="21"/>
  <c r="C36" i="69"/>
  <c r="AR7" i="1"/>
  <c r="C30" i="11"/>
  <c r="E6" i="70"/>
  <c r="E2" i="70" s="1"/>
  <c r="U32" i="39"/>
  <c r="AC32" i="39"/>
  <c r="W32" i="39"/>
  <c r="W23" i="37"/>
  <c r="AC23" i="37"/>
  <c r="H63" i="37"/>
  <c r="I63" i="37" s="1"/>
  <c r="J63" i="37" s="1"/>
  <c r="K63" i="37" s="1"/>
  <c r="L63" i="37" s="1"/>
  <c r="M63" i="37" s="1"/>
  <c r="J11" i="37"/>
  <c r="W11" i="37" s="1"/>
  <c r="W10" i="37"/>
  <c r="AC10" i="37"/>
  <c r="AC10" i="34"/>
  <c r="W10" i="34"/>
  <c r="H70" i="34"/>
  <c r="I70" i="34"/>
  <c r="J70" i="34"/>
  <c r="K70" i="34" s="1"/>
  <c r="L70" i="34" s="1"/>
  <c r="M70" i="34" s="1"/>
  <c r="J11" i="34"/>
  <c r="U36" i="33"/>
  <c r="AB36" i="33"/>
  <c r="W27" i="33"/>
  <c r="AC27" i="33"/>
  <c r="W25" i="33"/>
  <c r="AC25" i="33"/>
  <c r="S23" i="33"/>
  <c r="U19" i="33"/>
  <c r="S17" i="33"/>
  <c r="U17" i="33"/>
  <c r="AB17" i="33"/>
  <c r="U23" i="21"/>
  <c r="AB23" i="21"/>
  <c r="F28" i="12"/>
  <c r="F27" i="11"/>
  <c r="AC11" i="37"/>
  <c r="W11" i="34"/>
  <c r="AC11" i="34"/>
  <c r="R7" i="1"/>
  <c r="F34" i="11"/>
  <c r="F11" i="12"/>
  <c r="C23" i="12" s="1"/>
  <c r="F34" i="68"/>
  <c r="R8" i="1"/>
  <c r="R6" i="1"/>
  <c r="AE7" i="1"/>
  <c r="AE8" i="1"/>
  <c r="AE6" i="1"/>
  <c r="AG6" i="1"/>
  <c r="H109" i="9"/>
  <c r="M49" i="9" s="1"/>
  <c r="D124" i="9"/>
  <c r="H14" i="74" s="1"/>
  <c r="B7" i="74" s="1"/>
  <c r="D16" i="53"/>
  <c r="D10" i="52"/>
  <c r="H112" i="9"/>
  <c r="D21" i="53"/>
  <c r="B39" i="72"/>
  <c r="H111" i="9"/>
  <c r="D126" i="9"/>
  <c r="D19" i="53"/>
  <c r="B38" i="72" s="1"/>
  <c r="D20" i="53"/>
  <c r="B40" i="72" s="1"/>
  <c r="J1" i="73"/>
  <c r="C30" i="68"/>
  <c r="M4" i="43"/>
  <c r="M5" i="43"/>
  <c r="N12" i="43"/>
  <c r="N11" i="43"/>
  <c r="M10" i="43"/>
  <c r="M2" i="43"/>
  <c r="M8" i="43"/>
  <c r="M7" i="43"/>
  <c r="C6" i="43" s="1"/>
  <c r="N9" i="43"/>
  <c r="N10" i="43"/>
  <c r="M6" i="43"/>
  <c r="N7" i="43"/>
  <c r="F84" i="43" s="1"/>
  <c r="N4" i="43"/>
  <c r="N2" i="43"/>
  <c r="F51" i="43" s="1"/>
  <c r="H55" i="43" s="1"/>
  <c r="N21" i="43"/>
  <c r="L21" i="43"/>
  <c r="O21" i="43"/>
  <c r="M21" i="43"/>
  <c r="E21" i="43"/>
  <c r="T25" i="71"/>
  <c r="C94" i="9"/>
  <c r="C92" i="9"/>
  <c r="F94" i="43"/>
  <c r="N370" i="46"/>
  <c r="X7" i="43"/>
  <c r="F73" i="43"/>
  <c r="H76" i="43" s="1"/>
  <c r="F62" i="43"/>
  <c r="H66" i="43" s="1"/>
  <c r="D81" i="71"/>
  <c r="D73" i="71"/>
  <c r="B68" i="71"/>
  <c r="B67" i="71" s="1"/>
  <c r="O66" i="71" s="1"/>
  <c r="M11" i="43"/>
  <c r="E62" i="43"/>
  <c r="B60" i="43" s="1"/>
  <c r="B117" i="43"/>
  <c r="I122" i="43" s="1"/>
  <c r="J122" i="43" s="1"/>
  <c r="K122" i="43" s="1"/>
  <c r="L122" i="43" s="1"/>
  <c r="M122" i="43" s="1"/>
  <c r="N94" i="46"/>
  <c r="G26" i="43"/>
  <c r="D23" i="67"/>
  <c r="G25" i="12"/>
  <c r="G41" i="11"/>
  <c r="G27" i="12"/>
  <c r="G41" i="68"/>
  <c r="K4" i="4"/>
  <c r="B46" i="48"/>
  <c r="B4" i="72" s="1"/>
  <c r="B4" i="62"/>
  <c r="B71" i="72"/>
  <c r="D9" i="53"/>
  <c r="B25" i="72" s="1"/>
  <c r="B24" i="72"/>
  <c r="K120" i="9"/>
  <c r="A18" i="62" s="1"/>
  <c r="B64" i="72" s="1"/>
  <c r="D123" i="43"/>
  <c r="E123" i="43" s="1"/>
  <c r="F123" i="43" s="1"/>
  <c r="G123" i="43" s="1"/>
  <c r="H123" i="43" s="1"/>
  <c r="M32" i="43"/>
  <c r="N32" i="43"/>
  <c r="O32" i="43"/>
  <c r="P32" i="43"/>
  <c r="C24" i="43"/>
  <c r="E44" i="43"/>
  <c r="C44" i="43" s="1"/>
  <c r="O67" i="71"/>
  <c r="J26" i="43"/>
  <c r="M26" i="15"/>
  <c r="F26" i="15"/>
  <c r="F8" i="15"/>
  <c r="AO8" i="1"/>
  <c r="B11" i="76"/>
  <c r="AO11" i="1"/>
  <c r="F6" i="67"/>
  <c r="F4" i="73"/>
  <c r="C19" i="9"/>
  <c r="E2" i="68"/>
  <c r="C76" i="15"/>
  <c r="E8" i="76"/>
  <c r="M29" i="67"/>
  <c r="F9" i="67"/>
  <c r="E13" i="76"/>
  <c r="B9" i="76"/>
  <c r="F13" i="67"/>
  <c r="F36" i="67"/>
  <c r="D2" i="33"/>
  <c r="J15" i="67"/>
  <c r="C20" i="9"/>
  <c r="M21" i="15"/>
  <c r="M27" i="67"/>
  <c r="M23" i="15"/>
  <c r="F38" i="15"/>
  <c r="D2" i="37"/>
  <c r="F42" i="67"/>
  <c r="F35" i="67"/>
  <c r="M23" i="67"/>
  <c r="M8" i="15"/>
  <c r="AO9" i="1"/>
  <c r="F9" i="15"/>
  <c r="D2" i="35"/>
  <c r="B12" i="76"/>
  <c r="M6" i="15"/>
  <c r="AO7" i="1"/>
  <c r="J15" i="15"/>
  <c r="M22" i="15"/>
  <c r="F5" i="73"/>
  <c r="D3" i="73"/>
  <c r="F3" i="73"/>
  <c r="M29" i="15"/>
  <c r="F40" i="15"/>
  <c r="M24" i="67"/>
  <c r="F7" i="15"/>
  <c r="F42" i="15"/>
  <c r="M24" i="15"/>
  <c r="D2" i="36"/>
  <c r="F41" i="15"/>
  <c r="E2" i="69"/>
  <c r="M9" i="67"/>
  <c r="M28" i="15"/>
  <c r="D35" i="9"/>
  <c r="F26" i="67"/>
  <c r="M9" i="15"/>
  <c r="F13" i="15"/>
  <c r="B8" i="76"/>
  <c r="F16" i="67"/>
  <c r="AO6" i="1"/>
  <c r="L47" i="15"/>
  <c r="D20" i="9"/>
  <c r="L48" i="67"/>
  <c r="D19" i="9"/>
  <c r="AO10" i="1"/>
  <c r="D6" i="73"/>
  <c r="D2" i="21"/>
  <c r="M26" i="67"/>
  <c r="D2" i="34"/>
  <c r="F35" i="15"/>
  <c r="F43" i="67"/>
  <c r="B10" i="76"/>
  <c r="F41" i="67"/>
  <c r="B13" i="76"/>
  <c r="F37" i="67"/>
  <c r="M28" i="67"/>
  <c r="F37" i="15"/>
  <c r="L48" i="15"/>
  <c r="F38" i="67"/>
  <c r="E9" i="76"/>
  <c r="AO13" i="1"/>
  <c r="M27" i="15"/>
  <c r="F36" i="15"/>
  <c r="E10" i="76"/>
  <c r="F43" i="15"/>
  <c r="F40" i="67"/>
  <c r="C76" i="67"/>
  <c r="B7" i="76"/>
  <c r="M8" i="67"/>
  <c r="F20" i="31"/>
  <c r="E7" i="76"/>
  <c r="F7" i="67"/>
  <c r="D34" i="9"/>
  <c r="L47" i="67"/>
  <c r="M6" i="67"/>
  <c r="E11" i="76"/>
  <c r="F7" i="73"/>
  <c r="F16" i="15"/>
  <c r="E12" i="76"/>
  <c r="F8" i="67"/>
  <c r="F6" i="73"/>
  <c r="AO12" i="1"/>
  <c r="F6" i="15"/>
  <c r="M22" i="67"/>
  <c r="M21" i="67"/>
  <c r="D5" i="73"/>
  <c r="E84" i="43" l="1"/>
  <c r="B82" i="43" s="1"/>
  <c r="C28" i="43" s="1"/>
  <c r="D91" i="43"/>
  <c r="D90" i="43"/>
  <c r="D86" i="43"/>
  <c r="C28" i="67"/>
  <c r="C36" i="11"/>
  <c r="C48" i="68"/>
  <c r="C30" i="69"/>
  <c r="C24" i="12"/>
  <c r="C13" i="12"/>
  <c r="C28" i="15"/>
  <c r="L64" i="9"/>
  <c r="M64" i="9" s="1"/>
  <c r="L63" i="9"/>
  <c r="M63" i="9" s="1"/>
  <c r="M69" i="9" s="1"/>
  <c r="N69" i="9" s="1"/>
  <c r="L67" i="9"/>
  <c r="M67" i="9" s="1"/>
  <c r="L68" i="9"/>
  <c r="M68" i="9" s="1"/>
  <c r="L65" i="9"/>
  <c r="M65" i="9" s="1"/>
  <c r="L66" i="9"/>
  <c r="M66" i="9" s="1"/>
  <c r="T6" i="1"/>
  <c r="AQ6" i="1"/>
  <c r="AR6" i="1"/>
  <c r="U11" i="34"/>
  <c r="AB11" i="34"/>
  <c r="I14" i="74"/>
  <c r="B8" i="74" s="1"/>
  <c r="D127" i="9"/>
  <c r="D13" i="52" s="1"/>
  <c r="D12" i="52"/>
  <c r="AB11" i="37"/>
  <c r="U11" i="37"/>
  <c r="O68" i="71"/>
  <c r="S16" i="1"/>
  <c r="C47" i="11"/>
  <c r="D45" i="11" s="1"/>
  <c r="C29" i="11"/>
  <c r="D27" i="11" s="1"/>
  <c r="D17" i="53"/>
  <c r="B36" i="72" s="1"/>
  <c r="B34" i="72"/>
  <c r="W15" i="21"/>
  <c r="AC15" i="21"/>
  <c r="P7" i="1"/>
  <c r="D121" i="9"/>
  <c r="D7" i="52" s="1"/>
  <c r="D6" i="52"/>
  <c r="W19" i="37"/>
  <c r="W23" i="21"/>
  <c r="H110" i="9"/>
  <c r="D18" i="53" s="1"/>
  <c r="B35" i="72" s="1"/>
  <c r="W36" i="33"/>
  <c r="D125" i="9"/>
  <c r="D11" i="52" s="1"/>
  <c r="S29" i="21"/>
  <c r="AA29" i="21"/>
  <c r="AA39" i="40"/>
  <c r="S39" i="40"/>
  <c r="AA10" i="21"/>
  <c r="S23" i="21"/>
  <c r="AA23" i="21"/>
  <c r="O9" i="1"/>
  <c r="P9" i="1" s="1"/>
  <c r="W41" i="39"/>
  <c r="AC41" i="39"/>
  <c r="AA23" i="37"/>
  <c r="AQ11" i="1"/>
  <c r="T11" i="1"/>
  <c r="AR11" i="1"/>
  <c r="U43" i="33"/>
  <c r="U37" i="34"/>
  <c r="AB37" i="34"/>
  <c r="AR12" i="1"/>
  <c r="T12" i="1"/>
  <c r="AA23" i="39"/>
  <c r="S23" i="39"/>
  <c r="U27" i="40"/>
  <c r="AB27" i="40"/>
  <c r="E11" i="6"/>
  <c r="E12" i="6"/>
  <c r="E14" i="6"/>
  <c r="AZ329" i="3"/>
  <c r="U35" i="34"/>
  <c r="AB35" i="34"/>
  <c r="O12" i="1"/>
  <c r="P12" i="1"/>
  <c r="S15" i="39"/>
  <c r="W32" i="21"/>
  <c r="D19" i="12"/>
  <c r="C19" i="12" s="1"/>
  <c r="AQ12" i="1"/>
  <c r="S35" i="33"/>
  <c r="AA35" i="33"/>
  <c r="AZ318" i="3"/>
  <c r="S9" i="37"/>
  <c r="AA9" i="37"/>
  <c r="AB36" i="39"/>
  <c r="U36" i="39"/>
  <c r="AZ585" i="3"/>
  <c r="S9" i="33"/>
  <c r="AA9" i="33"/>
  <c r="E63" i="39"/>
  <c r="F27" i="6"/>
  <c r="E51" i="40"/>
  <c r="BQ5" i="3"/>
  <c r="F28" i="6" s="1"/>
  <c r="BL531" i="3"/>
  <c r="AZ531" i="3" s="1"/>
  <c r="S20" i="35"/>
  <c r="AA20" i="35"/>
  <c r="W13" i="34"/>
  <c r="AC13" i="34"/>
  <c r="AR9" i="1"/>
  <c r="AQ9" i="1"/>
  <c r="W37" i="33"/>
  <c r="AC37" i="33"/>
  <c r="AZ357" i="3"/>
  <c r="AZ203" i="3"/>
  <c r="AA12" i="40"/>
  <c r="S12" i="40"/>
  <c r="C48" i="69"/>
  <c r="AZ337" i="3"/>
  <c r="U12" i="39"/>
  <c r="G28" i="6"/>
  <c r="G30" i="6" s="1"/>
  <c r="G31" i="6" s="1"/>
  <c r="W44" i="33"/>
  <c r="AA25" i="21"/>
  <c r="S25" i="21"/>
  <c r="AZ535" i="3"/>
  <c r="AZ584" i="3"/>
  <c r="W39" i="39"/>
  <c r="W17" i="21"/>
  <c r="C31" i="12"/>
  <c r="AZ321" i="3"/>
  <c r="AZ539" i="3"/>
  <c r="S25" i="39"/>
  <c r="AZ571" i="3"/>
  <c r="AZ516" i="3"/>
  <c r="AZ570" i="3"/>
  <c r="AB11" i="21"/>
  <c r="AZ523" i="3"/>
  <c r="AZ547" i="3"/>
  <c r="S45" i="33"/>
  <c r="AA45" i="33"/>
  <c r="AB45" i="33"/>
  <c r="U45" i="33"/>
  <c r="D26" i="43"/>
  <c r="AZ342" i="3"/>
  <c r="K5" i="4"/>
  <c r="B47" i="48" s="1"/>
  <c r="U11" i="36"/>
  <c r="AB11" i="36"/>
  <c r="W46" i="21"/>
  <c r="S41" i="33"/>
  <c r="W34" i="35"/>
  <c r="AC34" i="35"/>
  <c r="J26" i="37"/>
  <c r="F26" i="37"/>
  <c r="U34" i="35"/>
  <c r="BL586" i="3"/>
  <c r="AZ586" i="3" s="1"/>
  <c r="AC13" i="40"/>
  <c r="U35" i="35"/>
  <c r="AB17" i="34"/>
  <c r="W47" i="34"/>
  <c r="U28" i="37"/>
  <c r="W31" i="40"/>
  <c r="AC31" i="40"/>
  <c r="U9" i="36"/>
  <c r="AA8" i="36"/>
  <c r="AC32" i="40"/>
  <c r="B95" i="43"/>
  <c r="C21" i="39"/>
  <c r="J12" i="35"/>
  <c r="H12" i="35"/>
  <c r="BL585" i="3"/>
  <c r="AC22" i="35"/>
  <c r="U40" i="40"/>
  <c r="F12" i="35"/>
  <c r="H26" i="37"/>
  <c r="H44" i="39"/>
  <c r="F44" i="39"/>
  <c r="J40" i="40"/>
  <c r="F40" i="40"/>
  <c r="W9" i="34"/>
  <c r="AA40" i="21"/>
  <c r="J23" i="36"/>
  <c r="H23" i="36"/>
  <c r="W39" i="33"/>
  <c r="J9" i="33"/>
  <c r="H9" i="33"/>
  <c r="AC40" i="39"/>
  <c r="W40" i="39"/>
  <c r="F38" i="40"/>
  <c r="J38" i="40"/>
  <c r="AZ418" i="3"/>
  <c r="AZ419" i="3"/>
  <c r="AZ468" i="3"/>
  <c r="AZ450" i="3"/>
  <c r="AZ460" i="3"/>
  <c r="AZ416" i="3"/>
  <c r="AZ444" i="3"/>
  <c r="AZ415" i="3"/>
  <c r="O8" i="1"/>
  <c r="P8" i="1"/>
  <c r="B80" i="43"/>
  <c r="AZ431" i="3"/>
  <c r="AZ452" i="3"/>
  <c r="AZ399" i="3"/>
  <c r="AZ405" i="3"/>
  <c r="AZ434" i="3"/>
  <c r="AZ474" i="3"/>
  <c r="AZ487" i="3"/>
  <c r="B77" i="43"/>
  <c r="AZ429" i="3"/>
  <c r="AZ472" i="3"/>
  <c r="BA550" i="3"/>
  <c r="AZ550" i="3" s="1"/>
  <c r="AZ427" i="3"/>
  <c r="AZ447" i="3"/>
  <c r="G445" i="3"/>
  <c r="G457" i="3"/>
  <c r="BA459" i="3"/>
  <c r="G470" i="3"/>
  <c r="G478" i="3"/>
  <c r="BA479" i="3"/>
  <c r="AZ479" i="3" s="1"/>
  <c r="BA332" i="3"/>
  <c r="AZ332" i="3" s="1"/>
  <c r="BL246" i="3"/>
  <c r="AZ246" i="3" s="1"/>
  <c r="BL255" i="3"/>
  <c r="AZ255" i="3" s="1"/>
  <c r="BL260" i="3"/>
  <c r="AZ260" i="3" s="1"/>
  <c r="BA285" i="3"/>
  <c r="AZ285" i="3" s="1"/>
  <c r="BA18" i="3"/>
  <c r="AZ48" i="3"/>
  <c r="BA413" i="3"/>
  <c r="AZ413" i="3" s="1"/>
  <c r="BL443" i="3"/>
  <c r="BL455" i="3"/>
  <c r="BL468" i="3"/>
  <c r="BL476" i="3"/>
  <c r="BA488" i="3"/>
  <c r="AZ488" i="3" s="1"/>
  <c r="BA319" i="3"/>
  <c r="AZ319" i="3" s="1"/>
  <c r="BA323" i="3"/>
  <c r="AZ323" i="3" s="1"/>
  <c r="BA358" i="3"/>
  <c r="AZ358" i="3" s="1"/>
  <c r="AZ219" i="3"/>
  <c r="BA265" i="3"/>
  <c r="AZ265" i="3" s="1"/>
  <c r="BA270" i="3"/>
  <c r="AZ270" i="3" s="1"/>
  <c r="BA443" i="3"/>
  <c r="AZ443" i="3" s="1"/>
  <c r="BL354" i="3"/>
  <c r="BL386" i="3"/>
  <c r="AZ386" i="3" s="1"/>
  <c r="AZ395" i="3"/>
  <c r="BL230" i="3"/>
  <c r="AZ236" i="3"/>
  <c r="BL240" i="3"/>
  <c r="BL245" i="3"/>
  <c r="BA250" i="3"/>
  <c r="AZ250" i="3" s="1"/>
  <c r="BA280" i="3"/>
  <c r="AZ280" i="3" s="1"/>
  <c r="BA184" i="3"/>
  <c r="AZ184" i="3" s="1"/>
  <c r="AZ54" i="3"/>
  <c r="AZ87" i="3"/>
  <c r="A15" i="62"/>
  <c r="B61" i="72" s="1"/>
  <c r="BL409" i="3"/>
  <c r="AZ409" i="3" s="1"/>
  <c r="BA455" i="3"/>
  <c r="AZ455" i="3" s="1"/>
  <c r="BL467" i="3"/>
  <c r="BA476" i="3"/>
  <c r="AZ476" i="3" s="1"/>
  <c r="BL484" i="3"/>
  <c r="BL317" i="3"/>
  <c r="BA354" i="3"/>
  <c r="BL224" i="3"/>
  <c r="AZ224" i="3" s="1"/>
  <c r="AZ226" i="3"/>
  <c r="BA230" i="3"/>
  <c r="AZ231" i="3"/>
  <c r="BA233" i="3"/>
  <c r="AZ233" i="3" s="1"/>
  <c r="BL235" i="3"/>
  <c r="BA240" i="3"/>
  <c r="AZ240" i="3" s="1"/>
  <c r="BA245" i="3"/>
  <c r="AZ245" i="3" s="1"/>
  <c r="BL275" i="3"/>
  <c r="AZ301" i="3"/>
  <c r="BA38" i="3"/>
  <c r="AZ52" i="3"/>
  <c r="AZ106" i="3"/>
  <c r="BA467" i="3"/>
  <c r="BA317" i="3"/>
  <c r="AZ317" i="3" s="1"/>
  <c r="BL353" i="3"/>
  <c r="BL367" i="3"/>
  <c r="BL397" i="3"/>
  <c r="BL221" i="3"/>
  <c r="BL225" i="3"/>
  <c r="BA235" i="3"/>
  <c r="BA249" i="3"/>
  <c r="AZ249" i="3" s="1"/>
  <c r="BA264" i="3"/>
  <c r="AZ264" i="3" s="1"/>
  <c r="BA275" i="3"/>
  <c r="AZ121" i="3"/>
  <c r="BA145" i="3"/>
  <c r="AZ145" i="3" s="1"/>
  <c r="BL69" i="3"/>
  <c r="AZ81" i="3"/>
  <c r="BL439" i="3"/>
  <c r="AZ439" i="3" s="1"/>
  <c r="BL451" i="3"/>
  <c r="G474" i="3"/>
  <c r="BA475" i="3"/>
  <c r="AZ475" i="3" s="1"/>
  <c r="BA484" i="3"/>
  <c r="AZ484" i="3" s="1"/>
  <c r="BA316" i="3"/>
  <c r="AZ316" i="3" s="1"/>
  <c r="BA353" i="3"/>
  <c r="BA374" i="3"/>
  <c r="AZ374" i="3" s="1"/>
  <c r="BA385" i="3"/>
  <c r="AZ385" i="3" s="1"/>
  <c r="BA388" i="3"/>
  <c r="AZ388" i="3" s="1"/>
  <c r="BL211" i="3"/>
  <c r="BL219" i="3"/>
  <c r="BA221" i="3"/>
  <c r="AZ221" i="3" s="1"/>
  <c r="BA223" i="3"/>
  <c r="AZ223" i="3" s="1"/>
  <c r="BA225" i="3"/>
  <c r="BA239" i="3"/>
  <c r="AZ239" i="3" s="1"/>
  <c r="BA244" i="3"/>
  <c r="AZ244" i="3" s="1"/>
  <c r="BA284" i="3"/>
  <c r="AZ284" i="3" s="1"/>
  <c r="BL113" i="3"/>
  <c r="BA181" i="3"/>
  <c r="AZ181" i="3" s="1"/>
  <c r="AZ49" i="3"/>
  <c r="BA303" i="3"/>
  <c r="AZ303" i="3" s="1"/>
  <c r="BA307" i="3"/>
  <c r="AZ307" i="3" s="1"/>
  <c r="BA352" i="3"/>
  <c r="AZ352" i="3" s="1"/>
  <c r="G432" i="3"/>
  <c r="BA451" i="3"/>
  <c r="AZ451" i="3" s="1"/>
  <c r="BA463" i="3"/>
  <c r="BL463" i="3"/>
  <c r="BL472" i="3"/>
  <c r="G482" i="3"/>
  <c r="BA483" i="3"/>
  <c r="AZ483" i="3" s="1"/>
  <c r="BA350" i="3"/>
  <c r="AZ350" i="3" s="1"/>
  <c r="BL359" i="3"/>
  <c r="AZ359" i="3" s="1"/>
  <c r="BL368" i="3"/>
  <c r="AZ368" i="3" s="1"/>
  <c r="BA397" i="3"/>
  <c r="BA211" i="3"/>
  <c r="AZ211" i="3" s="1"/>
  <c r="BA216" i="3"/>
  <c r="AZ216" i="3" s="1"/>
  <c r="BA220" i="3"/>
  <c r="AZ220" i="3" s="1"/>
  <c r="BL287" i="3"/>
  <c r="AZ287" i="3" s="1"/>
  <c r="BL292" i="3"/>
  <c r="AZ292" i="3" s="1"/>
  <c r="BL293" i="3"/>
  <c r="BL298" i="3"/>
  <c r="BL430" i="3"/>
  <c r="G449" i="3"/>
  <c r="BL480" i="3"/>
  <c r="BL492" i="3"/>
  <c r="BA335" i="3"/>
  <c r="AZ335" i="3" s="1"/>
  <c r="BA339" i="3"/>
  <c r="AZ339" i="3" s="1"/>
  <c r="AZ293" i="3"/>
  <c r="BA302" i="3"/>
  <c r="AZ302" i="3" s="1"/>
  <c r="AZ113" i="3"/>
  <c r="BL447" i="3"/>
  <c r="BL471" i="3"/>
  <c r="BA492" i="3"/>
  <c r="BA396" i="3"/>
  <c r="AZ396" i="3" s="1"/>
  <c r="BA286" i="3"/>
  <c r="BA141" i="3"/>
  <c r="AZ141" i="3" s="1"/>
  <c r="BA430" i="3"/>
  <c r="AZ430" i="3" s="1"/>
  <c r="BL459" i="3"/>
  <c r="BA471" i="3"/>
  <c r="AZ471" i="3" s="1"/>
  <c r="BA480" i="3"/>
  <c r="AZ480" i="3" s="1"/>
  <c r="G490" i="3"/>
  <c r="BL333" i="3"/>
  <c r="AZ333" i="3" s="1"/>
  <c r="BA367" i="3"/>
  <c r="BA392" i="3"/>
  <c r="AZ392" i="3" s="1"/>
  <c r="BA210" i="3"/>
  <c r="AZ210" i="3" s="1"/>
  <c r="BA215" i="3"/>
  <c r="AZ215" i="3" s="1"/>
  <c r="AZ228" i="3"/>
  <c r="BL251" i="3"/>
  <c r="AZ251" i="3" s="1"/>
  <c r="BL256" i="3"/>
  <c r="AZ256" i="3" s="1"/>
  <c r="BL261" i="3"/>
  <c r="AZ261" i="3" s="1"/>
  <c r="BL281" i="3"/>
  <c r="BA289" i="3"/>
  <c r="AZ289" i="3" s="1"/>
  <c r="BA291" i="3"/>
  <c r="AZ291" i="3" s="1"/>
  <c r="BA297" i="3"/>
  <c r="AZ297" i="3" s="1"/>
  <c r="BL297" i="3"/>
  <c r="AZ298" i="3"/>
  <c r="AZ169" i="3"/>
  <c r="AZ91" i="3"/>
  <c r="BL22" i="3"/>
  <c r="BA70" i="3"/>
  <c r="AZ70" i="3" s="1"/>
  <c r="BA76" i="3"/>
  <c r="AZ76" i="3" s="1"/>
  <c r="BL78" i="3"/>
  <c r="BL87" i="3"/>
  <c r="BL89" i="3"/>
  <c r="BL94" i="3"/>
  <c r="AZ94" i="3" s="1"/>
  <c r="BL105" i="3"/>
  <c r="BL110" i="3"/>
  <c r="F41" i="71"/>
  <c r="V41" i="71" s="1"/>
  <c r="G119" i="3"/>
  <c r="BA124" i="3"/>
  <c r="AZ124" i="3" s="1"/>
  <c r="BL133" i="3"/>
  <c r="G139" i="3"/>
  <c r="G154" i="3"/>
  <c r="BA21" i="3"/>
  <c r="AZ21" i="3" s="1"/>
  <c r="BA22" i="3"/>
  <c r="BA24" i="3"/>
  <c r="AZ24" i="3" s="1"/>
  <c r="BL25" i="3"/>
  <c r="AZ25" i="3" s="1"/>
  <c r="BL26" i="3"/>
  <c r="BA41" i="3"/>
  <c r="BA44" i="3"/>
  <c r="AZ44" i="3" s="1"/>
  <c r="BL46" i="3"/>
  <c r="BL51" i="3"/>
  <c r="BA78" i="3"/>
  <c r="BA79" i="3"/>
  <c r="AZ79" i="3" s="1"/>
  <c r="BL81" i="3"/>
  <c r="BL84" i="3"/>
  <c r="AZ84" i="3" s="1"/>
  <c r="BL85" i="3"/>
  <c r="AZ85" i="3" s="1"/>
  <c r="BA89" i="3"/>
  <c r="AZ89" i="3" s="1"/>
  <c r="BL91" i="3"/>
  <c r="BA92" i="3"/>
  <c r="AZ92" i="3" s="1"/>
  <c r="BL96" i="3"/>
  <c r="AZ96" i="3" s="1"/>
  <c r="BL101" i="3"/>
  <c r="AZ101" i="3" s="1"/>
  <c r="BA104" i="3"/>
  <c r="AZ104" i="3" s="1"/>
  <c r="BA105" i="3"/>
  <c r="AZ105" i="3" s="1"/>
  <c r="BA108" i="3"/>
  <c r="AZ108" i="3" s="1"/>
  <c r="BA109" i="3"/>
  <c r="AZ109" i="3" s="1"/>
  <c r="BA110" i="3"/>
  <c r="AZ110" i="3" s="1"/>
  <c r="BA112" i="3"/>
  <c r="AZ112" i="3" s="1"/>
  <c r="V81" i="71"/>
  <c r="F80" i="71"/>
  <c r="F79" i="71" s="1"/>
  <c r="BA300" i="3"/>
  <c r="AZ300" i="3" s="1"/>
  <c r="BA133" i="3"/>
  <c r="G147" i="3"/>
  <c r="BA29" i="3"/>
  <c r="AZ29" i="3" s="1"/>
  <c r="BL30" i="3"/>
  <c r="AZ30" i="3" s="1"/>
  <c r="BA47" i="3"/>
  <c r="AZ47" i="3" s="1"/>
  <c r="BL59" i="3"/>
  <c r="AZ59" i="3" s="1"/>
  <c r="BA98" i="3"/>
  <c r="AZ98" i="3" s="1"/>
  <c r="AZ99" i="3"/>
  <c r="AZ103" i="3"/>
  <c r="AA18" i="36"/>
  <c r="S18" i="36"/>
  <c r="U77" i="71"/>
  <c r="C76" i="71"/>
  <c r="D76" i="71" s="1"/>
  <c r="D77" i="71"/>
  <c r="BA130" i="3"/>
  <c r="AZ130" i="3" s="1"/>
  <c r="F49" i="71"/>
  <c r="V49" i="71" s="1"/>
  <c r="F76" i="71"/>
  <c r="F75" i="71" s="1"/>
  <c r="V77" i="71"/>
  <c r="R35" i="77"/>
  <c r="U34" i="77" s="1"/>
  <c r="BA295" i="3"/>
  <c r="AZ295" i="3" s="1"/>
  <c r="BL153" i="3"/>
  <c r="AZ153" i="3" s="1"/>
  <c r="BL154" i="3"/>
  <c r="AZ154" i="3" s="1"/>
  <c r="BA26" i="3"/>
  <c r="AZ26" i="3" s="1"/>
  <c r="BA32" i="3"/>
  <c r="AZ32" i="3" s="1"/>
  <c r="BA33" i="3"/>
  <c r="AZ33" i="3" s="1"/>
  <c r="BA46" i="3"/>
  <c r="BA51" i="3"/>
  <c r="BA58" i="3"/>
  <c r="AZ58" i="3" s="1"/>
  <c r="BA60" i="3"/>
  <c r="AZ60" i="3" s="1"/>
  <c r="BL61" i="3"/>
  <c r="AZ61" i="3" s="1"/>
  <c r="BA62" i="3"/>
  <c r="AZ62" i="3" s="1"/>
  <c r="BA138" i="3"/>
  <c r="AZ138" i="3" s="1"/>
  <c r="BA140" i="3"/>
  <c r="AZ140" i="3" s="1"/>
  <c r="BL147" i="3"/>
  <c r="AZ147" i="3" s="1"/>
  <c r="BL165" i="3"/>
  <c r="BL175" i="3"/>
  <c r="AZ175" i="3" s="1"/>
  <c r="BL182" i="3"/>
  <c r="BL65" i="3"/>
  <c r="BL291" i="3"/>
  <c r="BA149" i="3"/>
  <c r="AZ149" i="3" s="1"/>
  <c r="BA150" i="3"/>
  <c r="AZ150" i="3" s="1"/>
  <c r="BA152" i="3"/>
  <c r="AZ152" i="3" s="1"/>
  <c r="BA157" i="3"/>
  <c r="AZ157" i="3" s="1"/>
  <c r="BA161" i="3"/>
  <c r="AZ161" i="3" s="1"/>
  <c r="BL163" i="3"/>
  <c r="AZ163" i="3" s="1"/>
  <c r="BL166" i="3"/>
  <c r="BA178" i="3"/>
  <c r="AZ178" i="3" s="1"/>
  <c r="BA31" i="3"/>
  <c r="AZ31" i="3" s="1"/>
  <c r="BA34" i="3"/>
  <c r="AZ34" i="3" s="1"/>
  <c r="BL36" i="3"/>
  <c r="BA63" i="3"/>
  <c r="AZ63" i="3" s="1"/>
  <c r="BA64" i="3"/>
  <c r="AZ64" i="3" s="1"/>
  <c r="BL66" i="3"/>
  <c r="BL286" i="3"/>
  <c r="BA146" i="3"/>
  <c r="AZ146" i="3" s="1"/>
  <c r="BA148" i="3"/>
  <c r="AZ148" i="3" s="1"/>
  <c r="BA156" i="3"/>
  <c r="AZ156" i="3" s="1"/>
  <c r="BA162" i="3"/>
  <c r="AZ162" i="3" s="1"/>
  <c r="BA166" i="3"/>
  <c r="BL170" i="3"/>
  <c r="AZ170" i="3" s="1"/>
  <c r="BA176" i="3"/>
  <c r="AZ176" i="3" s="1"/>
  <c r="BL183" i="3"/>
  <c r="AZ183" i="3" s="1"/>
  <c r="BA185" i="3"/>
  <c r="AZ185" i="3" s="1"/>
  <c r="BL201" i="3"/>
  <c r="BA35" i="3"/>
  <c r="AZ35" i="3" s="1"/>
  <c r="BL37" i="3"/>
  <c r="BL38" i="3"/>
  <c r="BA66" i="3"/>
  <c r="BL68" i="3"/>
  <c r="U69" i="71"/>
  <c r="P69" i="71"/>
  <c r="C68" i="71"/>
  <c r="BA281" i="3"/>
  <c r="BA173" i="3"/>
  <c r="AZ173" i="3" s="1"/>
  <c r="BA174" i="3"/>
  <c r="BL174" i="3"/>
  <c r="BL191" i="3"/>
  <c r="AZ191" i="3" s="1"/>
  <c r="BL193" i="3"/>
  <c r="AZ193" i="3" s="1"/>
  <c r="BL194" i="3"/>
  <c r="AZ194" i="3" s="1"/>
  <c r="BL197" i="3"/>
  <c r="AZ197" i="3" s="1"/>
  <c r="BL198" i="3"/>
  <c r="AZ198" i="3" s="1"/>
  <c r="BL203" i="3"/>
  <c r="BA37" i="3"/>
  <c r="BA39" i="3"/>
  <c r="AZ39" i="3" s="1"/>
  <c r="BL40" i="3"/>
  <c r="BL41" i="3"/>
  <c r="BA68" i="3"/>
  <c r="BA69" i="3"/>
  <c r="AZ69" i="3" s="1"/>
  <c r="BL71" i="3"/>
  <c r="V69" i="71"/>
  <c r="F68" i="71"/>
  <c r="Q69" i="71"/>
  <c r="Q37" i="43"/>
  <c r="O37" i="43"/>
  <c r="M37" i="43"/>
  <c r="P37" i="43"/>
  <c r="N37" i="43"/>
  <c r="BA276" i="3"/>
  <c r="AZ276" i="3" s="1"/>
  <c r="BA165" i="3"/>
  <c r="AZ165" i="3" s="1"/>
  <c r="BA172" i="3"/>
  <c r="AZ172" i="3" s="1"/>
  <c r="BA182" i="3"/>
  <c r="AZ182" i="3" s="1"/>
  <c r="BA189" i="3"/>
  <c r="AZ189" i="3" s="1"/>
  <c r="BA201" i="3"/>
  <c r="AZ201" i="3" s="1"/>
  <c r="BA204" i="3"/>
  <c r="AZ204" i="3" s="1"/>
  <c r="BL207" i="3"/>
  <c r="AZ40" i="3"/>
  <c r="BL42" i="3"/>
  <c r="BA65" i="3"/>
  <c r="AZ65" i="3" s="1"/>
  <c r="BA71" i="3"/>
  <c r="BL73" i="3"/>
  <c r="BL111" i="3"/>
  <c r="AZ111" i="3" s="1"/>
  <c r="AA21" i="33"/>
  <c r="S21" i="33"/>
  <c r="G67" i="71"/>
  <c r="R68" i="71"/>
  <c r="G274" i="3"/>
  <c r="BL125" i="3"/>
  <c r="AZ125" i="3" s="1"/>
  <c r="G131" i="3"/>
  <c r="BA164" i="3"/>
  <c r="AZ164" i="3" s="1"/>
  <c r="BA188" i="3"/>
  <c r="AZ188" i="3" s="1"/>
  <c r="BA190" i="3"/>
  <c r="AZ190" i="3" s="1"/>
  <c r="BA192" i="3"/>
  <c r="AZ192" i="3" s="1"/>
  <c r="BA200" i="3"/>
  <c r="AZ200" i="3" s="1"/>
  <c r="BA206" i="3"/>
  <c r="AZ206" i="3" s="1"/>
  <c r="BA207" i="3"/>
  <c r="BA36" i="3"/>
  <c r="AZ36" i="3" s="1"/>
  <c r="BA42" i="3"/>
  <c r="AZ42" i="3" s="1"/>
  <c r="BA43" i="3"/>
  <c r="AZ43" i="3" s="1"/>
  <c r="BA73" i="3"/>
  <c r="AZ73" i="3" s="1"/>
  <c r="BA74" i="3"/>
  <c r="AZ74" i="3" s="1"/>
  <c r="BL76" i="3"/>
  <c r="P27" i="6"/>
  <c r="T81" i="71"/>
  <c r="B80" i="71"/>
  <c r="B79" i="71" s="1"/>
  <c r="R25" i="77"/>
  <c r="R5" i="77"/>
  <c r="U5" i="77" s="1"/>
  <c r="S21" i="34"/>
  <c r="B49" i="71"/>
  <c r="T49" i="71" s="1"/>
  <c r="W69" i="71"/>
  <c r="R41" i="77"/>
  <c r="B41" i="71"/>
  <c r="T41" i="71" s="1"/>
  <c r="C84" i="71"/>
  <c r="B64" i="71"/>
  <c r="B65" i="71" s="1"/>
  <c r="T65" i="71" s="1"/>
  <c r="C32" i="77"/>
  <c r="C38" i="77" s="1"/>
  <c r="C39" i="77" s="1"/>
  <c r="D24" i="67"/>
  <c r="U21" i="34"/>
  <c r="G49" i="71"/>
  <c r="W49" i="71" s="1"/>
  <c r="F65" i="71"/>
  <c r="V65" i="71" s="1"/>
  <c r="G80" i="71"/>
  <c r="G79" i="71" s="1"/>
  <c r="D23" i="77"/>
  <c r="C5" i="68"/>
  <c r="B69" i="43"/>
  <c r="F32" i="71"/>
  <c r="F33" i="71" s="1"/>
  <c r="V33" i="71" s="1"/>
  <c r="G56" i="71"/>
  <c r="G57" i="71" s="1"/>
  <c r="W57" i="71" s="1"/>
  <c r="G64" i="71"/>
  <c r="G65" i="71" s="1"/>
  <c r="W65" i="71" s="1"/>
  <c r="U21" i="21"/>
  <c r="S21" i="37"/>
  <c r="G32" i="71"/>
  <c r="G33" i="71" s="1"/>
  <c r="W33" i="71" s="1"/>
  <c r="B44" i="71"/>
  <c r="B45" i="71" s="1"/>
  <c r="T45" i="71" s="1"/>
  <c r="B60" i="71"/>
  <c r="B61" i="71" s="1"/>
  <c r="T61" i="71" s="1"/>
  <c r="C79" i="71"/>
  <c r="D79" i="71" s="1"/>
  <c r="B52" i="71"/>
  <c r="B53" i="71" s="1"/>
  <c r="T53" i="71" s="1"/>
  <c r="AC6" i="71"/>
  <c r="AC5" i="71"/>
  <c r="AC7" i="71"/>
  <c r="AD6" i="71"/>
  <c r="AD7" i="71"/>
  <c r="AD5" i="71"/>
  <c r="Y6" i="71"/>
  <c r="AB6" i="71" s="1"/>
  <c r="Y7" i="71"/>
  <c r="AB7" i="71" s="1"/>
  <c r="Y5" i="71"/>
  <c r="AB5" i="71" s="1"/>
  <c r="Z5" i="71"/>
  <c r="AA5" i="71" s="1"/>
  <c r="Z6" i="71"/>
  <c r="AA6" i="71" s="1"/>
  <c r="Z7" i="71"/>
  <c r="AA7" i="71" s="1"/>
  <c r="D63" i="40"/>
  <c r="C65" i="40"/>
  <c r="G16" i="1"/>
  <c r="J10" i="39" s="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C70" i="39"/>
  <c r="D68" i="39"/>
  <c r="G58" i="33"/>
  <c r="H58" i="33" s="1"/>
  <c r="I58" i="33" s="1"/>
  <c r="J58" i="33" s="1"/>
  <c r="K58" i="33" s="1"/>
  <c r="L58" i="33" s="1"/>
  <c r="M58" i="33" s="1"/>
  <c r="N58" i="33" s="1"/>
  <c r="O58" i="33" s="1"/>
  <c r="J7" i="33"/>
  <c r="E52" i="37"/>
  <c r="E46" i="36"/>
  <c r="F46" i="36" s="1"/>
  <c r="G46" i="36" s="1"/>
  <c r="H46" i="36" s="1"/>
  <c r="I46" i="36" s="1"/>
  <c r="J46" i="36" s="1"/>
  <c r="K46" i="36" s="1"/>
  <c r="L46" i="36" s="1"/>
  <c r="M46" i="36" s="1"/>
  <c r="N46" i="36" s="1"/>
  <c r="O46" i="36" s="1"/>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C29" i="12"/>
  <c r="D28" i="12"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29" i="68"/>
  <c r="D27" i="68" s="1"/>
  <c r="C29" i="69"/>
  <c r="D27" i="69" s="1"/>
  <c r="C47" i="69"/>
  <c r="D45" i="69" s="1"/>
  <c r="C47" i="68"/>
  <c r="D45" i="68" s="1"/>
  <c r="R16" i="1"/>
  <c r="M7" i="67"/>
  <c r="M17" i="67" s="1"/>
  <c r="F50" i="67"/>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D7" i="73"/>
  <c r="D4" i="73"/>
  <c r="C16" i="15"/>
  <c r="C16" i="67"/>
  <c r="C17" i="67"/>
  <c r="C14" i="15"/>
  <c r="C14" i="67"/>
  <c r="G1" i="73"/>
  <c r="H10" i="40" l="1"/>
  <c r="H10" i="39"/>
  <c r="J10" i="40"/>
  <c r="AC10" i="40" s="1"/>
  <c r="F10" i="40"/>
  <c r="AA10" i="40" s="1"/>
  <c r="F10" i="39"/>
  <c r="AA10" i="39" s="1"/>
  <c r="C23" i="43"/>
  <c r="C18" i="15"/>
  <c r="C15" i="15"/>
  <c r="Q68" i="71"/>
  <c r="F67" i="71"/>
  <c r="AB44" i="39"/>
  <c r="U44" i="39"/>
  <c r="AC26" i="37"/>
  <c r="W26" i="37"/>
  <c r="D26" i="77"/>
  <c r="D38" i="77"/>
  <c r="D39" i="77" s="1"/>
  <c r="D32" i="77"/>
  <c r="D29" i="77"/>
  <c r="E23" i="77"/>
  <c r="AZ78" i="3"/>
  <c r="BL5" i="3"/>
  <c r="AB26" i="37"/>
  <c r="U26" i="37"/>
  <c r="AZ207" i="3"/>
  <c r="AB9" i="33"/>
  <c r="U9" i="33"/>
  <c r="S12" i="35"/>
  <c r="AA12" i="35"/>
  <c r="F30" i="6"/>
  <c r="E28" i="6"/>
  <c r="AZ397" i="3"/>
  <c r="AC9" i="33"/>
  <c r="W9" i="33"/>
  <c r="AZ68" i="3"/>
  <c r="AZ174" i="3"/>
  <c r="AZ51" i="3"/>
  <c r="AZ286" i="3"/>
  <c r="AZ467" i="3"/>
  <c r="AZ230" i="3"/>
  <c r="AC40" i="40"/>
  <c r="W40" i="40"/>
  <c r="P26" i="43"/>
  <c r="F7" i="36"/>
  <c r="AA7" i="36" s="1"/>
  <c r="R36" i="36" s="1"/>
  <c r="AZ46" i="3"/>
  <c r="AZ41" i="3"/>
  <c r="AB23" i="36"/>
  <c r="U23" i="36"/>
  <c r="P28" i="43"/>
  <c r="B66" i="40" s="1"/>
  <c r="H7" i="36"/>
  <c r="U7" i="36" s="1"/>
  <c r="AZ71" i="3"/>
  <c r="AZ281" i="3"/>
  <c r="AZ133" i="3"/>
  <c r="AZ492" i="3"/>
  <c r="AZ275" i="3"/>
  <c r="AZ459" i="3"/>
  <c r="AC23" i="36"/>
  <c r="W23" i="36"/>
  <c r="F31" i="6"/>
  <c r="E59" i="40"/>
  <c r="E64" i="39"/>
  <c r="G5" i="3"/>
  <c r="B3" i="3" s="1"/>
  <c r="E139" i="3" s="1"/>
  <c r="AC38" i="40"/>
  <c r="W38" i="40"/>
  <c r="C67" i="71"/>
  <c r="P68" i="71"/>
  <c r="D68" i="71"/>
  <c r="AZ367" i="3"/>
  <c r="AZ353" i="3"/>
  <c r="AZ38" i="3"/>
  <c r="AZ354" i="3"/>
  <c r="E457" i="3"/>
  <c r="U12" i="35"/>
  <c r="AB12" i="35"/>
  <c r="E62" i="39"/>
  <c r="E57" i="40"/>
  <c r="J7" i="36"/>
  <c r="W7" i="36" s="1"/>
  <c r="J7" i="34"/>
  <c r="AC7" i="34" s="1"/>
  <c r="V49" i="34" s="1"/>
  <c r="I49" i="34" s="1"/>
  <c r="AZ37" i="3"/>
  <c r="AZ166" i="3"/>
  <c r="W12" i="35"/>
  <c r="AC12" i="35"/>
  <c r="E61" i="39"/>
  <c r="E16" i="6"/>
  <c r="E56" i="40"/>
  <c r="H7" i="34"/>
  <c r="AB7" i="34" s="1"/>
  <c r="T49" i="34" s="1"/>
  <c r="G49" i="34" s="1"/>
  <c r="C83" i="71"/>
  <c r="D83" i="71" s="1"/>
  <c r="D84" i="71"/>
  <c r="AZ22" i="3"/>
  <c r="AZ235" i="3"/>
  <c r="AZ18" i="3"/>
  <c r="BA5" i="3"/>
  <c r="E27" i="6" s="1"/>
  <c r="S40" i="40"/>
  <c r="AA40" i="40"/>
  <c r="AZ66" i="3"/>
  <c r="E154" i="3"/>
  <c r="AZ463" i="3"/>
  <c r="AZ225" i="3"/>
  <c r="S38" i="40"/>
  <c r="AA38" i="40"/>
  <c r="AA44" i="39"/>
  <c r="S44" i="39"/>
  <c r="AA26" i="37"/>
  <c r="S26" i="37"/>
  <c r="C49" i="67"/>
  <c r="F7" i="33"/>
  <c r="AA7" i="33" s="1"/>
  <c r="R48" i="33" s="1"/>
  <c r="D65" i="40"/>
  <c r="E63" i="40"/>
  <c r="S7" i="36"/>
  <c r="F52" i="37"/>
  <c r="H7" i="33"/>
  <c r="W10" i="40"/>
  <c r="W10" i="39"/>
  <c r="AC10" i="39"/>
  <c r="W7" i="35"/>
  <c r="AC7" i="35"/>
  <c r="V38" i="35" s="1"/>
  <c r="I38" i="35" s="1"/>
  <c r="F7" i="35"/>
  <c r="AC7" i="21"/>
  <c r="V48" i="21" s="1"/>
  <c r="I48" i="21" s="1"/>
  <c r="W7" i="21"/>
  <c r="U7" i="21"/>
  <c r="AB7" i="21"/>
  <c r="T48" i="21" s="1"/>
  <c r="G48" i="21" s="1"/>
  <c r="AC7" i="33"/>
  <c r="V48" i="33" s="1"/>
  <c r="I48" i="33" s="1"/>
  <c r="W7" i="33"/>
  <c r="U10" i="39"/>
  <c r="AB10" i="39"/>
  <c r="U10" i="40"/>
  <c r="AB10" i="40"/>
  <c r="D70" i="39"/>
  <c r="E68" i="39"/>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S10" i="40" l="1"/>
  <c r="S10" i="39"/>
  <c r="C19" i="15"/>
  <c r="C20" i="15" s="1"/>
  <c r="C37" i="43"/>
  <c r="AB7" i="36"/>
  <c r="T36" i="36" s="1"/>
  <c r="G36" i="36" s="1"/>
  <c r="G41" i="36" s="1"/>
  <c r="H41" i="36" s="1"/>
  <c r="C38" i="43"/>
  <c r="C39" i="43"/>
  <c r="E39" i="43" s="1"/>
  <c r="E445" i="3"/>
  <c r="E474" i="3"/>
  <c r="E482" i="3"/>
  <c r="E470" i="3"/>
  <c r="E131" i="3"/>
  <c r="E147" i="3"/>
  <c r="P66" i="71"/>
  <c r="P67" i="71"/>
  <c r="D67" i="71"/>
  <c r="E274" i="3"/>
  <c r="E432" i="3"/>
  <c r="S7" i="33"/>
  <c r="E119" i="3"/>
  <c r="E66" i="39"/>
  <c r="E304" i="3"/>
  <c r="E183" i="3"/>
  <c r="E17" i="3"/>
  <c r="E69" i="3"/>
  <c r="E415" i="3"/>
  <c r="E172" i="3"/>
  <c r="E550" i="3"/>
  <c r="AA6" i="3"/>
  <c r="E336" i="3"/>
  <c r="E124" i="3"/>
  <c r="E390" i="3"/>
  <c r="AR6" i="3"/>
  <c r="E506" i="3"/>
  <c r="E439" i="3"/>
  <c r="E216" i="3"/>
  <c r="E61" i="3"/>
  <c r="E526" i="3"/>
  <c r="E282" i="3"/>
  <c r="AJ6" i="3"/>
  <c r="E388" i="3"/>
  <c r="E574" i="3"/>
  <c r="E97" i="3"/>
  <c r="E385" i="3"/>
  <c r="AN6" i="3"/>
  <c r="E578" i="3"/>
  <c r="E263" i="3"/>
  <c r="E159" i="3"/>
  <c r="E188" i="3"/>
  <c r="E157" i="3"/>
  <c r="E85" i="3"/>
  <c r="E197" i="3"/>
  <c r="E105" i="3"/>
  <c r="E576" i="3"/>
  <c r="U6" i="3"/>
  <c r="AO6" i="3"/>
  <c r="P6" i="3"/>
  <c r="E345" i="3"/>
  <c r="E505" i="3"/>
  <c r="E581" i="3"/>
  <c r="E403" i="3"/>
  <c r="E489" i="3"/>
  <c r="E447" i="3"/>
  <c r="E88" i="3"/>
  <c r="E92" i="3"/>
  <c r="E182" i="3"/>
  <c r="E186" i="3"/>
  <c r="E295" i="3"/>
  <c r="E291" i="3"/>
  <c r="E384" i="3"/>
  <c r="E30" i="3"/>
  <c r="E29" i="3"/>
  <c r="E484" i="3"/>
  <c r="E64" i="3"/>
  <c r="E160" i="3"/>
  <c r="E267" i="3"/>
  <c r="E23" i="3"/>
  <c r="E33" i="3"/>
  <c r="E233" i="3"/>
  <c r="E68" i="3"/>
  <c r="E118" i="3"/>
  <c r="E309" i="3"/>
  <c r="E114" i="3"/>
  <c r="E563" i="3"/>
  <c r="E260" i="3"/>
  <c r="E535" i="3"/>
  <c r="E175" i="3"/>
  <c r="E501" i="3"/>
  <c r="E305" i="3"/>
  <c r="E261" i="3"/>
  <c r="E565" i="3"/>
  <c r="E361" i="3"/>
  <c r="E302" i="3"/>
  <c r="E539" i="3"/>
  <c r="E510" i="3"/>
  <c r="E227" i="3"/>
  <c r="E128" i="3"/>
  <c r="E514" i="3"/>
  <c r="E551" i="3"/>
  <c r="AB6" i="3"/>
  <c r="E215" i="3"/>
  <c r="E130" i="3"/>
  <c r="E91" i="3"/>
  <c r="E252" i="3"/>
  <c r="E145" i="3"/>
  <c r="E313" i="3"/>
  <c r="K6" i="3"/>
  <c r="E573" i="3"/>
  <c r="E437" i="3"/>
  <c r="E406" i="3"/>
  <c r="E344" i="3"/>
  <c r="W6" i="3"/>
  <c r="E577" i="3"/>
  <c r="E450" i="3"/>
  <c r="E496" i="3"/>
  <c r="E475" i="3"/>
  <c r="E106" i="3"/>
  <c r="E111" i="3"/>
  <c r="E203" i="3"/>
  <c r="E208" i="3"/>
  <c r="E214" i="3"/>
  <c r="E351" i="3"/>
  <c r="E217" i="3"/>
  <c r="E322" i="3"/>
  <c r="E319" i="3"/>
  <c r="E426" i="3"/>
  <c r="E567" i="3"/>
  <c r="E285" i="3"/>
  <c r="E358" i="3"/>
  <c r="AI6" i="3"/>
  <c r="E407" i="3"/>
  <c r="E294" i="3"/>
  <c r="E191" i="3"/>
  <c r="E221" i="3"/>
  <c r="E207" i="3"/>
  <c r="E177" i="3"/>
  <c r="E369" i="3"/>
  <c r="E532" i="3"/>
  <c r="E543" i="3"/>
  <c r="E472" i="3"/>
  <c r="E398" i="3"/>
  <c r="E451" i="3"/>
  <c r="E562" i="3"/>
  <c r="J6" i="3"/>
  <c r="E429" i="3"/>
  <c r="E520" i="3"/>
  <c r="E26" i="3"/>
  <c r="E54" i="3"/>
  <c r="E178" i="3"/>
  <c r="E171" i="3"/>
  <c r="E297" i="3"/>
  <c r="E332" i="3"/>
  <c r="E349" i="3"/>
  <c r="E580" i="3"/>
  <c r="E109" i="3"/>
  <c r="E428" i="3"/>
  <c r="E47" i="3"/>
  <c r="E170" i="3"/>
  <c r="E275" i="3"/>
  <c r="E386" i="3"/>
  <c r="E52" i="3"/>
  <c r="E144" i="3"/>
  <c r="E370" i="3"/>
  <c r="E19" i="3"/>
  <c r="E265" i="3"/>
  <c r="E21" i="3"/>
  <c r="E530" i="3"/>
  <c r="E508" i="3"/>
  <c r="E239" i="3"/>
  <c r="E569" i="3"/>
  <c r="E229" i="3"/>
  <c r="E568" i="3"/>
  <c r="E536" i="3"/>
  <c r="E453" i="3"/>
  <c r="E244" i="3"/>
  <c r="E156" i="3"/>
  <c r="E161" i="3"/>
  <c r="E45" i="3"/>
  <c r="E199" i="3"/>
  <c r="E330" i="3"/>
  <c r="E534" i="3"/>
  <c r="E529" i="3"/>
  <c r="E466" i="3"/>
  <c r="E422" i="3"/>
  <c r="E465" i="3"/>
  <c r="E556" i="3"/>
  <c r="E571" i="3"/>
  <c r="E435" i="3"/>
  <c r="E401" i="3"/>
  <c r="E55" i="3"/>
  <c r="E41" i="3"/>
  <c r="E168" i="3"/>
  <c r="E192" i="3"/>
  <c r="E226" i="3"/>
  <c r="E315" i="3"/>
  <c r="E334" i="3"/>
  <c r="L6" i="3"/>
  <c r="E110" i="3"/>
  <c r="E473" i="3"/>
  <c r="E96" i="3"/>
  <c r="E195" i="3"/>
  <c r="E219" i="3"/>
  <c r="E310" i="3"/>
  <c r="E86" i="3"/>
  <c r="E127" i="3"/>
  <c r="E364" i="3"/>
  <c r="E81" i="3"/>
  <c r="E308" i="3"/>
  <c r="E268" i="3"/>
  <c r="E343" i="3"/>
  <c r="E579" i="3"/>
  <c r="E205" i="3"/>
  <c r="E518" i="3"/>
  <c r="E402" i="3"/>
  <c r="E296" i="3"/>
  <c r="E134" i="3"/>
  <c r="E117" i="3"/>
  <c r="E224" i="3"/>
  <c r="E327" i="3"/>
  <c r="E542" i="3"/>
  <c r="E411" i="3"/>
  <c r="E548" i="3"/>
  <c r="E440" i="3"/>
  <c r="I3" i="6"/>
  <c r="E13" i="3"/>
  <c r="E460" i="3"/>
  <c r="E436" i="3"/>
  <c r="E27" i="3"/>
  <c r="E162" i="3"/>
  <c r="E211" i="3"/>
  <c r="E273" i="3"/>
  <c r="E391" i="3"/>
  <c r="E572" i="3"/>
  <c r="E93" i="3"/>
  <c r="E46" i="3"/>
  <c r="E194" i="3"/>
  <c r="E307" i="3"/>
  <c r="E66" i="3"/>
  <c r="Y6" i="3"/>
  <c r="E179" i="3"/>
  <c r="E22" i="3"/>
  <c r="E53" i="3"/>
  <c r="E503" i="3"/>
  <c r="E366" i="3"/>
  <c r="E528" i="3"/>
  <c r="E516" i="3"/>
  <c r="E280" i="3"/>
  <c r="S6" i="3"/>
  <c r="V6" i="3"/>
  <c r="E368" i="3"/>
  <c r="E169" i="3"/>
  <c r="E181" i="3"/>
  <c r="E271" i="3"/>
  <c r="E107" i="3"/>
  <c r="E493" i="3"/>
  <c r="E502" i="3"/>
  <c r="E469" i="3"/>
  <c r="E408" i="3"/>
  <c r="E374" i="3"/>
  <c r="AE6" i="3"/>
  <c r="E419" i="3"/>
  <c r="E433" i="3"/>
  <c r="E72" i="3"/>
  <c r="E115" i="3"/>
  <c r="E210" i="3"/>
  <c r="E346" i="3"/>
  <c r="E372" i="3"/>
  <c r="E44" i="3"/>
  <c r="E409" i="3"/>
  <c r="E79" i="3"/>
  <c r="E142" i="3"/>
  <c r="E299" i="3"/>
  <c r="E584" i="3"/>
  <c r="E87" i="3"/>
  <c r="E341" i="3"/>
  <c r="E373" i="3"/>
  <c r="E278" i="3"/>
  <c r="E399" i="3"/>
  <c r="E151" i="3"/>
  <c r="E533" i="3"/>
  <c r="E538" i="3"/>
  <c r="E231" i="3"/>
  <c r="E254" i="3"/>
  <c r="E212" i="3"/>
  <c r="Q6" i="3"/>
  <c r="E458" i="3"/>
  <c r="E414" i="3"/>
  <c r="E288" i="3"/>
  <c r="E547" i="3"/>
  <c r="E468" i="3"/>
  <c r="E479" i="3"/>
  <c r="E73" i="3"/>
  <c r="E150" i="3"/>
  <c r="E241" i="3"/>
  <c r="E378" i="3"/>
  <c r="AM6" i="3"/>
  <c r="E75" i="3"/>
  <c r="E467" i="3"/>
  <c r="E174" i="3"/>
  <c r="E339" i="3"/>
  <c r="E36" i="3"/>
  <c r="E251" i="3"/>
  <c r="E62" i="3"/>
  <c r="E524" i="3"/>
  <c r="E553" i="3"/>
  <c r="E431" i="3"/>
  <c r="E495" i="3"/>
  <c r="E549" i="3"/>
  <c r="E301" i="3"/>
  <c r="E135" i="3"/>
  <c r="E277" i="3"/>
  <c r="E286" i="3"/>
  <c r="E564" i="3"/>
  <c r="E448" i="3"/>
  <c r="E430" i="3"/>
  <c r="E360" i="3"/>
  <c r="E554" i="3"/>
  <c r="E476" i="3"/>
  <c r="E28" i="3"/>
  <c r="E108" i="3"/>
  <c r="E166" i="3"/>
  <c r="E257" i="3"/>
  <c r="E394" i="3"/>
  <c r="E544" i="3"/>
  <c r="E480" i="3"/>
  <c r="E18" i="3"/>
  <c r="E163" i="3"/>
  <c r="E383" i="3"/>
  <c r="E67" i="3"/>
  <c r="E284" i="3"/>
  <c r="E113" i="3"/>
  <c r="E513" i="3"/>
  <c r="E395" i="3"/>
  <c r="E153" i="3"/>
  <c r="E329" i="3"/>
  <c r="E359" i="3"/>
  <c r="E559" i="3"/>
  <c r="E434" i="3"/>
  <c r="E262" i="3"/>
  <c r="E228" i="3"/>
  <c r="E253" i="3"/>
  <c r="E379" i="3"/>
  <c r="AG6" i="3"/>
  <c r="E464" i="3"/>
  <c r="E400" i="3"/>
  <c r="E376" i="3"/>
  <c r="AS6" i="3"/>
  <c r="E491" i="3"/>
  <c r="E71" i="3"/>
  <c r="E121" i="3"/>
  <c r="E202" i="3"/>
  <c r="E259" i="3"/>
  <c r="E333" i="3"/>
  <c r="E42" i="3"/>
  <c r="E540" i="3"/>
  <c r="E38" i="3"/>
  <c r="E220" i="3"/>
  <c r="E342" i="3"/>
  <c r="E48" i="3"/>
  <c r="E355" i="3"/>
  <c r="E158" i="3"/>
  <c r="E101" i="3"/>
  <c r="E213" i="3"/>
  <c r="E347" i="3"/>
  <c r="E396" i="3"/>
  <c r="I6" i="3"/>
  <c r="H6" i="3" s="1"/>
  <c r="E6" i="3" s="1"/>
  <c r="E423" i="3"/>
  <c r="E230" i="3"/>
  <c r="E290" i="3"/>
  <c r="E204" i="3"/>
  <c r="E393" i="3"/>
  <c r="T6" i="3"/>
  <c r="E486" i="3"/>
  <c r="E416" i="3"/>
  <c r="E558" i="3"/>
  <c r="E498" i="3"/>
  <c r="E471" i="3"/>
  <c r="E40" i="3"/>
  <c r="E225" i="3"/>
  <c r="E318" i="3"/>
  <c r="E58" i="3"/>
  <c r="E441" i="3"/>
  <c r="E78" i="3"/>
  <c r="E248" i="3"/>
  <c r="E354" i="3"/>
  <c r="E112" i="3"/>
  <c r="E381" i="3"/>
  <c r="E218" i="3"/>
  <c r="E83" i="3"/>
  <c r="E509" i="3"/>
  <c r="E352" i="3"/>
  <c r="E570" i="3"/>
  <c r="E387" i="3"/>
  <c r="E245" i="3"/>
  <c r="E269" i="3"/>
  <c r="E167" i="3"/>
  <c r="E575" i="3"/>
  <c r="E552" i="3"/>
  <c r="E485" i="3"/>
  <c r="E424" i="3"/>
  <c r="E566" i="3"/>
  <c r="E517" i="3"/>
  <c r="E56" i="3"/>
  <c r="E146" i="3"/>
  <c r="E240" i="3"/>
  <c r="E276" i="3"/>
  <c r="E356" i="3"/>
  <c r="E74" i="3"/>
  <c r="E462" i="3"/>
  <c r="E65" i="3"/>
  <c r="E234" i="3"/>
  <c r="E392" i="3"/>
  <c r="E49" i="3"/>
  <c r="AF6" i="3"/>
  <c r="E264" i="3"/>
  <c r="E519" i="3"/>
  <c r="E587" i="3"/>
  <c r="E546" i="3"/>
  <c r="E152" i="3"/>
  <c r="E256" i="3"/>
  <c r="E375" i="3"/>
  <c r="E521" i="3"/>
  <c r="E100" i="3"/>
  <c r="E492" i="3"/>
  <c r="E50" i="3"/>
  <c r="E287" i="3"/>
  <c r="N6" i="3"/>
  <c r="O6" i="3"/>
  <c r="E247" i="3"/>
  <c r="E523" i="3"/>
  <c r="E338" i="3"/>
  <c r="E196" i="3"/>
  <c r="E122" i="3"/>
  <c r="E116" i="3"/>
  <c r="E560" i="3"/>
  <c r="E487" i="3"/>
  <c r="E537" i="3"/>
  <c r="E104" i="3"/>
  <c r="E292" i="3"/>
  <c r="E60" i="3"/>
  <c r="E209" i="3"/>
  <c r="E123" i="3"/>
  <c r="E328" i="3"/>
  <c r="E583" i="3"/>
  <c r="E246" i="3"/>
  <c r="E270" i="3"/>
  <c r="E16" i="3"/>
  <c r="E306" i="3"/>
  <c r="E189" i="3"/>
  <c r="E180" i="3"/>
  <c r="E140" i="3"/>
  <c r="E193" i="3"/>
  <c r="E525" i="3"/>
  <c r="E515" i="3"/>
  <c r="E481" i="3"/>
  <c r="E443" i="3"/>
  <c r="AH6" i="3"/>
  <c r="E531" i="3"/>
  <c r="E417" i="3"/>
  <c r="E90" i="3"/>
  <c r="E198" i="3"/>
  <c r="E272" i="3"/>
  <c r="E316" i="3"/>
  <c r="E362" i="3"/>
  <c r="E76" i="3"/>
  <c r="E15" i="3"/>
  <c r="E103" i="3"/>
  <c r="E249" i="3"/>
  <c r="E522" i="3"/>
  <c r="E206" i="3"/>
  <c r="E102" i="3"/>
  <c r="E222" i="3"/>
  <c r="E545" i="3"/>
  <c r="E143" i="3"/>
  <c r="E397" i="3"/>
  <c r="E561" i="3"/>
  <c r="E382" i="3"/>
  <c r="E136" i="3"/>
  <c r="E89" i="3"/>
  <c r="E149" i="3"/>
  <c r="E164" i="3"/>
  <c r="AD6" i="3"/>
  <c r="AC6" i="3" s="1"/>
  <c r="E405" i="3"/>
  <c r="E507" i="3"/>
  <c r="E459" i="3"/>
  <c r="AP6" i="3"/>
  <c r="E494" i="3"/>
  <c r="E404" i="3"/>
  <c r="E25" i="3"/>
  <c r="E187" i="3"/>
  <c r="E242" i="3"/>
  <c r="E348" i="3"/>
  <c r="E389" i="3"/>
  <c r="E94" i="3"/>
  <c r="E425" i="3"/>
  <c r="E129" i="3"/>
  <c r="E235" i="3"/>
  <c r="AQ6" i="3"/>
  <c r="E184" i="3"/>
  <c r="E51" i="3"/>
  <c r="E283" i="3"/>
  <c r="E555" i="3"/>
  <c r="E201" i="3"/>
  <c r="E311" i="3"/>
  <c r="M6" i="3"/>
  <c r="E380" i="3"/>
  <c r="E185" i="3"/>
  <c r="E120" i="3"/>
  <c r="E173" i="3"/>
  <c r="E585" i="3"/>
  <c r="E421" i="3"/>
  <c r="E541" i="3"/>
  <c r="E477" i="3"/>
  <c r="E557" i="3"/>
  <c r="E413" i="3"/>
  <c r="E420" i="3"/>
  <c r="E37" i="3"/>
  <c r="E126" i="3"/>
  <c r="E258" i="3"/>
  <c r="E331" i="3"/>
  <c r="E14" i="3"/>
  <c r="E32" i="3"/>
  <c r="E412" i="3"/>
  <c r="E138" i="3"/>
  <c r="E266" i="3"/>
  <c r="E35" i="3"/>
  <c r="E232" i="3"/>
  <c r="E20" i="3"/>
  <c r="E323" i="3"/>
  <c r="X6" i="3"/>
  <c r="E165" i="3"/>
  <c r="E353" i="3"/>
  <c r="E586" i="3"/>
  <c r="E335" i="3"/>
  <c r="E99" i="3"/>
  <c r="E77" i="3"/>
  <c r="E141" i="3"/>
  <c r="E499" i="3"/>
  <c r="E427" i="3"/>
  <c r="E527" i="3"/>
  <c r="E497" i="3"/>
  <c r="E444" i="3"/>
  <c r="E454" i="3"/>
  <c r="E70" i="3"/>
  <c r="E279" i="3"/>
  <c r="E363" i="3"/>
  <c r="AL6" i="3"/>
  <c r="E43" i="3"/>
  <c r="E446" i="3"/>
  <c r="E190" i="3"/>
  <c r="E300" i="3"/>
  <c r="E84" i="3"/>
  <c r="E250" i="3"/>
  <c r="E63" i="3"/>
  <c r="E365" i="3"/>
  <c r="E238" i="3"/>
  <c r="E582" i="3"/>
  <c r="E317" i="3"/>
  <c r="E34" i="3"/>
  <c r="E314" i="3"/>
  <c r="E133" i="3"/>
  <c r="E452" i="3"/>
  <c r="E504" i="3"/>
  <c r="E289" i="3"/>
  <c r="E511" i="3"/>
  <c r="E312" i="3"/>
  <c r="E483" i="3"/>
  <c r="E31" i="3"/>
  <c r="E340" i="3"/>
  <c r="E155" i="3"/>
  <c r="AK6" i="3"/>
  <c r="Z6" i="3"/>
  <c r="E463" i="3"/>
  <c r="E59" i="3"/>
  <c r="E80" i="3"/>
  <c r="E418" i="3"/>
  <c r="R6" i="3"/>
  <c r="E39" i="3"/>
  <c r="E488" i="3"/>
  <c r="E176" i="3"/>
  <c r="E303" i="3"/>
  <c r="E442" i="3"/>
  <c r="E57" i="3"/>
  <c r="E455" i="3"/>
  <c r="E326" i="3"/>
  <c r="E95" i="3"/>
  <c r="E237" i="3"/>
  <c r="E236" i="3"/>
  <c r="E512" i="3"/>
  <c r="E132" i="3"/>
  <c r="E148" i="3"/>
  <c r="E200" i="3"/>
  <c r="E500" i="3"/>
  <c r="E24" i="3"/>
  <c r="E298" i="3"/>
  <c r="E456" i="3"/>
  <c r="E98" i="3"/>
  <c r="E82" i="3"/>
  <c r="E137" i="3"/>
  <c r="E438" i="3"/>
  <c r="E410" i="3"/>
  <c r="E255" i="3"/>
  <c r="E281" i="3"/>
  <c r="E324" i="3"/>
  <c r="E223" i="3"/>
  <c r="E461" i="3"/>
  <c r="E367" i="3"/>
  <c r="E243" i="3"/>
  <c r="E325" i="3"/>
  <c r="E293" i="3"/>
  <c r="E357" i="3"/>
  <c r="E320" i="3"/>
  <c r="E337" i="3"/>
  <c r="E125" i="3"/>
  <c r="E350" i="3"/>
  <c r="E321" i="3"/>
  <c r="E377" i="3"/>
  <c r="E371" i="3"/>
  <c r="E478" i="3"/>
  <c r="K14" i="1"/>
  <c r="K25" i="6"/>
  <c r="M25" i="6" s="1"/>
  <c r="I25" i="6" s="1"/>
  <c r="S25" i="6" s="1"/>
  <c r="K26" i="6"/>
  <c r="M26" i="6" s="1"/>
  <c r="I26" i="6" s="1"/>
  <c r="S26" i="6" s="1"/>
  <c r="K19" i="6"/>
  <c r="K20" i="6"/>
  <c r="M20" i="6" s="1"/>
  <c r="I20" i="6" s="1"/>
  <c r="S20" i="6" s="1"/>
  <c r="K21" i="6"/>
  <c r="M21" i="6" s="1"/>
  <c r="I21" i="6" s="1"/>
  <c r="S21" i="6" s="1"/>
  <c r="K23" i="6"/>
  <c r="M23" i="6" s="1"/>
  <c r="I23" i="6" s="1"/>
  <c r="S23" i="6" s="1"/>
  <c r="E30" i="6"/>
  <c r="E31" i="6" s="1"/>
  <c r="K24" i="6"/>
  <c r="M24" i="6" s="1"/>
  <c r="I24" i="6" s="1"/>
  <c r="S24" i="6" s="1"/>
  <c r="K22" i="6"/>
  <c r="M22" i="6" s="1"/>
  <c r="I22" i="6" s="1"/>
  <c r="S22" i="6" s="1"/>
  <c r="E29" i="77"/>
  <c r="E32" i="77" s="1"/>
  <c r="E26" i="77"/>
  <c r="E38" i="77"/>
  <c r="E39" i="77" s="1"/>
  <c r="C40" i="77" s="1"/>
  <c r="Q66" i="71"/>
  <c r="Q67" i="71"/>
  <c r="W7" i="34"/>
  <c r="AC7" i="36"/>
  <c r="V36" i="36" s="1"/>
  <c r="I36" i="36" s="1"/>
  <c r="I40" i="36" s="1"/>
  <c r="J40" i="36" s="1"/>
  <c r="U7" i="34"/>
  <c r="AZ5" i="3"/>
  <c r="E490" i="3"/>
  <c r="E449" i="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53" i="15"/>
  <c r="C48" i="15" s="1"/>
  <c r="C10" i="15"/>
  <c r="C5" i="15" s="1"/>
  <c r="J10" i="15"/>
  <c r="J5" i="15" s="1"/>
  <c r="J18" i="15"/>
  <c r="C53" i="67"/>
  <c r="C48" i="67" s="1"/>
  <c r="C10" i="67"/>
  <c r="C5" i="67" s="1"/>
  <c r="B2" i="77" l="1"/>
  <c r="B3" i="77" s="1"/>
  <c r="C41" i="77"/>
  <c r="AY6" i="3"/>
  <c r="E3" i="6"/>
  <c r="M19" i="6"/>
  <c r="K27" i="6"/>
  <c r="M14" i="1"/>
  <c r="K16" i="1"/>
  <c r="C34" i="69"/>
  <c r="E42" i="43"/>
  <c r="G39" i="43"/>
  <c r="I39" i="43" s="1"/>
  <c r="F65" i="40"/>
  <c r="G63" i="40"/>
  <c r="E40" i="36"/>
  <c r="F40" i="36" s="1"/>
  <c r="E41" i="36"/>
  <c r="F41" i="36" s="1"/>
  <c r="G52" i="33"/>
  <c r="H52" i="33" s="1"/>
  <c r="G53" i="33"/>
  <c r="H53" i="33" s="1"/>
  <c r="I41" i="36"/>
  <c r="J41" i="36" s="1"/>
  <c r="C48" i="33"/>
  <c r="C49" i="33"/>
  <c r="G68" i="39"/>
  <c r="F70" i="39"/>
  <c r="E54" i="34"/>
  <c r="F54" i="34" s="1"/>
  <c r="E53" i="34"/>
  <c r="F53" i="34" s="1"/>
  <c r="C49" i="2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C30" i="43" l="1"/>
  <c r="B2" i="43" s="1"/>
  <c r="B3" i="43" s="1"/>
  <c r="C35" i="69"/>
  <c r="C38" i="69"/>
  <c r="B2" i="33"/>
  <c r="B3" i="33" s="1"/>
  <c r="P14" i="1"/>
  <c r="P16" i="1" s="1"/>
  <c r="C11" i="12" s="1"/>
  <c r="T16" i="1"/>
  <c r="M16" i="1"/>
  <c r="O14" i="1"/>
  <c r="O16" i="1" s="1"/>
  <c r="I19" i="6"/>
  <c r="M27" i="6"/>
  <c r="D3" i="37"/>
  <c r="E6" i="6"/>
  <c r="L18" i="9"/>
  <c r="D3" i="34"/>
  <c r="B2" i="34" s="1"/>
  <c r="B3" i="34" s="1"/>
  <c r="D14" i="12"/>
  <c r="D3" i="21"/>
  <c r="B2" i="21" s="1"/>
  <c r="B3" i="21" s="1"/>
  <c r="M18" i="9"/>
  <c r="B118" i="9" s="1"/>
  <c r="B14" i="74" s="1"/>
  <c r="B1" i="74" s="1"/>
  <c r="D3" i="33"/>
  <c r="D19" i="11"/>
  <c r="C19" i="11" s="1"/>
  <c r="C17" i="4"/>
  <c r="B4" i="52" s="1"/>
  <c r="B43" i="72" s="1"/>
  <c r="D37" i="11"/>
  <c r="C37" i="11" s="1"/>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196" i="3"/>
  <c r="AY95" i="3"/>
  <c r="AY292" i="3"/>
  <c r="AY268" i="3"/>
  <c r="AY319" i="3"/>
  <c r="AY441" i="3"/>
  <c r="AY269" i="3"/>
  <c r="AY343" i="3"/>
  <c r="AY420" i="3"/>
  <c r="AY574" i="3"/>
  <c r="AY108" i="3"/>
  <c r="AY52" i="3"/>
  <c r="AY185" i="3"/>
  <c r="AY126" i="3"/>
  <c r="AY263" i="3"/>
  <c r="AY227" i="3"/>
  <c r="AY360" i="3"/>
  <c r="AY57" i="3"/>
  <c r="AY161" i="3"/>
  <c r="AY242" i="3"/>
  <c r="AY325" i="3"/>
  <c r="AY488" i="3"/>
  <c r="AY406" i="3"/>
  <c r="AY585" i="3"/>
  <c r="AY518" i="3"/>
  <c r="AY514" i="3"/>
  <c r="AY64" i="3"/>
  <c r="AY137" i="3"/>
  <c r="AY218" i="3"/>
  <c r="AY305" i="3"/>
  <c r="AY468" i="3"/>
  <c r="AY431" i="3"/>
  <c r="D3" i="6"/>
  <c r="AY545" i="3"/>
  <c r="AY63" i="3"/>
  <c r="AY140" i="3"/>
  <c r="AY264" i="3"/>
  <c r="AY315" i="3"/>
  <c r="AY437" i="3"/>
  <c r="AY576" i="3"/>
  <c r="AY200" i="3"/>
  <c r="AY277" i="3"/>
  <c r="AY375" i="3"/>
  <c r="AY459" i="3"/>
  <c r="AY566" i="3"/>
  <c r="AY87" i="3"/>
  <c r="AY191" i="3"/>
  <c r="AY59" i="3"/>
  <c r="AY261" i="3"/>
  <c r="AY236" i="3"/>
  <c r="AY334" i="3"/>
  <c r="AY497" i="3"/>
  <c r="AY260" i="3"/>
  <c r="AY311" i="3"/>
  <c r="AY433" i="3"/>
  <c r="AY540" i="3"/>
  <c r="AY92" i="3"/>
  <c r="AY36" i="3"/>
  <c r="AY170" i="3"/>
  <c r="AY134" i="3"/>
  <c r="AY247" i="3"/>
  <c r="AY211" i="3"/>
  <c r="AY507" i="3"/>
  <c r="AY56" i="3"/>
  <c r="AY130" i="3"/>
  <c r="AY210" i="3"/>
  <c r="AY309" i="3"/>
  <c r="AY472" i="3"/>
  <c r="AY435" i="3"/>
  <c r="AY561" i="3"/>
  <c r="AY552" i="3"/>
  <c r="AY207" i="3"/>
  <c r="AY42" i="3"/>
  <c r="AY168" i="3"/>
  <c r="AY363" i="3"/>
  <c r="AY428" i="3"/>
  <c r="AY229" i="3"/>
  <c r="AY326" i="3"/>
  <c r="AY513" i="3"/>
  <c r="AY555" i="3"/>
  <c r="AY68" i="3"/>
  <c r="AY178" i="3"/>
  <c r="AY117" i="3"/>
  <c r="AY254" i="3"/>
  <c r="AY374" i="3"/>
  <c r="AY88" i="3"/>
  <c r="AY145" i="3"/>
  <c r="AY388" i="3"/>
  <c r="AY324" i="3"/>
  <c r="AY438" i="3"/>
  <c r="BM6" i="3"/>
  <c r="AY510" i="3"/>
  <c r="AY577" i="3"/>
  <c r="AY194" i="3"/>
  <c r="AY282" i="3"/>
  <c r="AY364" i="3"/>
  <c r="AY487" i="3"/>
  <c r="AY426" i="3"/>
  <c r="AY34" i="3"/>
  <c r="AY289" i="3"/>
  <c r="AY111" i="3"/>
  <c r="AY382" i="3"/>
  <c r="AY455" i="3"/>
  <c r="AY180" i="3"/>
  <c r="AY355" i="3"/>
  <c r="AY417" i="3"/>
  <c r="AY541" i="3"/>
  <c r="AY53" i="3"/>
  <c r="AY182" i="3"/>
  <c r="AY133" i="3"/>
  <c r="AY239" i="3"/>
  <c r="AY389" i="3"/>
  <c r="AY109" i="3"/>
  <c r="AY181" i="3"/>
  <c r="AY258" i="3"/>
  <c r="AY348" i="3"/>
  <c r="AY449" i="3"/>
  <c r="AY503" i="3"/>
  <c r="AY546" i="3"/>
  <c r="AY556" i="3"/>
  <c r="AY48" i="3"/>
  <c r="AY113" i="3"/>
  <c r="AY385" i="3"/>
  <c r="AY320" i="3"/>
  <c r="AY450" i="3"/>
  <c r="AY505" i="3"/>
  <c r="AY537" i="3"/>
  <c r="AY99" i="3"/>
  <c r="AY187" i="3"/>
  <c r="AY249" i="3"/>
  <c r="AY331" i="3"/>
  <c r="AY421" i="3"/>
  <c r="AY91" i="3"/>
  <c r="AY179" i="3"/>
  <c r="AY241" i="3"/>
  <c r="AY323" i="3"/>
  <c r="AY429" i="3"/>
  <c r="AY50" i="3"/>
  <c r="AY74" i="3"/>
  <c r="AY297" i="3"/>
  <c r="AY303" i="3"/>
  <c r="AY43" i="3"/>
  <c r="AY372" i="3"/>
  <c r="AY535" i="3"/>
  <c r="AY97" i="3"/>
  <c r="AY20" i="3"/>
  <c r="AY157" i="3"/>
  <c r="AY255" i="3"/>
  <c r="AY373" i="3"/>
  <c r="AY72" i="3"/>
  <c r="AY279" i="3"/>
  <c r="AY341" i="3"/>
  <c r="AY457" i="3"/>
  <c r="AY525" i="3"/>
  <c r="AY559" i="3"/>
  <c r="AY96" i="3"/>
  <c r="AY169" i="3"/>
  <c r="AY380" i="3"/>
  <c r="AY304" i="3"/>
  <c r="AY402" i="3"/>
  <c r="AY522" i="3"/>
  <c r="AY531" i="3"/>
  <c r="AY30" i="3"/>
  <c r="AY296" i="3"/>
  <c r="AY362" i="3"/>
  <c r="AY408" i="3"/>
  <c r="AY102" i="3"/>
  <c r="AY148" i="3"/>
  <c r="AY240" i="3"/>
  <c r="AY477" i="3"/>
  <c r="BC6" i="3"/>
  <c r="AY18" i="3"/>
  <c r="AY31" i="3"/>
  <c r="AY284" i="3"/>
  <c r="AY489" i="3"/>
  <c r="AY26" i="3"/>
  <c r="AY327" i="3"/>
  <c r="AY557" i="3"/>
  <c r="AY89" i="3"/>
  <c r="AY33" i="3"/>
  <c r="AY149" i="3"/>
  <c r="AY270" i="3"/>
  <c r="AY365" i="3"/>
  <c r="AY40" i="3"/>
  <c r="AY290" i="3"/>
  <c r="AY333" i="3"/>
  <c r="AY462" i="3"/>
  <c r="AY580" i="3"/>
  <c r="AY543" i="3"/>
  <c r="AY81" i="3"/>
  <c r="AY153" i="3"/>
  <c r="AY369" i="3"/>
  <c r="AY479" i="3"/>
  <c r="AY439" i="3"/>
  <c r="AY524" i="3"/>
  <c r="BP6" i="3"/>
  <c r="AY19" i="3"/>
  <c r="AY280" i="3"/>
  <c r="AY347" i="3"/>
  <c r="AY500" i="3"/>
  <c r="AY86" i="3"/>
  <c r="AY175" i="3"/>
  <c r="AY224" i="3"/>
  <c r="AY490" i="3"/>
  <c r="AY511" i="3"/>
  <c r="AY176" i="3"/>
  <c r="AY152" i="3"/>
  <c r="AY237" i="3"/>
  <c r="AY486" i="3"/>
  <c r="AY116" i="3"/>
  <c r="AY310" i="3"/>
  <c r="AY562" i="3"/>
  <c r="AY85" i="3"/>
  <c r="AY198" i="3"/>
  <c r="AY118" i="3"/>
  <c r="AY246" i="3"/>
  <c r="AY368" i="3"/>
  <c r="AY29" i="3"/>
  <c r="AY259" i="3"/>
  <c r="AY340" i="3"/>
  <c r="AY430" i="3"/>
  <c r="AY572" i="3"/>
  <c r="AY508" i="3"/>
  <c r="AY49" i="3"/>
  <c r="AY287" i="3"/>
  <c r="AY352" i="3"/>
  <c r="AY492" i="3"/>
  <c r="AY415" i="3"/>
  <c r="AY502" i="3"/>
  <c r="AY563" i="3"/>
  <c r="AY203" i="3"/>
  <c r="AY233" i="3"/>
  <c r="AY330" i="3"/>
  <c r="AY13" i="3"/>
  <c r="AY55" i="3"/>
  <c r="AY143" i="3"/>
  <c r="AY386" i="3"/>
  <c r="AY443" i="3"/>
  <c r="AY504" i="3"/>
  <c r="AY160" i="3"/>
  <c r="AY163" i="3"/>
  <c r="AY252" i="3"/>
  <c r="AY470" i="3"/>
  <c r="AY300" i="3"/>
  <c r="AY481" i="3"/>
  <c r="AY573" i="3"/>
  <c r="AY77" i="3"/>
  <c r="AY190" i="3"/>
  <c r="AY125" i="3"/>
  <c r="AY238" i="3"/>
  <c r="BS6" i="3"/>
  <c r="AY202" i="3"/>
  <c r="AY243" i="3"/>
  <c r="AY332" i="3"/>
  <c r="AY422" i="3"/>
  <c r="AY534" i="3"/>
  <c r="AY584" i="3"/>
  <c r="AY80" i="3"/>
  <c r="AY298" i="3"/>
  <c r="AY345" i="3"/>
  <c r="AY476" i="3"/>
  <c r="AY407" i="3"/>
  <c r="AY515" i="3"/>
  <c r="AY493" i="3"/>
  <c r="AY172" i="3"/>
  <c r="AY248" i="3"/>
  <c r="AY485" i="3"/>
  <c r="AY517" i="3"/>
  <c r="AY39" i="3"/>
  <c r="AY128" i="3"/>
  <c r="AY391" i="3"/>
  <c r="AY448" i="3"/>
  <c r="BT6" i="3"/>
  <c r="AY144" i="3"/>
  <c r="AY131" i="3"/>
  <c r="AY220" i="3"/>
  <c r="AY460" i="3"/>
  <c r="AY244" i="3"/>
  <c r="AY465" i="3"/>
  <c r="AY544" i="3"/>
  <c r="AY69" i="3"/>
  <c r="AY201" i="3"/>
  <c r="AY291" i="3"/>
  <c r="AY230" i="3"/>
  <c r="BH6" i="3"/>
  <c r="AY186" i="3"/>
  <c r="AY226" i="3"/>
  <c r="AY316" i="3"/>
  <c r="AY414" i="3"/>
  <c r="BN6" i="3"/>
  <c r="AY532" i="3"/>
  <c r="AY32" i="3"/>
  <c r="AY267" i="3"/>
  <c r="AY337" i="3"/>
  <c r="AY461" i="3"/>
  <c r="AY399" i="3"/>
  <c r="AY565" i="3"/>
  <c r="AY110" i="3"/>
  <c r="AY156" i="3"/>
  <c r="AY232" i="3"/>
  <c r="AY469" i="3"/>
  <c r="AY547" i="3"/>
  <c r="AY70" i="3"/>
  <c r="AY136" i="3"/>
  <c r="AY367" i="3"/>
  <c r="AY432" i="3"/>
  <c r="AY586" i="3"/>
  <c r="AY103" i="3"/>
  <c r="AY123" i="3"/>
  <c r="AY209" i="3"/>
  <c r="AY228" i="3"/>
  <c r="AY478" i="3"/>
  <c r="AY61" i="3"/>
  <c r="AY193" i="3"/>
  <c r="AY222" i="3"/>
  <c r="BI6" i="3"/>
  <c r="AY215" i="3"/>
  <c r="AY308" i="3"/>
  <c r="AY398" i="3"/>
  <c r="AY494" i="3"/>
  <c r="AY21" i="3"/>
  <c r="AY329" i="3"/>
  <c r="AY453" i="3"/>
  <c r="AY551" i="3"/>
  <c r="AY94" i="3"/>
  <c r="AY167" i="3"/>
  <c r="AY482" i="3"/>
  <c r="AY560" i="3"/>
  <c r="AY293" i="3"/>
  <c r="AY351" i="3"/>
  <c r="AY567" i="3"/>
  <c r="AY171" i="3"/>
  <c r="AY444" i="3"/>
  <c r="AY569" i="3"/>
  <c r="AY283" i="3"/>
  <c r="AY197" i="3"/>
  <c r="AY536" i="3"/>
  <c r="AY251" i="3"/>
  <c r="AY579" i="3"/>
  <c r="AY216" i="3"/>
  <c r="AY54" i="3"/>
  <c r="AY416" i="3"/>
  <c r="AY98" i="3"/>
  <c r="AY139" i="3"/>
  <c r="AY281" i="3"/>
  <c r="AY387" i="3"/>
  <c r="AY412" i="3"/>
  <c r="AY212" i="3"/>
  <c r="AY463" i="3"/>
  <c r="AY533" i="3"/>
  <c r="AY84" i="3"/>
  <c r="AY162" i="3"/>
  <c r="AY302" i="3"/>
  <c r="AY214" i="3"/>
  <c r="BJ6" i="3"/>
  <c r="AY166" i="3"/>
  <c r="AY393" i="3"/>
  <c r="AY483" i="3"/>
  <c r="AY427" i="3"/>
  <c r="AY571" i="3"/>
  <c r="AY496" i="3"/>
  <c r="AY205" i="3"/>
  <c r="AY235" i="3"/>
  <c r="AY321" i="3"/>
  <c r="AY445" i="3"/>
  <c r="AY506" i="3"/>
  <c r="AY542" i="3"/>
  <c r="AY79" i="3"/>
  <c r="AY151" i="3"/>
  <c r="AY394" i="3"/>
  <c r="AY466" i="3"/>
  <c r="AY528" i="3"/>
  <c r="AY38" i="3"/>
  <c r="AY288" i="3"/>
  <c r="AY354" i="3"/>
  <c r="AY400" i="3"/>
  <c r="AY83" i="3"/>
  <c r="AY124" i="3"/>
  <c r="AY276" i="3"/>
  <c r="AY371" i="3"/>
  <c r="AY425" i="3"/>
  <c r="AY217" i="3"/>
  <c r="AY447" i="3"/>
  <c r="BO6" i="3"/>
  <c r="AY76" i="3"/>
  <c r="AY154" i="3"/>
  <c r="AY294" i="3"/>
  <c r="AY219" i="3"/>
  <c r="BB6" i="3"/>
  <c r="AY150" i="3"/>
  <c r="AY377" i="3"/>
  <c r="AY475" i="3"/>
  <c r="AY419" i="3"/>
  <c r="AY527" i="3"/>
  <c r="AY582" i="3"/>
  <c r="AY189" i="3"/>
  <c r="AY266" i="3"/>
  <c r="AY344" i="3"/>
  <c r="AY458" i="3"/>
  <c r="AY17" i="3"/>
  <c r="AY530" i="3"/>
  <c r="AY47" i="3"/>
  <c r="AY135" i="3"/>
  <c r="AY378" i="3"/>
  <c r="AY451" i="3"/>
  <c r="AY512" i="3"/>
  <c r="AY22" i="3"/>
  <c r="AY273" i="3"/>
  <c r="AY339" i="3"/>
  <c r="AY413" i="3"/>
  <c r="AY67" i="3"/>
  <c r="AY132" i="3"/>
  <c r="AY75" i="3"/>
  <c r="AY366" i="3"/>
  <c r="AY529" i="3"/>
  <c r="AY390" i="3"/>
  <c r="AY436" i="3"/>
  <c r="AY539" i="3"/>
  <c r="AY60" i="3"/>
  <c r="AY146" i="3"/>
  <c r="AY286" i="3"/>
  <c r="AY384" i="3"/>
  <c r="AY93" i="3"/>
  <c r="AY114" i="3"/>
  <c r="AY370" i="3"/>
  <c r="AY467" i="3"/>
  <c r="AY411" i="3"/>
  <c r="AY520" i="3"/>
  <c r="AY523" i="3"/>
  <c r="AY174" i="3"/>
  <c r="AY250" i="3"/>
  <c r="AY336" i="3"/>
  <c r="AY442" i="3"/>
  <c r="AY538" i="3"/>
  <c r="BR6" i="3"/>
  <c r="AY78" i="3"/>
  <c r="AY120" i="3"/>
  <c r="AY383" i="3"/>
  <c r="AY456" i="3"/>
  <c r="AY568" i="3"/>
  <c r="AY184" i="3"/>
  <c r="AY257" i="3"/>
  <c r="AY307" i="3"/>
  <c r="AY521" i="3"/>
  <c r="AY51" i="3"/>
  <c r="AY115" i="3"/>
  <c r="AY204" i="3"/>
  <c r="AY350" i="3"/>
  <c r="AY526" i="3"/>
  <c r="AY395" i="3"/>
  <c r="AY404" i="3"/>
  <c r="BE6" i="3"/>
  <c r="AY44" i="3"/>
  <c r="AY173" i="3"/>
  <c r="AY278" i="3"/>
  <c r="AY397" i="3"/>
  <c r="AY104" i="3"/>
  <c r="AY121" i="3"/>
  <c r="AY353" i="3"/>
  <c r="AY480" i="3"/>
  <c r="AY403" i="3"/>
  <c r="AY495" i="3"/>
  <c r="AY101" i="3"/>
  <c r="AY158" i="3"/>
  <c r="AY234" i="3"/>
  <c r="AY328" i="3"/>
  <c r="AY434" i="3"/>
  <c r="AY14" i="3"/>
  <c r="AY570" i="3"/>
  <c r="AY62" i="3"/>
  <c r="AY301" i="3"/>
  <c r="AY376" i="3"/>
  <c r="AY440" i="3"/>
  <c r="BL6" i="3"/>
  <c r="AY195" i="3"/>
  <c r="AY272" i="3"/>
  <c r="AY338" i="3"/>
  <c r="BD6" i="3"/>
  <c r="AY335" i="3"/>
  <c r="AY165" i="3"/>
  <c r="AY464" i="3"/>
  <c r="AY312" i="3"/>
  <c r="AY359" i="3"/>
  <c r="AY15" i="3"/>
  <c r="AY473" i="3"/>
  <c r="AY141" i="3"/>
  <c r="AY454" i="3"/>
  <c r="AY471" i="3"/>
  <c r="AY346" i="3"/>
  <c r="AY583" i="3"/>
  <c r="AY317" i="3"/>
  <c r="AY106" i="3"/>
  <c r="AY271" i="3"/>
  <c r="BQ6" i="3"/>
  <c r="AY418" i="3"/>
  <c r="AY424" i="3"/>
  <c r="AY105" i="3"/>
  <c r="AY199" i="3"/>
  <c r="AY262" i="3"/>
  <c r="AY516" i="3"/>
  <c r="AY423" i="3"/>
  <c r="AY558" i="3"/>
  <c r="AY379" i="3"/>
  <c r="AY381" i="3"/>
  <c r="BG6" i="3"/>
  <c r="AY564" i="3"/>
  <c r="AY107" i="3"/>
  <c r="AY342" i="3"/>
  <c r="AY357" i="3"/>
  <c r="AY501" i="3"/>
  <c r="AY575" i="3"/>
  <c r="AY71" i="3"/>
  <c r="AY401" i="3"/>
  <c r="AY548" i="3"/>
  <c r="AY164" i="3"/>
  <c r="AY23" i="3"/>
  <c r="AY549" i="3"/>
  <c r="AY24" i="3"/>
  <c r="AY65" i="3"/>
  <c r="AY578" i="3"/>
  <c r="AY159" i="3"/>
  <c r="AY295" i="3"/>
  <c r="AY253" i="3"/>
  <c r="AY25" i="3"/>
  <c r="AY265" i="3"/>
  <c r="AY474" i="3"/>
  <c r="AY82" i="3"/>
  <c r="AY73" i="3"/>
  <c r="AY112" i="3"/>
  <c r="AY90" i="3"/>
  <c r="AY256" i="3"/>
  <c r="AY142" i="3"/>
  <c r="AY46" i="3"/>
  <c r="AY183" i="3"/>
  <c r="AY100" i="3"/>
  <c r="AY275" i="3"/>
  <c r="AY122" i="3"/>
  <c r="AY192" i="3"/>
  <c r="AY208" i="3"/>
  <c r="AY28" i="3"/>
  <c r="AY361" i="3"/>
  <c r="AY147" i="3"/>
  <c r="AY356" i="3"/>
  <c r="AY396" i="3"/>
  <c r="AY285" i="3"/>
  <c r="AY322" i="3"/>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Q49" i="67"/>
  <c r="J14" i="67"/>
  <c r="J13" i="67" s="1"/>
  <c r="J23" i="67" s="1"/>
  <c r="C29" i="15"/>
  <c r="C33" i="15" s="1"/>
  <c r="C31" i="15" s="1"/>
  <c r="J59" i="67"/>
  <c r="J60" i="67" s="1"/>
  <c r="L46" i="67" s="1"/>
  <c r="J19" i="67"/>
  <c r="J17" i="67" s="1"/>
  <c r="C57" i="67"/>
  <c r="C64" i="67" s="1"/>
  <c r="B6" i="76"/>
  <c r="E6" i="76"/>
  <c r="B2" i="76" l="1"/>
  <c r="D10" i="68"/>
  <c r="D10" i="11"/>
  <c r="C10" i="11" s="1"/>
  <c r="D20" i="12"/>
  <c r="C20" i="12" s="1"/>
  <c r="C18" i="12" s="1"/>
  <c r="D10" i="69"/>
  <c r="D21" i="6"/>
  <c r="D10" i="6"/>
  <c r="H24" i="6"/>
  <c r="H20" i="6"/>
  <c r="C18" i="4"/>
  <c r="D19" i="6"/>
  <c r="D5" i="6"/>
  <c r="H22" i="6"/>
  <c r="D26" i="6"/>
  <c r="R26" i="6" s="1"/>
  <c r="D12" i="6"/>
  <c r="H21" i="6"/>
  <c r="D15" i="6"/>
  <c r="D9" i="6"/>
  <c r="H26" i="6"/>
  <c r="D22" i="6"/>
  <c r="D11" i="6"/>
  <c r="D13" i="6"/>
  <c r="D8" i="6"/>
  <c r="D16" i="6" s="1"/>
  <c r="D23" i="6"/>
  <c r="R23" i="6" s="1"/>
  <c r="L19" i="9"/>
  <c r="D24" i="6"/>
  <c r="R24" i="6" s="1"/>
  <c r="D28" i="6"/>
  <c r="D30" i="6" s="1"/>
  <c r="D14" i="6"/>
  <c r="D29" i="6"/>
  <c r="M19" i="9"/>
  <c r="C118" i="9" s="1"/>
  <c r="C14" i="74" s="1"/>
  <c r="B2" i="74" s="1"/>
  <c r="D20" i="6"/>
  <c r="E61" i="40"/>
  <c r="D6" i="6"/>
  <c r="H25" i="6"/>
  <c r="H23" i="6"/>
  <c r="H19" i="6"/>
  <c r="H27" i="6" s="1"/>
  <c r="D25" i="6"/>
  <c r="S19" i="6"/>
  <c r="S27" i="6" s="1"/>
  <c r="I27" i="6"/>
  <c r="C20" i="11"/>
  <c r="C25" i="11" s="1"/>
  <c r="C24" i="11"/>
  <c r="N16" i="1"/>
  <c r="C34" i="11"/>
  <c r="L16" i="1"/>
  <c r="C34" i="68"/>
  <c r="C7" i="74"/>
  <c r="C8" i="74"/>
  <c r="C15" i="12"/>
  <c r="C12" i="12"/>
  <c r="D17" i="12"/>
  <c r="C17" i="12" s="1"/>
  <c r="C14" i="12"/>
  <c r="I63" i="40"/>
  <c r="H65" i="40"/>
  <c r="I68" i="39"/>
  <c r="H70" i="39"/>
  <c r="J52" i="37"/>
  <c r="E10" i="71"/>
  <c r="B9"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L51" i="67"/>
  <c r="B3" i="76" l="1"/>
  <c r="C16" i="12"/>
  <c r="C21" i="12" s="1"/>
  <c r="R25" i="6"/>
  <c r="D21" i="9"/>
  <c r="C21" i="9"/>
  <c r="G21" i="9"/>
  <c r="C10" i="68"/>
  <c r="D19" i="68"/>
  <c r="C38" i="68"/>
  <c r="C35" i="68"/>
  <c r="F50" i="69"/>
  <c r="F50" i="11"/>
  <c r="F50" i="68"/>
  <c r="R20" i="6"/>
  <c r="R22" i="6"/>
  <c r="C35" i="11"/>
  <c r="C38" i="11"/>
  <c r="C22" i="11"/>
  <c r="C31" i="11" s="1"/>
  <c r="D7" i="74"/>
  <c r="D8" i="74"/>
  <c r="D27" i="6"/>
  <c r="D31" i="6" s="1"/>
  <c r="R19" i="6"/>
  <c r="R27" i="6" s="1"/>
  <c r="A7" i="51"/>
  <c r="B7" i="72" s="1"/>
  <c r="C4" i="52"/>
  <c r="B45" i="72" s="1"/>
  <c r="A10" i="51"/>
  <c r="B9" i="72" s="1"/>
  <c r="C28" i="11"/>
  <c r="C27" i="11" s="1"/>
  <c r="R21" i="6"/>
  <c r="C10" i="69"/>
  <c r="C8" i="69" s="1"/>
  <c r="C5" i="69" s="1"/>
  <c r="D19" i="69"/>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L51" i="15"/>
  <c r="C23" i="69" l="1"/>
  <c r="I6" i="6"/>
  <c r="I5" i="6"/>
  <c r="C22" i="12"/>
  <c r="C30" i="12" s="1"/>
  <c r="C28" i="12" s="1"/>
  <c r="C19" i="69"/>
  <c r="C24" i="69" s="1"/>
  <c r="D37" i="69"/>
  <c r="C37" i="69" s="1"/>
  <c r="C33" i="69" s="1"/>
  <c r="C33" i="11"/>
  <c r="C19" i="68"/>
  <c r="D37" i="68"/>
  <c r="C37" i="68" s="1"/>
  <c r="C33" i="68" s="1"/>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C20" i="68" l="1"/>
  <c r="C24" i="68"/>
  <c r="C39" i="11"/>
  <c r="C43" i="11" s="1"/>
  <c r="C42" i="11"/>
  <c r="C39" i="69"/>
  <c r="C42" i="69"/>
  <c r="C39" i="68"/>
  <c r="C43" i="68" s="1"/>
  <c r="C42" i="68"/>
  <c r="C27" i="12"/>
  <c r="C25" i="12" s="1"/>
  <c r="C32" i="12" s="1"/>
  <c r="B2" i="12" s="1"/>
  <c r="B3" i="12" s="1"/>
  <c r="C20" i="69"/>
  <c r="B6" i="7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C46" i="11" l="1"/>
  <c r="C45" i="11" s="1"/>
  <c r="C41" i="68"/>
  <c r="C41" i="11"/>
  <c r="C49" i="11" s="1"/>
  <c r="C51" i="11" s="1"/>
  <c r="C52" i="11" s="1"/>
  <c r="B2" i="11" s="1"/>
  <c r="B3" i="11" s="1"/>
  <c r="C46" i="68"/>
  <c r="C45" i="68" s="1"/>
  <c r="C46" i="69"/>
  <c r="C45" i="69" s="1"/>
  <c r="C43" i="69"/>
  <c r="C41" i="69" s="1"/>
  <c r="C28" i="69"/>
  <c r="C27" i="69" s="1"/>
  <c r="C25" i="69"/>
  <c r="C22" i="69" s="1"/>
  <c r="C28" i="68"/>
  <c r="C27" i="68" s="1"/>
  <c r="C25" i="68"/>
  <c r="C22" i="68" s="1"/>
  <c r="E6" i="71"/>
  <c r="B5" i="71"/>
  <c r="E5" i="71" s="1"/>
  <c r="M63" i="40"/>
  <c r="L65" i="40"/>
  <c r="N52" i="37"/>
  <c r="O52" i="37" s="1"/>
  <c r="L70" i="39"/>
  <c r="M68" i="39"/>
  <c r="D16" i="71"/>
  <c r="C15" i="71"/>
  <c r="Q62" i="15"/>
  <c r="C31" i="68" l="1"/>
  <c r="C31" i="69"/>
  <c r="C49" i="68"/>
  <c r="C51" i="68" s="1"/>
  <c r="C49" i="69"/>
  <c r="C51" i="69" s="1"/>
  <c r="C56" i="11"/>
  <c r="C57" i="11" s="1"/>
  <c r="F7" i="37"/>
  <c r="AA7" i="37" s="1"/>
  <c r="R42" i="37" s="1"/>
  <c r="N63" i="40"/>
  <c r="M65" i="40"/>
  <c r="M70" i="39"/>
  <c r="N68" i="39"/>
  <c r="J7" i="37"/>
  <c r="H7" i="37"/>
  <c r="C14" i="71"/>
  <c r="D15" i="71"/>
  <c r="C52" i="68" l="1"/>
  <c r="B2" i="68" s="1"/>
  <c r="B3" i="68" s="1"/>
  <c r="C52" i="69"/>
  <c r="B2" i="69" s="1"/>
  <c r="B3" i="69" s="1"/>
  <c r="S7" i="37"/>
  <c r="N65" i="40"/>
  <c r="O63" i="40"/>
  <c r="O65" i="40" s="1"/>
  <c r="J7" i="40" s="1"/>
  <c r="U7" i="37"/>
  <c r="AB7" i="37"/>
  <c r="T42" i="37" s="1"/>
  <c r="G42" i="37" s="1"/>
  <c r="O68" i="39"/>
  <c r="O70" i="39" s="1"/>
  <c r="N70" i="39"/>
  <c r="R43" i="37"/>
  <c r="E42" i="37"/>
  <c r="AC7" i="37"/>
  <c r="V42" i="37" s="1"/>
  <c r="I42" i="37" s="1"/>
  <c r="W7" i="37"/>
  <c r="C13" i="71"/>
  <c r="D14" i="71"/>
  <c r="C57" i="68" l="1"/>
  <c r="C56" i="68" s="1"/>
  <c r="C57" i="69"/>
  <c r="C56" i="69" s="1"/>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M54" i="9"/>
  <c r="D56" i="9"/>
  <c r="D58" i="9"/>
  <c r="C97" i="9"/>
  <c r="E97" i="9"/>
  <c r="E96" i="9"/>
  <c r="C85" i="9"/>
  <c r="C95" i="9"/>
  <c r="C96" i="9"/>
  <c r="D9" i="52"/>
  <c r="D123" i="9"/>
  <c r="M55" i="9"/>
  <c r="D59" i="9"/>
  <c r="B52" i="72"/>
  <c r="G4" i="52"/>
  <c r="B48" i="72"/>
  <c r="E4" i="52"/>
  <c r="B49" i="72"/>
  <c r="D5" i="52"/>
  <c r="D119" i="9"/>
  <c r="H102" i="9"/>
  <c r="D7" i="53"/>
  <c r="B21" i="72"/>
  <c r="C86" i="9"/>
  <c r="C93" i="9"/>
  <c r="C80" i="9"/>
  <c r="E80" i="9"/>
  <c r="E81" i="9"/>
  <c r="H108" i="9"/>
  <c r="D15" i="53"/>
  <c r="B31" i="72"/>
  <c r="B22" i="72"/>
  <c r="D6" i="53"/>
  <c r="E14" i="74"/>
  <c r="F14" i="74"/>
  <c r="C64" i="9"/>
  <c r="C63" i="9"/>
  <c r="C67" i="9"/>
  <c r="C68" i="9"/>
  <c r="D54" i="9"/>
  <c r="C73" i="9"/>
  <c r="C78" i="9"/>
  <c r="F4" i="52"/>
  <c r="B51" i="72"/>
  <c r="C72" i="9"/>
  <c r="C79" i="9"/>
  <c r="C81" i="9"/>
  <c r="B53" i="72"/>
  <c r="G118" i="9"/>
  <c r="F118" i="9"/>
  <c r="F119" i="9"/>
  <c r="F5" i="52"/>
  <c r="N61" i="9"/>
  <c r="N59" i="9"/>
  <c r="N60" i="9"/>
  <c r="N58" i="9"/>
  <c r="D55" i="9"/>
  <c r="M53" i="9"/>
  <c r="N57" i="9"/>
  <c r="P57" i="9"/>
  <c r="D6" i="74"/>
  <c r="G14" i="74"/>
  <c r="B6" i="74"/>
  <c r="C6" i="74"/>
  <c r="B30" i="72"/>
  <c r="D122" i="9"/>
  <c r="D8" i="52"/>
  <c r="D5" i="53"/>
  <c r="B20" i="72"/>
  <c r="C105" i="9"/>
  <c r="I4" i="52"/>
  <c r="M48" i="9"/>
  <c r="C104" i="9"/>
  <c r="H4" i="52"/>
  <c r="D5" i="74"/>
  <c r="D14" i="74"/>
  <c r="B5" i="74"/>
  <c r="C5" i="74"/>
  <c r="E118" i="9"/>
  <c r="D118" i="9"/>
  <c r="D4" i="52"/>
  <c r="B47" i="72"/>
  <c r="D53" i="9"/>
  <c r="D45" i="9"/>
  <c r="D52" i="9"/>
  <c r="H119" i="9"/>
  <c r="H5" i="5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<sst xmlns="http://schemas.openxmlformats.org/spreadsheetml/2006/main" count="7695" uniqueCount="3132">
  <si>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</si>
  <si>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</si>
  <si>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</si>
  <si>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</si>
  <si>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</si>
  <si>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</si>
  <si>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</si>
  <si>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</si>
  <si>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</si>
  <si>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</si>
  <si>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</si>
  <si>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</si>
  <si>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</si>
  <si>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</si>
  <si>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</si>
  <si>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</si>
  <si>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</si>
  <si>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</si>
  <si>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</si>
  <si>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</si>
  <si>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</si>
  <si>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</si>
  <si>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</si>
  <si>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</si>
  <si>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</si>
  <si>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</si>
  <si>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</si>
  <si>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</si>
  <si>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</si>
  <si>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</si>
  <si>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</si>
  <si>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</si>
  <si>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</si>
  <si>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</si>
  <si>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</si>
  <si>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</si>
  <si>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</si>
  <si>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</si>
  <si>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</si>
  <si>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</si>
  <si>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</si>
  <si>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</si>
  <si>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</si>
  <si>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</si>
  <si>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</si>
  <si>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</si>
  <si>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</si>
  <si>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</si>
  <si>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</si>
  <si>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</si>
  <si>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</si>
  <si>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</si>
  <si>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</si>
  <si>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</si>
  <si>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</si>
  <si>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</si>
  <si>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</si>
  <si>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</si>
  <si>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</si>
  <si>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</si>
  <si>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</si>
  <si>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</si>
  <si>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</si>
  <si>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</si>
  <si>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</si>
  <si>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</si>
  <si>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</si>
  <si>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</si>
  <si>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</si>
  <si>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</si>
  <si>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</si>
  <si>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</si>
  <si>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</si>
  <si>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</si>
  <si>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</si>
  <si>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</si>
  <si>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</si>
  <si>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</si>
  <si>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</si>
  <si>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</si>
  <si>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</si>
  <si>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</si>
  <si>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</si>
  <si>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</si>
  <si>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</si>
  <si>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</si>
  <si>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</si>
  <si>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</si>
  <si>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</si>
  <si>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</si>
  <si>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</si>
  <si>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</si>
  <si>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</si>
  <si>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</si>
  <si>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</si>
  <si>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</si>
  <si>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</si>
  <si>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</si>
  <si>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</si>
  <si>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</si>
  <si>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</si>
  <si>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</si>
  <si>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</si>
  <si>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</si>
  <si>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</si>
  <si>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</si>
  <si>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</si>
  <si>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</si>
  <si>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</si>
  <si>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</si>
  <si>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</si>
  <si>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</si>
  <si>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</si>
  <si>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</si>
  <si>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</si>
  <si>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</si>
  <si>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</si>
  <si>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</si>
  <si>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</si>
  <si>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</si>
  <si>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</si>
  <si>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</si>
  <si>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</si>
  <si>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</si>
  <si>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</si>
  <si>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</si>
  <si>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</si>
  <si>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</si>
  <si>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</si>
  <si>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</si>
  <si>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</si>
  <si>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</si>
  <si>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</si>
  <si>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</si>
  <si>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</si>
  <si>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</si>
  <si>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</si>
  <si>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</si>
  <si>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</si>
  <si>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</si>
  <si>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</si>
  <si>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</si>
  <si>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</si>
  <si>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</si>
  <si>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</si>
  <si>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</si>
  <si>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</si>
  <si>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</si>
  <si>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</si>
  <si>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</si>
  <si>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</si>
  <si>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</si>
  <si>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</si>
  <si>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</si>
  <si>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</si>
  <si>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</si>
  <si>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</si>
  <si>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</si>
  <si>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</si>
  <si>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</si>
  <si>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</si>
  <si>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</si>
  <si>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</si>
  <si>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</si>
  <si>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</si>
  <si>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</si>
  <si>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</si>
  <si>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</si>
  <si>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</si>
  <si>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</si>
  <si>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</si>
  <si>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</si>
  <si>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</si>
  <si>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</si>
  <si>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</si>
  <si>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</si>
  <si>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</si>
  <si>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</si>
  <si>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</si>
  <si>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</si>
  <si>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</si>
  <si>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</si>
  <si>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</si>
  <si>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</si>
  <si>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</si>
  <si>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</si>
  <si>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</si>
  <si>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</si>
  <si>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</si>
  <si>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</si>
  <si>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</si>
  <si>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</si>
  <si>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</si>
  <si>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</si>
  <si>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</si>
  <si>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</si>
  <si>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</si>
  <si>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</si>
  <si>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</si>
  <si>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</si>
  <si>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</si>
  <si>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</si>
  <si>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</si>
  <si>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</si>
  <si>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</si>
  <si>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</si>
  <si>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</si>
  <si>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</si>
  <si>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</si>
  <si>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</si>
  <si>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</si>
  <si>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</si>
  <si>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</si>
  <si>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</si>
  <si>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</si>
  <si>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</si>
  <si>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</si>
  <si>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</si>
  <si>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</si>
  <si>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</si>
  <si>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</si>
  <si>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</si>
  <si>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</si>
  <si>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</si>
  <si>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</si>
  <si>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</si>
  <si>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</si>
  <si>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</si>
  <si>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</si>
  <si>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</si>
  <si>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</si>
  <si>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</si>
  <si>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</si>
  <si>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</si>
  <si>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</si>
  <si>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</si>
  <si>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</si>
  <si>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</si>
  <si>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</si>
  <si>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</si>
  <si>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</si>
  <si>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</si>
  <si>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</si>
  <si>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</si>
  <si>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</si>
  <si>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</si>
  <si>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</si>
  <si>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</si>
  <si>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</si>
  <si>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</si>
  <si>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</si>
  <si>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</si>
  <si>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</si>
  <si>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</si>
  <si>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</si>
  <si>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</si>
  <si>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</si>
  <si>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</si>
  <si>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</si>
  <si>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</si>
  <si>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</si>
  <si>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</si>
  <si>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</si>
  <si>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</si>
  <si>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</si>
  <si>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</si>
  <si>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</si>
  <si>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</si>
  <si>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</si>
  <si>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</si>
  <si>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</si>
  <si>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</si>
  <si>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</si>
  <si>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</si>
  <si>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</si>
  <si>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</si>
  <si>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</si>
  <si>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</si>
  <si>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</si>
  <si>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</si>
  <si>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</si>
  <si>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</si>
  <si>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</si>
  <si>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</si>
  <si>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</si>
  <si>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</si>
  <si>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</si>
  <si>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</si>
  <si>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</si>
  <si>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</si>
  <si>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</si>
  <si>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</si>
  <si>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</si>
  <si>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</si>
  <si>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</si>
  <si>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</si>
  <si>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</si>
  <si>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</si>
  <si>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</si>
  <si>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</si>
  <si>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</si>
  <si>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</si>
  <si>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</si>
  <si>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</si>
  <si>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</si>
  <si>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</si>
  <si>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</si>
  <si>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</si>
  <si>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</si>
  <si>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</si>
  <si>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</si>
  <si>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</si>
  <si>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</si>
  <si>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</si>
  <si>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</si>
  <si>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</si>
  <si>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</si>
  <si>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</si>
  <si>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</si>
  <si>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</si>
  <si>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</si>
  <si>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</si>
  <si>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</si>
  <si>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</si>
  <si>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</si>
  <si>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</si>
  <si>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</si>
  <si>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</si>
  <si>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</si>
  <si>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</si>
  <si>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</si>
  <si>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</si>
  <si>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</si>
  <si>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</si>
  <si>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</si>
  <si>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</si>
  <si>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</si>
  <si>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</si>
  <si>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</si>
  <si>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</si>
  <si>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</si>
  <si>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</si>
  <si>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</si>
  <si>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</si>
  <si>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</si>
  <si>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</si>
  <si>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</si>
  <si>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</si>
  <si>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</si>
  <si>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</si>
  <si>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</si>
  <si>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</si>
  <si>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</si>
  <si>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</si>
  <si>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</si>
  <si>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</si>
  <si>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</si>
  <si>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</si>
  <si>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</si>
  <si>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</si>
  <si>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</si>
  <si>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</si>
  <si>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</si>
  <si>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</si>
  <si>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</si>
  <si>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</si>
  <si>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</si>
  <si>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</si>
  <si>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</si>
  <si>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</si>
  <si>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</si>
  <si>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</si>
  <si>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</si>
  <si>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</si>
  <si>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</si>
  <si>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</si>
  <si>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</si>
  <si>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</si>
  <si>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</si>
  <si>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</si>
  <si>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</si>
  <si>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</si>
  <si>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</si>
  <si>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</si>
  <si>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</si>
  <si>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</si>
  <si>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</si>
  <si>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</si>
  <si>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</si>
  <si>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</si>
  <si>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</si>
  <si>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</si>
  <si>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</si>
  <si>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</si>
  <si>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</si>
  <si>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</si>
  <si>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</si>
  <si>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</si>
  <si>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</si>
  <si>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</si>
  <si>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</si>
  <si>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</si>
  <si>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</si>
  <si>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</si>
  <si>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</si>
  <si>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</si>
  <si>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</si>
  <si>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</si>
  <si>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</si>
  <si>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</si>
  <si>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</si>
  <si>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</si>
  <si>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</si>
  <si>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</si>
  <si>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</si>
  <si>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</si>
  <si>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</si>
  <si>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</si>
  <si>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</si>
  <si>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</si>
  <si>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</si>
  <si>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</si>
  <si>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</si>
  <si>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</si>
  <si>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</si>
  <si>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</si>
  <si>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</si>
  <si>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</si>
  <si>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</si>
  <si>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</si>
  <si>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</si>
  <si>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</si>
  <si>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</si>
  <si>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</si>
  <si>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</si>
  <si>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</si>
  <si>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</si>
  <si>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</si>
  <si>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</si>
  <si>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</si>
  <si>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</si>
  <si>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</si>
  <si>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</si>
  <si>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</si>
  <si>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</si>
  <si>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</si>
  <si>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</si>
  <si>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</si>
  <si>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</si>
  <si>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</si>
  <si>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</si>
  <si>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</si>
  <si>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</si>
  <si>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</si>
  <si>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</si>
  <si>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</si>
  <si>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</si>
  <si>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</si>
  <si>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</si>
  <si>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</si>
  <si>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</si>
  <si>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</si>
  <si>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</si>
  <si>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</si>
  <si>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</si>
  <si>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</si>
  <si>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</si>
  <si>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</si>
  <si>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</si>
  <si>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</si>
  <si>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</si>
  <si>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</si>
  <si>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</si>
  <si>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</si>
  <si>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</si>
  <si>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</si>
  <si>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</si>
  <si>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</si>
  <si>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</si>
  <si>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</si>
  <si>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</si>
  <si>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</si>
  <si>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</si>
  <si>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</si>
  <si>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</si>
  <si>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</si>
  <si>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</si>
  <si>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</si>
  <si>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</si>
  <si>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</si>
  <si>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</si>
  <si>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</si>
  <si>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</si>
  <si>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</si>
  <si>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</si>
  <si>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</si>
  <si>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</si>
  <si>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</si>
  <si>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</si>
  <si>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</si>
  <si>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</si>
  <si>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</si>
  <si>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</si>
  <si>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</si>
  <si>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</si>
  <si>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</si>
  <si>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</si>
  <si>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</si>
  <si>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</si>
  <si>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</si>
  <si>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</si>
  <si>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</si>
  <si>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</si>
  <si>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</si>
  <si>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</si>
  <si>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</si>
  <si>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</si>
  <si>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</si>
  <si>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</si>
  <si>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</si>
  <si>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</si>
  <si>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</si>
  <si>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</si>
  <si>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</si>
  <si>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</si>
  <si>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</si>
  <si>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</si>
  <si>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</si>
  <si>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</si>
  <si>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</si>
  <si>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</si>
  <si>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</si>
  <si>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</si>
  <si>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</si>
  <si>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</si>
  <si>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</si>
  <si>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</si>
  <si>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</si>
  <si>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</si>
  <si>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</si>
  <si>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</si>
  <si>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</si>
  <si>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</si>
  <si>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</si>
  <si>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</si>
  <si>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</si>
  <si>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</si>
  <si>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</si>
  <si>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</si>
  <si>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</si>
  <si>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</si>
  <si>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</si>
  <si>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</si>
  <si>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</si>
  <si>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</si>
  <si>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</si>
  <si>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</si>
  <si>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</si>
  <si>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</si>
  <si>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</si>
  <si>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</si>
  <si>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</si>
  <si>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</si>
  <si>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</si>
  <si>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</si>
  <si>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</si>
  <si>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</si>
  <si>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</si>
  <si>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</si>
  <si>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</si>
  <si>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</si>
  <si>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</si>
  <si>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</si>
  <si>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</si>
  <si>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</si>
  <si>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</si>
  <si>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</si>
  <si>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</si>
  <si>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</si>
  <si>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</si>
  <si>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</si>
  <si>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</si>
  <si>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</si>
  <si>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</si>
  <si>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</si>
  <si>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</si>
  <si>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</si>
  <si>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</si>
  <si>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</si>
  <si>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</si>
  <si>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</si>
  <si>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</si>
  <si>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</si>
  <si>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</si>
  <si>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</si>
  <si>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</si>
  <si>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</si>
  <si>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</si>
  <si>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</si>
  <si>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</si>
  <si>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</si>
  <si>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</si>
  <si>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</si>
  <si>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</si>
  <si>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</si>
  <si>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</si>
  <si>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</si>
  <si>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</si>
  <si>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</si>
  <si>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</si>
  <si>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</si>
  <si>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</si>
  <si>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</si>
  <si>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</si>
  <si>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</si>
  <si>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</si>
  <si>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</si>
  <si>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</si>
  <si>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</si>
  <si>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</si>
  <si>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</si>
  <si>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</si>
  <si>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</si>
  <si>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</si>
  <si>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</si>
  <si>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</si>
  <si>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</si>
  <si>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</si>
  <si>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</si>
  <si>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</si>
  <si>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</si>
  <si>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</si>
  <si>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</si>
  <si>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</si>
  <si>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</si>
  <si>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</si>
  <si>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</si>
  <si>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</si>
  <si>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</si>
  <si>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</si>
  <si>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</si>
  <si>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</si>
  <si>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</si>
  <si>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</si>
  <si>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</si>
  <si>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</si>
  <si>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</si>
  <si>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</si>
  <si>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</si>
  <si>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</si>
  <si>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</si>
  <si>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</si>
  <si>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</si>
  <si>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</si>
  <si>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</si>
  <si>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</si>
  <si>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</si>
  <si>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</si>
  <si>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</si>
  <si>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</si>
  <si>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</si>
  <si>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</si>
  <si>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</si>
  <si>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</si>
  <si>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</si>
  <si>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</si>
  <si>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</si>
  <si>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</si>
  <si>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</si>
  <si>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</si>
  <si>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</si>
  <si>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</si>
  <si>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</si>
  <si>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</si>
  <si>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</si>
  <si>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</si>
  <si>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</si>
  <si>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</si>
  <si>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</si>
  <si>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</si>
  <si>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</si>
  <si>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</si>
  <si>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</si>
  <si>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</si>
  <si>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</si>
  <si>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</si>
  <si>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</si>
  <si>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</si>
  <si>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</si>
  <si>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</si>
  <si>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</si>
  <si>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</si>
  <si>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</si>
  <si>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</si>
  <si>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</si>
  <si>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</si>
  <si>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</si>
  <si>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</si>
  <si>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</si>
  <si>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</si>
  <si>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</si>
  <si>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</si>
  <si>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</si>
  <si>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</si>
  <si>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</si>
  <si>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</si>
  <si>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</si>
  <si>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</si>
  <si>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</si>
  <si>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</si>
  <si>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</si>
  <si>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</si>
  <si>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</si>
  <si>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</si>
  <si>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</si>
  <si>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</si>
  <si>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</si>
  <si>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</si>
  <si>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</si>
  <si>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</si>
  <si>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</si>
  <si>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</si>
  <si>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</si>
  <si>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</si>
  <si>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</si>
  <si>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</si>
  <si>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</si>
  <si>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</si>
  <si>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</si>
  <si>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</si>
  <si>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</si>
  <si>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</si>
  <si>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</si>
  <si>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</si>
  <si>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</si>
  <si>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</si>
  <si>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</si>
  <si>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</si>
  <si>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</si>
  <si>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</si>
  <si>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</si>
  <si>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</si>
  <si>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</si>
  <si>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</si>
  <si>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</si>
  <si>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</si>
  <si>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</si>
  <si>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</si>
  <si>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</si>
  <si>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</si>
  <si>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</si>
  <si>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</si>
  <si>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</si>
  <si>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</si>
  <si>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</si>
  <si>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</si>
  <si>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</si>
  <si>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</si>
  <si>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</si>
  <si>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</si>
  <si>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</si>
  <si>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</si>
  <si>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</si>
  <si>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</si>
  <si>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</si>
  <si>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</si>
  <si>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</si>
  <si>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</si>
  <si>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</si>
  <si>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</si>
  <si>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</si>
  <si>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</si>
  <si>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</si>
  <si>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</si>
  <si>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</si>
  <si>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</si>
  <si>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</si>
  <si>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</si>
  <si>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</si>
  <si>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</si>
  <si>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</si>
  <si>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</si>
  <si>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</si>
  <si>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</si>
  <si>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</si>
  <si>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</si>
  <si>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</si>
  <si>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</si>
  <si>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</si>
  <si>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</si>
  <si>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</si>
  <si>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</si>
  <si>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</si>
  <si>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</si>
  <si>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</si>
  <si>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</si>
  <si>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</si>
  <si>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</si>
  <si>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</si>
  <si>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</si>
  <si>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</si>
  <si>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</si>
  <si>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</si>
  <si>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</si>
  <si>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</si>
  <si>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</si>
  <si>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</si>
  <si>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</si>
  <si>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</si>
  <si>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</si>
  <si>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</si>
  <si>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</si>
  <si>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</si>
  <si>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</si>
  <si>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</si>
  <si>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</si>
  <si>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</si>
  <si>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</si>
  <si>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</si>
  <si>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</si>
  <si>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</si>
  <si>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</si>
  <si>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</si>
  <si>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</si>
  <si>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</si>
  <si>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</si>
  <si>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</si>
  <si>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</si>
  <si>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</si>
  <si>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</si>
  <si>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</si>
  <si>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</si>
  <si>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</si>
  <si>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</si>
  <si>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</si>
  <si>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</si>
  <si>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</si>
  <si>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</si>
  <si>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</si>
  <si>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</si>
  <si>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</si>
  <si>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</si>
  <si>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</si>
  <si>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</si>
  <si>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</si>
  <si>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</si>
  <si>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</si>
  <si>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</si>
  <si>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</si>
  <si>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</si>
  <si>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</si>
  <si>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</si>
  <si>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</si>
  <si>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</si>
  <si>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</si>
  <si>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</si>
  <si>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</si>
  <si>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</si>
  <si>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</si>
  <si>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</si>
  <si>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</si>
  <si>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</si>
  <si>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</si>
  <si>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</si>
  <si>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</si>
  <si>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</si>
  <si>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</si>
  <si>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</si>
  <si>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</si>
  <si>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</si>
  <si>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</si>
  <si>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</si>
  <si>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</si>
  <si>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</si>
  <si>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</si>
  <si>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</si>
  <si>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</si>
  <si>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</si>
  <si>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</si>
  <si>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</si>
  <si>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</si>
  <si>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</si>
  <si>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</si>
  <si>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</si>
  <si>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</si>
  <si>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</si>
  <si>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</si>
  <si>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</si>
  <si>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</si>
  <si>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</si>
  <si>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</si>
  <si>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</si>
  <si>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</si>
  <si>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</si>
  <si>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</si>
  <si>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</si>
  <si>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</si>
  <si>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</si>
  <si>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</si>
  <si>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</si>
  <si>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</si>
  <si>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</si>
  <si>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</si>
  <si>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</si>
  <si>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</si>
  <si>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</si>
  <si>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</si>
  <si>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</si>
  <si>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</si>
  <si>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</si>
  <si>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</si>
  <si>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</si>
  <si>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</si>
  <si>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</si>
  <si>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</si>
  <si>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</si>
  <si>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</si>
  <si>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</si>
  <si>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</si>
  <si>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</si>
  <si>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</si>
  <si>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</si>
  <si>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</si>
  <si>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</si>
  <si>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</si>
  <si>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</si>
  <si>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</si>
  <si>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</si>
  <si>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</si>
  <si>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</si>
  <si>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</si>
  <si>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</si>
  <si>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</si>
  <si>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</si>
  <si>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</si>
  <si>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</si>
  <si>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</si>
  <si>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</si>
  <si>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</si>
  <si>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</si>
  <si>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</si>
  <si>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</si>
  <si>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</si>
  <si>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</si>
  <si>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</si>
  <si>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</si>
  <si>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</si>
  <si>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</si>
  <si>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</si>
  <si>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</si>
  <si>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</si>
  <si>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</si>
  <si>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</si>
  <si>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</si>
  <si>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</si>
  <si>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</si>
  <si>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</si>
  <si>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</si>
  <si>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</si>
  <si>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</si>
  <si>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</si>
  <si>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</si>
  <si>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</si>
  <si>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</si>
  <si>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</si>
  <si>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</si>
  <si>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</si>
  <si>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</si>
  <si>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</si>
  <si>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</si>
  <si>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</si>
  <si>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</si>
  <si>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</si>
  <si>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</si>
  <si>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</si>
  <si>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</si>
  <si>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</si>
  <si>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</si>
  <si>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</si>
  <si>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</si>
  <si>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</si>
  <si>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</si>
  <si>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</si>
  <si>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</si>
  <si>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</si>
  <si>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</si>
  <si>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</si>
  <si>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</si>
  <si>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</si>
  <si>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</si>
  <si>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</si>
  <si>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</si>
  <si>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</si>
  <si>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</si>
  <si>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</si>
  <si>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</si>
  <si>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</si>
  <si>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</si>
  <si>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</si>
  <si>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</si>
  <si>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</si>
  <si>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</si>
  <si>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</si>
  <si>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</si>
  <si>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</si>
  <si>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</si>
  <si>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</si>
  <si>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</si>
  <si>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</si>
  <si>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</si>
  <si>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</si>
  <si>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</si>
  <si>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</si>
  <si>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</si>
  <si>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</si>
  <si>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</si>
  <si>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</si>
  <si>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</si>
  <si>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</si>
  <si>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</si>
  <si>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</si>
  <si>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</si>
  <si>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</si>
  <si>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</si>
  <si>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</si>
  <si>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</si>
  <si>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</si>
  <si>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</si>
  <si>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</si>
  <si>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</si>
  <si>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</si>
  <si>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</si>
  <si>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</si>
  <si>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</si>
  <si>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</si>
  <si>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</si>
  <si>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</si>
  <si>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</si>
  <si>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</si>
  <si>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</si>
  <si>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</si>
  <si>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</si>
  <si>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</si>
  <si>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</si>
  <si>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</si>
  <si>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</si>
  <si>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</si>
  <si>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</si>
  <si>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</si>
  <si>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</si>
  <si>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</si>
  <si>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</si>
  <si>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</si>
  <si>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</si>
  <si>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</si>
  <si>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</si>
  <si>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</si>
  <si>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</si>
  <si>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</si>
  <si>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</si>
  <si>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</si>
  <si>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</si>
  <si>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</si>
  <si>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</si>
  <si>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</si>
  <si>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</si>
  <si>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</si>
  <si>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</si>
  <si>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</si>
  <si>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</si>
  <si>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</si>
  <si>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</si>
  <si>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</si>
  <si>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</si>
  <si>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</si>
  <si>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</si>
  <si>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</si>
  <si>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</si>
  <si>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</si>
  <si>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</si>
  <si>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</si>
  <si>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</si>
  <si>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</si>
  <si>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</si>
  <si>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</si>
  <si>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</si>
  <si>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</si>
  <si>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</si>
  <si>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</si>
  <si>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</si>
  <si>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</si>
  <si>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</si>
  <si>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</si>
  <si>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</si>
  <si>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</si>
  <si>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</si>
  <si>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</si>
  <si>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</si>
  <si>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</si>
  <si>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</si>
  <si>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</si>
  <si>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</si>
  <si>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</si>
  <si>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</si>
  <si>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</si>
  <si>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</si>
  <si>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</si>
  <si>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</si>
  <si>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</si>
  <si>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</si>
  <si>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</si>
  <si>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</si>
  <si>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</si>
  <si>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</si>
  <si>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</si>
  <si>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</si>
  <si>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</si>
  <si>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</si>
  <si>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</si>
  <si>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</si>
  <si>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</si>
  <si>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</si>
  <si>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</si>
  <si>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</si>
  <si>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</si>
  <si>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</si>
  <si>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</si>
  <si>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</si>
  <si>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</si>
  <si>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</si>
  <si>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</si>
  <si>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</si>
  <si>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</si>
  <si>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</si>
  <si>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</si>
  <si>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</si>
  <si>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</si>
  <si>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</si>
  <si>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</si>
  <si>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</si>
  <si>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</si>
  <si>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</si>
  <si>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</si>
  <si>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</si>
  <si>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</si>
  <si>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</si>
  <si>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</si>
  <si>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</si>
  <si>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</si>
  <si>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</si>
  <si>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</si>
  <si>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</si>
  <si>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</si>
  <si>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</si>
  <si>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</si>
  <si>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</si>
  <si>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</si>
  <si>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</si>
  <si>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</si>
  <si>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</si>
  <si>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</si>
  <si>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</si>
  <si>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</si>
  <si>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</si>
  <si>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</si>
  <si>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</si>
  <si>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</si>
  <si>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</si>
  <si>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</si>
  <si>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</si>
  <si>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</si>
  <si>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</si>
  <si>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</si>
  <si>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</si>
  <si>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</si>
  <si>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</si>
  <si>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</si>
  <si>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</si>
  <si>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</si>
  <si>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</si>
  <si>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</si>
  <si>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</si>
  <si>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</si>
  <si>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</si>
  <si>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</si>
  <si>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</si>
  <si>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</si>
  <si>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</si>
  <si>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</si>
  <si>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</si>
  <si>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</si>
  <si>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</si>
  <si>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</si>
  <si>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</si>
  <si>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</si>
  <si>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</si>
  <si>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</si>
  <si>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</si>
  <si>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</si>
  <si>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</si>
  <si>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</si>
  <si>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</si>
  <si>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</si>
  <si>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</si>
  <si>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</si>
  <si>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</si>
  <si>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</si>
  <si>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</si>
  <si>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</si>
  <si>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</si>
  <si>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</si>
  <si>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</si>
  <si>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</si>
  <si>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</si>
  <si>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</si>
  <si>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</si>
  <si>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</si>
  <si>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</si>
  <si>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</si>
  <si>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</si>
  <si>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</si>
  <si>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</si>
  <si>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</si>
  <si>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</si>
  <si>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</si>
  <si>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</si>
  <si>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</si>
  <si>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</si>
  <si>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</si>
  <si>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</si>
  <si>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</si>
  <si>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</si>
  <si>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</si>
  <si>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</si>
  <si>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</si>
  <si>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</si>
  <si>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</si>
  <si>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</si>
  <si>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</si>
  <si>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</si>
  <si>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</si>
  <si>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</si>
  <si>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</si>
  <si>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</si>
  <si>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</si>
  <si>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</si>
  <si>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</si>
  <si>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</si>
  <si>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</si>
  <si>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</si>
  <si>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</si>
  <si>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</si>
  <si>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</si>
  <si>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</si>
  <si>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</si>
  <si>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</si>
  <si>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</si>
  <si>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</si>
  <si>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</si>
  <si>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</si>
  <si>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</si>
  <si>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</si>
  <si>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</si>
  <si>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</si>
  <si>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</si>
  <si>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</si>
  <si>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</si>
  <si>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</si>
  <si>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</si>
  <si>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</si>
  <si>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</si>
  <si>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</si>
  <si>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</si>
  <si>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</si>
  <si>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</si>
  <si>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</si>
  <si>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</si>
  <si>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</si>
  <si>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</si>
  <si>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</si>
  <si>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</si>
  <si>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</si>
  <si>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</si>
  <si>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</si>
  <si>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</si>
  <si>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</si>
  <si>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</si>
  <si>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</si>
  <si>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</si>
  <si>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</si>
  <si>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</si>
  <si>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</si>
  <si>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</si>
  <si>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</si>
  <si>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</si>
  <si>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</si>
  <si>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</si>
  <si>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</si>
  <si>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</si>
  <si>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</si>
  <si>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</si>
  <si>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</si>
  <si>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</si>
  <si>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</si>
  <si>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</si>
  <si>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</si>
  <si>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</si>
  <si>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</si>
  <si>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</si>
  <si>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</si>
  <si>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</si>
  <si>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</si>
  <si>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</si>
  <si>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</si>
  <si>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</si>
  <si>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</si>
  <si>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</si>
  <si>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</si>
  <si>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</si>
  <si>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</si>
  <si>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</si>
  <si>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</si>
  <si>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</si>
  <si>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</si>
  <si>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</si>
  <si>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</si>
  <si>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</si>
  <si>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</si>
  <si>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</si>
  <si>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</si>
  <si>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</si>
  <si>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</si>
  <si>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</si>
  <si>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</si>
  <si>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</si>
  <si>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</si>
  <si>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</si>
  <si>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</si>
  <si>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</si>
  <si>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</si>
  <si>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</si>
  <si>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</si>
  <si>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</si>
  <si>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</si>
  <si>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</si>
  <si>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</si>
  <si>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</si>
  <si>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</si>
  <si>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</si>
  <si>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</si>
  <si>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</si>
  <si>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</si>
  <si>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</si>
  <si>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</si>
  <si>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</si>
  <si>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</si>
  <si>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</si>
  <si>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</si>
  <si>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</si>
  <si>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</si>
  <si>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</si>
  <si>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</si>
  <si>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</si>
  <si>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</si>
  <si>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</si>
  <si>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</si>
  <si>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</si>
  <si>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</si>
  <si>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</si>
  <si>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</si>
  <si>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</si>
  <si>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</si>
  <si>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</si>
  <si>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</si>
  <si>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</si>
  <si>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</si>
  <si>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</si>
  <si>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</si>
  <si>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</si>
  <si>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</si>
  <si>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</si>
  <si>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</si>
  <si>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</si>
  <si>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</si>
  <si>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</si>
  <si>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</si>
  <si>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</si>
  <si>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</si>
  <si>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</si>
  <si>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</si>
  <si>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</si>
  <si>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</si>
  <si>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</si>
  <si>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</si>
  <si>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</si>
  <si>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</si>
  <si>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</si>
  <si>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</si>
  <si>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</si>
  <si>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</si>
  <si>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</si>
  <si>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</si>
  <si>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</si>
  <si>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</si>
  <si>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</si>
  <si>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</si>
  <si>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</si>
  <si>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</si>
  <si>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</si>
  <si>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</si>
  <si>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</si>
  <si>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</si>
  <si>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</si>
  <si>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</si>
  <si>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</si>
  <si>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</si>
  <si>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</si>
  <si>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</si>
  <si>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</si>
  <si>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</si>
  <si>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</si>
  <si>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</si>
  <si>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</si>
  <si>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</si>
  <si>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</si>
  <si>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</si>
  <si>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</si>
  <si>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</si>
  <si>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</si>
  <si>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</si>
  <si>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</si>
  <si>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</si>
  <si>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</si>
  <si>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</si>
  <si>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</si>
  <si>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</si>
  <si>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</si>
  <si>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</si>
  <si>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</si>
  <si>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</si>
  <si>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</si>
  <si>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</si>
  <si>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</si>
  <si>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</si>
  <si>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</si>
  <si>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</si>
  <si>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</si>
  <si>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</si>
  <si>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</si>
  <si>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</si>
  <si>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</si>
  <si>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</si>
  <si>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</si>
  <si>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</si>
  <si>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</si>
  <si>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</si>
  <si>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</si>
  <si>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</si>
  <si>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</si>
  <si>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</si>
  <si>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</si>
  <si>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</si>
  <si>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</si>
  <si>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</si>
  <si>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</si>
  <si>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</si>
  <si>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</si>
  <si>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</si>
  <si>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</si>
  <si>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</si>
  <si>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</si>
  <si>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</si>
  <si>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</si>
  <si>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</si>
  <si>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</si>
  <si>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</si>
  <si>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</si>
  <si>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</si>
  <si>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</si>
  <si>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</si>
  <si>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</si>
  <si>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</si>
  <si>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</si>
  <si>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</si>
  <si>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</si>
  <si>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</si>
  <si>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</si>
  <si>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</si>
  <si>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</si>
  <si>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</si>
  <si>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</si>
  <si>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</si>
  <si>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</si>
  <si>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</si>
  <si>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</si>
  <si>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</si>
  <si>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</si>
  <si>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</si>
  <si>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</si>
  <si>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</si>
  <si>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</si>
  <si>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</si>
  <si>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</si>
  <si>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</si>
  <si>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</si>
  <si>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</si>
  <si>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</si>
  <si>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</si>
  <si>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</si>
  <si>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</si>
  <si>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</si>
  <si>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</si>
  <si>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</si>
  <si>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</si>
  <si>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</si>
  <si>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</si>
  <si>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</si>
  <si>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</si>
  <si>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</si>
  <si>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</si>
  <si>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</si>
  <si>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</si>
  <si>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</si>
  <si>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</si>
  <si>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</si>
  <si>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</si>
  <si>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</si>
  <si>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</si>
  <si>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</si>
  <si>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</si>
  <si>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</si>
  <si>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</si>
  <si>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</si>
  <si>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</si>
  <si>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</si>
  <si>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</si>
  <si>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</si>
  <si>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</si>
  <si>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</si>
  <si>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</si>
  <si>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</si>
  <si>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</si>
  <si>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</si>
  <si>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</si>
  <si>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</si>
  <si>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</si>
  <si>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</si>
  <si>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</si>
  <si>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</si>
  <si>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</si>
  <si>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</si>
  <si>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</si>
  <si>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</si>
  <si>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</si>
  <si>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</si>
  <si>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</si>
  <si>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</si>
  <si>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</si>
  <si>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</si>
  <si>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</si>
  <si>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</si>
  <si>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</si>
  <si>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</si>
  <si>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</si>
  <si>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</si>
  <si>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</si>
  <si>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</si>
  <si>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</si>
  <si>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</si>
  <si>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</si>
  <si>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</si>
  <si>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</si>
  <si>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</si>
  <si>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</si>
  <si>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</si>
  <si>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</si>
  <si>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</si>
  <si>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</si>
  <si>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</si>
  <si>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</si>
  <si>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</si>
  <si>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</si>
  <si>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</si>
  <si>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</si>
  <si>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</si>
  <si>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</si>
  <si>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</si>
  <si>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</si>
  <si>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</si>
  <si>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</si>
  <si>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</si>
  <si>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</si>
  <si>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</si>
  <si>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</si>
  <si>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</si>
  <si>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</si>
  <si>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</si>
  <si>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</si>
  <si>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</si>
  <si>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</si>
  <si>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</si>
  <si>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</si>
  <si>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</si>
  <si>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</si>
  <si>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</si>
  <si>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</si>
  <si>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</si>
  <si>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</si>
  <si>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</si>
  <si>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</si>
  <si>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</si>
  <si>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</si>
  <si>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</si>
  <si>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</si>
  <si>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</si>
  <si>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</si>
  <si>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</si>
  <si>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</si>
  <si>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</si>
  <si>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</si>
  <si>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</si>
  <si>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</si>
  <si>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</si>
  <si>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</si>
  <si>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</si>
  <si>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</si>
  <si>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</si>
  <si>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</si>
  <si>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</si>
  <si>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</si>
  <si>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</si>
  <si>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</si>
  <si>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</si>
  <si>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</si>
  <si>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</si>
  <si>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</si>
  <si>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</si>
  <si>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</si>
  <si>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</si>
  <si>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</si>
  <si>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</si>
  <si>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</si>
  <si>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</si>
  <si>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</si>
  <si>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</si>
  <si>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</si>
  <si>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</si>
  <si>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</si>
  <si>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</si>
  <si>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</si>
  <si>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</si>
  <si>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</si>
  <si>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</si>
  <si>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</si>
  <si>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</si>
  <si>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</si>
  <si>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</si>
  <si>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</si>
  <si>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</si>
  <si>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</si>
  <si>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</si>
  <si>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</si>
  <si>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</si>
  <si>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</si>
  <si>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</si>
  <si>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</si>
  <si>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</si>
  <si>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</si>
  <si>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</si>
  <si>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</si>
  <si>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</si>
  <si>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</si>
  <si>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</si>
  <si>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</si>
  <si>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</si>
  <si>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</si>
  <si>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</si>
  <si>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</si>
  <si>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</si>
  <si>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</si>
  <si>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</si>
  <si>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</si>
  <si>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</si>
  <si>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</si>
  <si>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</si>
  <si>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</si>
  <si>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</si>
  <si>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</si>
  <si>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</si>
  <si>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</si>
  <si>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</si>
  <si>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</si>
  <si>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</si>
  <si>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</si>
  <si>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</si>
  <si>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</si>
  <si>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</si>
  <si>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</si>
  <si>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</si>
  <si>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</si>
  <si>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</si>
  <si>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</si>
  <si>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</si>
  <si>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</si>
  <si>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</si>
  <si>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</si>
  <si>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</si>
  <si>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</si>
  <si>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</si>
  <si>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</si>
  <si>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</si>
  <si>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</si>
  <si>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</si>
  <si>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</si>
  <si>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</si>
  <si>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</si>
  <si>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</si>
  <si>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</si>
  <si>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</si>
  <si>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</si>
  <si>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</si>
  <si>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</si>
  <si>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</si>
  <si>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</si>
  <si>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</si>
  <si>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</si>
  <si>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</si>
  <si>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</si>
  <si>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</si>
  <si>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</si>
  <si>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</si>
  <si>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</si>
  <si>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</si>
  <si>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</si>
  <si>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</si>
  <si>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</si>
  <si>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</si>
  <si>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</si>
  <si>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</si>
  <si>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</si>
  <si>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</si>
  <si>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</si>
  <si>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</si>
  <si>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</si>
  <si>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</si>
  <si>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</si>
  <si>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</si>
  <si>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</si>
  <si>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</si>
  <si>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</si>
  <si>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</si>
  <si>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</si>
  <si>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</si>
  <si>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</si>
  <si>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</si>
  <si>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</si>
  <si>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</si>
  <si>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</si>
  <si>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</si>
  <si>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</si>
  <si>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</si>
  <si>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</si>
  <si>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</si>
  <si>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</si>
  <si>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</si>
  <si>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</si>
  <si>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</si>
  <si>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</si>
  <si>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</si>
  <si>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</si>
  <si>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</si>
  <si>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</si>
  <si>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</si>
  <si>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</si>
  <si>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</si>
  <si>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</si>
  <si>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</si>
  <si>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</si>
  <si>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</si>
  <si>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</si>
  <si>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</si>
  <si>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</si>
  <si>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</si>
  <si>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</si>
  <si>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</si>
  <si>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</si>
  <si>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</si>
  <si>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</si>
  <si>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</si>
  <si>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</si>
  <si>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</si>
  <si>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</si>
  <si>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</si>
  <si>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</si>
  <si>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</si>
  <si>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</si>
  <si>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</si>
  <si>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</si>
  <si>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</si>
  <si>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</si>
  <si>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</si>
  <si>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</si>
  <si>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</si>
  <si>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</si>
  <si>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</si>
  <si>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</si>
  <si>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</si>
  <si>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</si>
  <si>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</si>
  <si>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</si>
  <si>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</si>
  <si>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</si>
  <si>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</si>
  <si>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</si>
  <si>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</si>
  <si>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</si>
  <si>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</si>
  <si>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</si>
  <si>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</si>
  <si>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</si>
  <si>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</si>
  <si>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</si>
  <si>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</si>
  <si>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</si>
  <si>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</si>
  <si>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</si>
  <si>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</si>
  <si>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</si>
  <si>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</si>
  <si>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</si>
  <si>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</si>
  <si>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</si>
  <si>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</si>
  <si>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</si>
  <si>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</si>
  <si>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</si>
  <si>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</si>
  <si>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</si>
  <si>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</si>
  <si>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</si>
  <si>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</si>
  <si>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</si>
  <si>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</si>
  <si>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</si>
  <si>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</si>
  <si>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</si>
  <si>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</si>
  <si>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</si>
  <si>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</si>
  <si>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</si>
  <si>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</si>
  <si>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</si>
  <si>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</si>
  <si>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</si>
  <si>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</si>
  <si>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</si>
  <si>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</si>
  <si>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</si>
  <si>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</si>
  <si>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</si>
  <si>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</si>
  <si>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</si>
  <si>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</si>
  <si>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</si>
  <si>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</si>
  <si>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</si>
  <si>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</si>
  <si>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</si>
  <si>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</si>
  <si>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</si>
  <si>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</si>
  <si>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</si>
  <si>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</si>
  <si>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</si>
  <si>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</si>
  <si>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</si>
  <si>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</si>
  <si>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</si>
  <si>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</si>
  <si>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</si>
  <si>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</si>
  <si>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</si>
  <si>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</si>
  <si>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</si>
  <si>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</si>
  <si>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</si>
  <si>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</si>
  <si>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</si>
  <si>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</si>
  <si>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</si>
  <si>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</si>
  <si>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</si>
  <si>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</si>
  <si>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</si>
  <si>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</si>
  <si>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</si>
  <si>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</si>
  <si>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</si>
  <si>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</si>
  <si>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</si>
  <si>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</si>
  <si>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</si>
  <si>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</si>
  <si>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</si>
  <si>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</si>
  <si>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</si>
  <si>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</si>
  <si>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</si>
  <si>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</si>
  <si>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</si>
  <si>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</si>
  <si>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</si>
  <si>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</si>
  <si>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</si>
  <si>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</si>
  <si>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</si>
  <si>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</si>
  <si>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</si>
  <si>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</si>
  <si>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</si>
  <si>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</si>
  <si>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</si>
  <si>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</si>
  <si>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</si>
  <si>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</si>
  <si>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</si>
  <si>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</si>
  <si>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</si>
  <si>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</si>
  <si>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</si>
  <si>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</si>
  <si>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</si>
  <si>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</si>
  <si>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</si>
  <si>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</si>
  <si>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</si>
  <si>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</si>
  <si>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</si>
  <si>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</si>
  <si>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</si>
  <si>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</si>
  <si>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</si>
  <si>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</si>
  <si>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</si>
  <si>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</si>
  <si>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</si>
  <si>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</si>
  <si>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</si>
  <si>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</si>
  <si>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</si>
  <si>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</si>
  <si>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</si>
  <si>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</si>
  <si>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</si>
  <si>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</si>
  <si>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</si>
  <si>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</si>
  <si>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</si>
  <si>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</si>
  <si>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</si>
  <si>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</si>
  <si>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</si>
  <si>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</si>
  <si>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</si>
  <si>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</si>
  <si>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</si>
  <si>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</si>
  <si>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</si>
  <si>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</si>
  <si>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</si>
  <si>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</si>
  <si>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</si>
  <si>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</si>
  <si>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</si>
  <si>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</si>
  <si>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</si>
  <si>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</si>
  <si>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</si>
  <si>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</si>
  <si>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</si>
  <si>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</si>
  <si>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</si>
  <si>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</si>
  <si>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</si>
  <si>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</si>
  <si>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</si>
  <si>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</si>
  <si>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</si>
  <si>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</si>
  <si>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</si>
  <si>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</si>
  <si>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</si>
  <si>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</si>
  <si>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</si>
  <si>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</si>
  <si>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</si>
  <si>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</si>
  <si>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</si>
  <si>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</si>
  <si>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</si>
  <si>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</si>
  <si>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</si>
  <si>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</si>
  <si>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</si>
  <si>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</si>
  <si>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</si>
  <si>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</si>
  <si>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</si>
  <si>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</si>
  <si>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</si>
  <si>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</si>
  <si>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</si>
  <si>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</si>
  <si>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</si>
  <si>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</si>
  <si>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</si>
  <si>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</si>
  <si>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</si>
  <si>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</si>
  <si>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</si>
  <si>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</si>
  <si>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</si>
  <si>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</si>
  <si>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</si>
  <si>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</si>
  <si>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</si>
  <si>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</si>
  <si>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</si>
  <si>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</si>
  <si>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</si>
  <si>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</si>
  <si>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</si>
  <si>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</si>
  <si>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</si>
  <si>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</si>
  <si>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</si>
  <si>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</si>
  <si>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</si>
  <si>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</si>
  <si>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</si>
  <si>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</si>
  <si>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</si>
  <si>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</si>
  <si>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</si>
  <si>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</si>
  <si>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</si>
  <si>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</si>
  <si>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</si>
  <si>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</si>
  <si>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</si>
  <si>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</si>
  <si>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</si>
  <si>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</si>
  <si>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</si>
  <si>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</si>
  <si>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</si>
  <si>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</si>
  <si>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</si>
  <si>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</si>
  <si>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</si>
  <si>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</si>
  <si>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</si>
  <si>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</si>
  <si>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</si>
  <si>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</si>
  <si>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</si>
  <si>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</si>
  <si>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</si>
  <si>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</si>
  <si>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</si>
  <si>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</si>
  <si>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</si>
  <si>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</si>
  <si>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</si>
  <si>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</si>
  <si>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</si>
  <si>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</si>
  <si>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</si>
  <si>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</si>
  <si>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</si>
  <si>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</si>
  <si>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</si>
  <si>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</si>
  <si>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</si>
  <si>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</si>
  <si>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</si>
  <si>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</si>
  <si>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</si>
  <si>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</si>
  <si>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</si>
  <si>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</si>
  <si>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</si>
  <si>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</si>
  <si>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</si>
  <si>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</si>
  <si>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</si>
  <si>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</si>
  <si>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</si>
  <si>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</si>
  <si>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</si>
  <si>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</si>
  <si>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</si>
  <si>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</si>
  <si>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</si>
  <si>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</si>
  <si>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</si>
  <si>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</si>
  <si>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</si>
  <si>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</si>
  <si>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</si>
  <si>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</si>
  <si>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</si>
  <si>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</si>
  <si>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</si>
  <si>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</si>
  <si>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</si>
  <si>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</si>
  <si>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</si>
  <si>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</si>
  <si>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</si>
  <si>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</si>
  <si>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</si>
  <si>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</si>
  <si>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</si>
  <si>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</si>
  <si>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</si>
  <si>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</si>
  <si>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</si>
  <si>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</si>
  <si>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</si>
  <si>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</si>
  <si>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</si>
  <si>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</si>
  <si>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</si>
  <si>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</si>
  <si>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</si>
  <si>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</si>
  <si>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</si>
  <si>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</si>
  <si>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</si>
  <si>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</si>
  <si>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</si>
  <si>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</si>
  <si>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</si>
  <si>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</si>
  <si>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</si>
  <si>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</si>
  <si>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</si>
  <si>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</si>
  <si>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</si>
  <si>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</si>
  <si>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</si>
  <si>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</si>
  <si>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</si>
  <si>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</si>
  <si>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</si>
  <si>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</si>
  <si>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</si>
  <si>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</si>
  <si>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</si>
  <si>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</si>
  <si>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</si>
  <si>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</si>
  <si>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</si>
  <si>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</si>
  <si>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</si>
  <si>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</si>
  <si>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</si>
  <si>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</si>
  <si>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</si>
  <si>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</si>
  <si>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</si>
  <si>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</si>
  <si>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</si>
  <si>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</si>
  <si>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</si>
  <si>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</si>
  <si>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</si>
  <si>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</si>
  <si>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</si>
  <si>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</si>
  <si>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</si>
  <si>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</si>
  <si>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</si>
  <si>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</si>
  <si>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</si>
  <si>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</si>
  <si>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</si>
  <si>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</si>
  <si>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</si>
  <si>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</si>
  <si>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</si>
  <si>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</si>
  <si>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</si>
  <si>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</si>
  <si>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</si>
  <si>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</si>
  <si>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</si>
  <si>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</si>
  <si>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</si>
  <si>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</si>
  <si>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</si>
  <si>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</si>
  <si>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</si>
  <si>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</si>
  <si>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</si>
  <si>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</si>
  <si>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</si>
  <si>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</si>
  <si>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</si>
  <si>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</si>
  <si>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</si>
  <si>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</si>
  <si>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</si>
  <si>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</si>
  <si>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</si>
  <si>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</si>
  <si>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</si>
  <si>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</si>
  <si>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</si>
  <si>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</si>
  <si>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</si>
  <si>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</si>
  <si>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</si>
  <si>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</si>
  <si>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</si>
  <si>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</si>
  <si>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</si>
  <si>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</si>
  <si>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</si>
  <si>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</si>
  <si>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</si>
  <si>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</si>
  <si>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</si>
  <si>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</si>
  <si>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</si>
  <si>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</si>
  <si>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</si>
  <si>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</si>
  <si>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</si>
  <si>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</si>
  <si>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</si>
  <si>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</si>
  <si>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</si>
  <si>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</si>
  <si>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</si>
  <si>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</si>
  <si>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</si>
  <si>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</si>
  <si>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</si>
  <si>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</si>
  <si>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</si>
  <si>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</si>
  <si>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</si>
  <si>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</si>
  <si>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</si>
  <si>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</si>
  <si>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</si>
  <si>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</si>
  <si>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</si>
  <si>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</si>
  <si>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</si>
  <si>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</si>
  <si>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</si>
  <si>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</si>
  <si>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</si>
  <si>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</si>
  <si>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</si>
  <si>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</si>
  <si>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</si>
  <si>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</si>
  <si>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</si>
  <si>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</si>
  <si>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</si>
  <si>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</si>
  <si>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</si>
  <si>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</si>
  <si>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</si>
  <si>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</si>
  <si>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</si>
  <si>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</si>
  <si>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</si>
  <si>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</si>
  <si>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</si>
  <si>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</si>
  <si>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</si>
  <si>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</si>
  <si>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</si>
  <si>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</si>
  <si>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</si>
  <si>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</si>
  <si>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</si>
  <si>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</si>
  <si>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</si>
  <si>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</si>
  <si>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</si>
  <si>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</si>
  <si>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</si>
  <si>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</si>
  <si>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</si>
  <si>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</si>
  <si>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</si>
  <si>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</si>
  <si>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</si>
  <si>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</si>
  <si>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</si>
  <si>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</si>
  <si>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</si>
  <si>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</si>
  <si>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</si>
  <si>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</si>
  <si>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</si>
  <si>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</si>
  <si>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</si>
  <si>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</si>
  <si>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</si>
  <si>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</si>
  <si>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</si>
  <si>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</si>
  <si>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</si>
  <si>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</si>
  <si>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</si>
  <si>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</si>
  <si>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</si>
  <si>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</si>
  <si>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</si>
  <si>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</si>
  <si>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</si>
  <si>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</si>
  <si>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</si>
  <si>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</si>
  <si>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</si>
  <si>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</si>
  <si>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</si>
  <si>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</si>
  <si>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</si>
  <si>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</si>
  <si>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</si>
  <si>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</si>
  <si>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</si>
  <si>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</si>
  <si>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</si>
  <si>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</si>
  <si>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</si>
  <si>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</si>
  <si>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</si>
  <si>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</si>
  <si>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</si>
  <si>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</si>
  <si>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</si>
  <si>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</si>
  <si>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</si>
  <si>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</si>
  <si>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</si>
  <si>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</si>
  <si>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</si>
  <si>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</si>
  <si>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</si>
  <si>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</si>
  <si>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</si>
  <si>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</si>
  <si>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</si>
  <si>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</si>
  <si>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</si>
  <si>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</si>
  <si>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</si>
  <si>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</si>
  <si>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</si>
  <si>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</si>
  <si>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</si>
  <si>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</si>
  <si>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</si>
  <si>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</si>
  <si>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</si>
  <si>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</si>
  <si>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</si>
  <si>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</si>
  <si>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</si>
  <si>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</si>
  <si>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</si>
  <si>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</si>
  <si>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</si>
  <si>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</si>
  <si>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</si>
  <si>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</si>
  <si>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</si>
  <si>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</si>
  <si>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</si>
  <si>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</si>
  <si>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</si>
  <si>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</si>
  <si>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</si>
  <si>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</si>
  <si>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</si>
  <si>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</si>
  <si>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</si>
  <si>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</si>
  <si>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</si>
  <si>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</si>
  <si>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</si>
  <si>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</si>
  <si>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</si>
  <si>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</si>
  <si>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</si>
  <si>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</si>
  <si>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</si>
  <si>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</si>
  <si>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</si>
  <si>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</si>
  <si>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</si>
  <si>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</si>
  <si>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</si>
  <si>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</si>
  <si>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</si>
  <si>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</si>
  <si>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</si>
  <si>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</si>
  <si>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</si>
  <si>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</si>
  <si>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</si>
  <si>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</si>
  <si>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</si>
  <si>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</si>
  <si>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</si>
  <si>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</si>
  <si>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</si>
  <si>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</si>
  <si>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</si>
  <si>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</si>
  <si>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</si>
  <si>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</si>
  <si>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</si>
  <si>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</si>
  <si>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</si>
  <si>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</si>
  <si>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</si>
  <si>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</si>
  <si>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</si>
  <si>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</si>
  <si>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</si>
  <si>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</si>
  <si>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</si>
  <si>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</si>
  <si>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</si>
  <si>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</si>
  <si>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</si>
  <si>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</si>
  <si>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</si>
  <si>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</si>
  <si>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</si>
  <si>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</si>
  <si>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</si>
  <si>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</si>
  <si>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</si>
  <si>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</si>
  <si>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</si>
  <si>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</si>
  <si>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</si>
  <si>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</si>
  <si>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</si>
  <si>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</si>
  <si>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</si>
  <si>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</si>
  <si>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</si>
  <si>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</si>
  <si>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</si>
  <si>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</si>
  <si>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</si>
  <si>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</si>
  <si>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</si>
  <si>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</si>
  <si>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</si>
  <si>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</si>
  <si>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</si>
  <si>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</si>
  <si>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</si>
  <si>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</si>
  <si>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</si>
  <si>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</si>
  <si>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</si>
  <si>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</si>
  <si>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</si>
  <si>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</si>
  <si>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</si>
  <si>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</si>
  <si>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</si>
  <si>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</si>
  <si>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</si>
  <si>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</si>
  <si>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</si>
  <si>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</si>
  <si>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</si>
  <si>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</si>
  <si>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</si>
  <si>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</si>
  <si>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</si>
  <si>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</si>
  <si>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</si>
  <si>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</si>
  <si>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</si>
  <si>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</si>
  <si>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</si>
  <si>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</si>
  <si>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</si>
  <si>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</si>
  <si>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</si>
  <si>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</si>
  <si>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</si>
  <si>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</si>
  <si>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</si>
  <si>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</si>
  <si>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</si>
  <si>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</si>
  <si>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</si>
  <si>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</si>
  <si>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</si>
  <si>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</si>
  <si>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</si>
  <si>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</si>
  <si>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</si>
  <si>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</si>
  <si>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</si>
  <si>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</si>
  <si>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</si>
  <si>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</si>
  <si>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</si>
  <si>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</si>
  <si>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</si>
  <si>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</si>
  <si>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</si>
  <si>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</si>
  <si>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</si>
  <si>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</si>
  <si>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</si>
  <si>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</si>
  <si>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</si>
  <si>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</si>
  <si>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</si>
  <si>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</si>
  <si>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</si>
  <si>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</si>
  <si>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</si>
  <si>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</si>
  <si>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</si>
  <si>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</si>
  <si>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</si>
  <si>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</si>
  <si>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</si>
  <si>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</si>
  <si>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</si>
  <si>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</si>
  <si>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</si>
  <si>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</si>
  <si>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</si>
  <si>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</si>
  <si>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</si>
  <si>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</si>
  <si>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</si>
  <si>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</si>
  <si>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</si>
  <si>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</si>
  <si>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</si>
  <si>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</si>
  <si>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</si>
  <si>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</si>
  <si>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</si>
  <si>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</si>
  <si>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</si>
  <si>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</si>
  <si>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</si>
  <si>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</si>
  <si>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</si>
  <si>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</si>
  <si>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</si>
  <si>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</si>
  <si>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</si>
  <si>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</si>
  <si>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</si>
  <si>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</si>
  <si>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</si>
  <si>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</si>
  <si>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</si>
  <si>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</si>
  <si>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</si>
  <si>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</si>
  <si>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</si>
  <si>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</si>
  <si>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</si>
  <si>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</si>
  <si>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</si>
  <si>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</si>
  <si>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</si>
  <si>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</si>
  <si>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</si>
  <si>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</si>
  <si>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</si>
  <si>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</si>
  <si>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</si>
  <si>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</si>
  <si>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</si>
  <si>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</si>
  <si>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</si>
  <si>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</si>
  <si>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</si>
  <si>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</si>
  <si>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</si>
  <si>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</si>
  <si>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</si>
  <si>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</si>
  <si>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</si>
  <si>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</si>
  <si>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</si>
  <si>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</si>
  <si>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</si>
  <si>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</si>
  <si>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</si>
  <si>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</si>
  <si>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</si>
  <si>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</si>
  <si>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</si>
  <si>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</si>
  <si>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</si>
  <si>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</si>
  <si>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</si>
  <si>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</si>
  <si>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</si>
  <si>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</si>
  <si>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</si>
  <si>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</si>
  <si>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</si>
  <si>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</si>
  <si>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</si>
  <si>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</si>
  <si>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</si>
  <si>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</si>
  <si>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</si>
  <si>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</si>
  <si>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</si>
  <si>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</si>
  <si>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</si>
  <si>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</si>
  <si>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</si>
  <si>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</si>
  <si>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</si>
  <si>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</si>
  <si>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</si>
  <si>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</si>
  <si>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</si>
  <si>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</si>
  <si>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</si>
  <si>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</si>
  <si>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</si>
  <si>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</si>
  <si>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</si>
  <si>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</si>
  <si>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</si>
  <si>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</si>
  <si>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</si>
  <si>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</si>
  <si>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</si>
  <si>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</si>
  <si>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</si>
  <si>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</si>
  <si>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</si>
  <si>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</si>
  <si>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</si>
  <si>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</si>
  <si>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</si>
  <si>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</si>
  <si>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</si>
  <si>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</si>
  <si>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</si>
  <si>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</si>
  <si>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</si>
  <si>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</si>
  <si>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</si>
  <si>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</si>
  <si>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</si>
  <si>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</si>
  <si>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</si>
  <si>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</si>
  <si>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</si>
  <si>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</si>
  <si>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</si>
  <si>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</si>
  <si>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</si>
  <si>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</si>
  <si>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</si>
  <si>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</si>
  <si>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</si>
  <si>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</si>
  <si>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</si>
  <si>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</si>
  <si>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</si>
  <si>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</si>
  <si>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</si>
  <si>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</si>
  <si>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</si>
  <si>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</si>
  <si>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</si>
  <si>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</si>
  <si>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</si>
  <si>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</si>
  <si>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</si>
  <si>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</si>
  <si>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</si>
  <si>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</si>
  <si>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</si>
  <si>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</si>
  <si>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</si>
  <si>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</si>
  <si>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</si>
  <si>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</si>
  <si>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</si>
  <si>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</si>
  <si>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</si>
  <si>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</si>
  <si>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</si>
  <si>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</si>
  <si>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</si>
  <si>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</si>
  <si>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</si>
  <si>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</si>
  <si>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</si>
  <si>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</si>
  <si>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</si>
  <si>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</si>
  <si>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</si>
  <si>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</si>
  <si>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</si>
  <si>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</si>
  <si>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</si>
  <si>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</si>
  <si>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</si>
  <si>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</si>
  <si>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</si>
  <si>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</si>
  <si>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</si>
  <si>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</si>
  <si>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</si>
  <si>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</si>
  <si>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</si>
  <si>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</si>
  <si>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</si>
  <si>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</si>
  <si>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</si>
  <si>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</si>
  <si>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</si>
  <si>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</si>
  <si>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</si>
  <si>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</si>
  <si>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</si>
  <si>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</si>
  <si>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</si>
  <si>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</si>
  <si>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</si>
  <si>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</si>
  <si>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</si>
  <si>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</si>
  <si>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</si>
  <si>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</si>
  <si>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</si>
  <si>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</si>
  <si>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</si>
  <si>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</si>
  <si>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</si>
  <si>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</si>
  <si>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</si>
  <si>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</si>
  <si>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</si>
  <si>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</si>
  <si>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</si>
  <si>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</si>
  <si>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</si>
  <si>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</si>
  <si>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</si>
  <si>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</si>
  <si>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</si>
  <si>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</si>
  <si>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</si>
  <si>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</si>
  <si>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</si>
  <si>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</si>
  <si>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</si>
  <si>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</si>
  <si>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</si>
  <si>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</si>
  <si>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</si>
  <si>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</si>
  <si>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</si>
  <si>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</si>
  <si>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</si>
  <si>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</si>
  <si>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</si>
  <si>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</si>
  <si>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</si>
  <si>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</si>
  <si>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</si>
  <si>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</si>
  <si>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</si>
  <si>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</si>
  <si>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</si>
  <si>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</si>
  <si>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</si>
  <si>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</si>
  <si>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</si>
  <si>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</si>
  <si>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</si>
  <si>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</si>
  <si>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</si>
  <si>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</si>
  <si>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</si>
  <si>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</si>
  <si>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</si>
  <si>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</si>
  <si>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</si>
  <si>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</si>
  <si>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</si>
  <si>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</si>
  <si>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</si>
  <si>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</si>
  <si>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</si>
  <si>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</si>
  <si>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</si>
  <si>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</si>
  <si>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</si>
  <si>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</si>
  <si>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</si>
  <si>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</si>
  <si>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</si>
  <si>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</si>
  <si>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</si>
  <si>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</si>
  <si>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</si>
  <si>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</si>
  <si>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</si>
  <si>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</si>
  <si>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</si>
  <si>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</si>
  <si>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</si>
  <si>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</si>
  <si>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</si>
  <si>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</si>
  <si>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</si>
  <si>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</si>
  <si>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</si>
  <si>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</si>
  <si>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</si>
  <si>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</si>
  <si>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</si>
  <si>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</si>
  <si>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</si>
  <si>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</si>
  <si>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</si>
  <si>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</si>
  <si>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</si>
  <si>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</si>
  <si>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</si>
  <si>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</si>
  <si>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</si>
  <si>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</si>
  <si>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</si>
  <si>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</si>
  <si>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</si>
  <si>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</si>
  <si>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</si>
  <si>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</si>
  <si>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</si>
  <si>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</si>
  <si>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</si>
  <si>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</si>
  <si>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</si>
  <si>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</si>
  <si>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</si>
  <si>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</si>
  <si>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</si>
  <si>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</si>
  <si>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</si>
  <si>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</si>
  <si>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</si>
  <si>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</si>
  <si>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</si>
  <si>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</si>
  <si>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</si>
  <si>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</si>
  <si>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</si>
  <si>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</si>
  <si>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</si>
  <si>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</si>
  <si>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</si>
  <si>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</si>
  <si>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</si>
  <si>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</si>
  <si>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</si>
  <si>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</si>
  <si>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</si>
  <si>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</si>
  <si>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</si>
  <si>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</si>
  <si>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</si>
  <si>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</si>
  <si>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</si>
  <si>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</si>
  <si>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</si>
  <si>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</si>
  <si>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</si>
  <si>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</si>
  <si>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</si>
  <si>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</si>
  <si>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</si>
  <si>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</si>
  <si>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</si>
  <si>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</si>
  <si>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</si>
  <si>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</si>
  <si>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</si>
  <si>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</si>
  <si>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</si>
  <si>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</si>
  <si>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</si>
  <si>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</si>
  <si>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</si>
  <si>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</si>
  <si>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</si>
  <si>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</si>
  <si>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</si>
  <si>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</si>
  <si>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</si>
  <si>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</si>
  <si>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</si>
  <si>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</si>
  <si>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</si>
  <si>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</si>
  <si>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</si>
  <si>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</si>
  <si>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</si>
  <si>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</si>
  <si>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</si>
  <si>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</si>
  <si>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</si>
  <si>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</si>
  <si>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</si>
  <si>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</si>
  <si>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</si>
  <si>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</si>
  <si>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</si>
  <si>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</si>
  <si>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</si>
  <si>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</si>
  <si>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</si>
  <si>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</si>
  <si>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</si>
  <si>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</si>
  <si>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</si>
  <si>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</si>
  <si>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</si>
  <si>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</si>
  <si>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</si>
  <si>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</si>
  <si>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</si>
  <si>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</si>
  <si>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</si>
  <si>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</si>
  <si>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</si>
  <si>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</si>
  <si>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</si>
  <si>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</si>
  <si>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</si>
  <si>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</si>
  <si>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</si>
  <si>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</si>
  <si>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</si>
  <si>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</si>
  <si>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</si>
  <si>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</si>
  <si>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</si>
  <si>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</si>
  <si>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</si>
  <si>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</si>
  <si>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</si>
  <si>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</si>
  <si>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</si>
  <si>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</si>
  <si>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</si>
  <si>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</si>
  <si>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</si>
  <si>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</si>
  <si>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</si>
  <si>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</si>
  <si>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</si>
  <si>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</si>
  <si>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</si>
  <si>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</si>
  <si>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</si>
  <si>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</si>
  <si>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</si>
  <si>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</si>
  <si>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</si>
  <si>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</si>
  <si>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</si>
  <si>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</si>
  <si>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</si>
  <si>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</si>
  <si>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</si>
  <si>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</si>
  <si>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</si>
  <si>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</si>
  <si>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</si>
  <si>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</si>
  <si>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</si>
  <si>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</si>
  <si>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</si>
  <si>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</si>
  <si>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</si>
  <si>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</si>
  <si>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</si>
  <si>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</si>
  <si>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</si>
  <si>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</si>
  <si>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</si>
  <si>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</si>
  <si>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</si>
  <si>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</si>
  <si>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</si>
  <si>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</si>
  <si>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</si>
  <si>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</si>
  <si>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</si>
  <si>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</si>
  <si>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</si>
  <si>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</si>
  <si>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</si>
  <si>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</si>
  <si>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</si>
  <si>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</si>
  <si>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</si>
  <si>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</si>
  <si>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</si>
  <si>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</si>
  <si>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</si>
  <si>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</si>
  <si>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</si>
  <si>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</si>
  <si>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</si>
  <si>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</si>
  <si>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</si>
  <si>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</si>
  <si>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</si>
  <si>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</si>
  <si>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</si>
  <si>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</si>
  <si>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</si>
  <si>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</si>
  <si>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</si>
  <si>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</si>
  <si>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</si>
  <si>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</si>
  <si>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</si>
  <si>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</si>
  <si>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</si>
  <si>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</si>
  <si>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</si>
  <si>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</si>
  <si>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</si>
  <si>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</si>
  <si>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</si>
  <si>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</si>
  <si>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</si>
  <si>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</si>
  <si>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</si>
  <si>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</si>
  <si>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</si>
  <si>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</si>
  <si>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</si>
  <si>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</si>
  <si>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</si>
  <si>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</si>
  <si>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</si>
  <si>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</si>
  <si>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</si>
  <si>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</si>
  <si>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</si>
  <si>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</si>
  <si>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</si>
  <si>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</si>
  <si>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</si>
  <si>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</si>
  <si>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</si>
  <si>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</si>
  <si>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</si>
  <si>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</si>
  <si>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</si>
  <si>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</si>
  <si>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</si>
  <si>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</si>
  <si>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</si>
  <si>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</si>
  <si>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</si>
  <si>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</si>
  <si>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</si>
  <si>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</si>
  <si>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</si>
  <si>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</si>
  <si>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</si>
  <si>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</si>
  <si>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</si>
  <si>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</si>
  <si>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</si>
  <si>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</si>
  <si>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自定义容积率</t>
  </si>
  <si>
    <t>核定资产</t>
  </si>
  <si>
    <t>房地产市场价值</t>
  </si>
  <si>
    <t>北京市</t>
  </si>
  <si>
    <t>企业</t>
  </si>
  <si>
    <t>出让</t>
  </si>
  <si>
    <t>工业项目</t>
  </si>
  <si>
    <t>无</t>
  </si>
  <si>
    <t>否</t>
  </si>
  <si>
    <t>现房</t>
  </si>
  <si>
    <t>Ⅶ-顺1</t>
  </si>
  <si>
    <t>通路</t>
  </si>
  <si>
    <t>通电</t>
  </si>
  <si>
    <t>通讯</t>
  </si>
  <si>
    <t>通上水</t>
  </si>
  <si>
    <t>通下水</t>
  </si>
  <si>
    <t>平整</t>
  </si>
  <si>
    <t>容积率修正</t>
  </si>
  <si>
    <t>与级别开发程度不一致</t>
  </si>
  <si>
    <t>一般</t>
  </si>
  <si>
    <t>较好</t>
  </si>
  <si>
    <t>差</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</si>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</sst>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8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xf numFmtId="0" fontId="102" fillId="5" borderId="1" xfId="18" applyFont="1" applyFill="1" applyBorder="1" applyAlignment="1" applyProtection="1">
      <alignment horizontal="center" vertical="center" wrapText="1"/>
      <protection locked="0"/>
    </xf>
    <xf numFmtId="0" fontId="116" fillId="5" borderId="1" xfId="18" applyFont="1" applyFill="1" applyBorder="1" applyAlignment="1" applyProtection="1">
      <alignment horizontal="center" vertical="center" wrapText="1"/>
      <protection locked="0"/>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9034;&#20041;&#22307;&#208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10083.39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148" customWidth="1"/>
    <col min="2" max="2" width="81" style="1165" customWidth="1"/>
    <col min="3" max="16384" width="9" style="1163"/>
  </cols>
  <sheetData>
    <row r="1" spans="1:2" s="1151" customFormat="1" ht="16.2" thickBot="1">
      <c r="A1" s="1150" t="s">
        <v>758</v>
      </c>
      <c r="B1" s="1149" t="s">
        <v>837</v>
      </c>
    </row>
    <row r="2" spans="1:2" s="1154" customFormat="1" ht="16.2" thickTop="1">
      <c r="A2" s="1152" t="s">
        <v>759</v>
      </c>
      <c r="B2" s="1153" t="str">
        <f>'预评函-封皮'!B37:I37</f>
        <v>北京市房地产市场价值预评估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6.2" thickBot="1">
      <c r="A5" s="1158" t="s">
        <v>762</v>
      </c>
      <c r="B5" s="1159" t="str">
        <f>'预评函-封皮'!B49</f>
        <v>康正预评字号</v>
      </c>
    </row>
    <row r="6" spans="1:2" s="1154" customFormat="1" ht="16.2" thickTop="1">
      <c r="A6" s="1152" t="s">
        <v>763</v>
      </c>
      <c r="B6" s="1153" t="str">
        <f>'预评函-1'!A4</f>
        <v>受贵公司委托，我公司对北京市房地产市场价值进行了预评估。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为估价委托人了解估价对象房地产市场价值提供参考依据。</v>
      </c>
    </row>
    <row r="12" spans="1:2" s="1157" customFormat="1">
      <c r="A12" s="1155" t="s">
        <v>765</v>
      </c>
      <c r="B12" s="1156" t="str">
        <f>'预评函-1'!A15</f>
        <v>2022年5月16日</v>
      </c>
    </row>
    <row r="13" spans="1:2" s="1157" customFormat="1">
      <c r="A13" s="1155" t="s">
        <v>766</v>
      </c>
      <c r="B13" s="1156" t="str">
        <f>'预评函-1'!A18</f>
        <v>本次估价的“房地产价值”是指在正常市场情况下，在价值时点2022年5月16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v>
      </c>
    </row>
    <row r="16" spans="1:2" s="1157" customFormat="1">
      <c r="A16" s="1155" t="s">
        <v>769</v>
      </c>
      <c r="B16" s="1156" t="str">
        <f>'预评函-1'!A21</f>
        <v>——</v>
      </c>
    </row>
    <row r="17" spans="1:2" s="1157" customFormat="1">
      <c r="A17" s="1155" t="s">
        <v>770</v>
      </c>
      <c r="B17" s="1156" t="str">
        <f>'预评函-1'!A22</f>
        <v>——</v>
      </c>
    </row>
    <row r="18" spans="1:2" s="1151" customFormat="1" ht="16.2" thickBot="1">
      <c r="A18" s="1158" t="s">
        <v>771</v>
      </c>
      <c r="B18" s="1159" t="str">
        <f>'预评函-1'!A24</f>
        <v>本次评估采用的主估价方法为基准地价系数修正法和基准地价系数修正法。</v>
      </c>
    </row>
    <row r="19" spans="1:2" s="1154" customFormat="1" ht="16.2" thickTop="1">
      <c r="A19" s="1152" t="s">
        <v>772</v>
      </c>
      <c r="B19" s="115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ht="31.2">
      <c r="A42" s="1155" t="s">
        <v>827</v>
      </c>
      <c r="B42" s="1156" t="str">
        <f>'预评函-3'!B2</f>
        <v>建筑面积</v>
      </c>
    </row>
    <row r="43" spans="1:2" s="1157" customFormat="1">
      <c r="A43" s="1155" t="s">
        <v>828</v>
      </c>
      <c r="B43" s="1156">
        <f>'预评函-3'!B4</f>
        <v>0</v>
      </c>
    </row>
    <row r="44" spans="1:2" s="1157" customFormat="1" ht="31.2">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
      </c>
    </row>
    <row r="55" spans="1:2" s="1157" customFormat="1">
      <c r="A55" s="1155" t="s">
        <v>818</v>
      </c>
      <c r="B55" s="1156" t="str">
        <f>'预评函-3'!A10</f>
        <v/>
      </c>
    </row>
    <row r="56" spans="1:2" s="1157" customFormat="1">
      <c r="A56" s="1155" t="s">
        <v>819</v>
      </c>
      <c r="B56" s="1156" t="str">
        <f>'预评函-3'!A12</f>
        <v/>
      </c>
    </row>
    <row r="57" spans="1:2" s="1151" customFormat="1" ht="16.2" thickBot="1">
      <c r="A57" s="1158" t="s">
        <v>836</v>
      </c>
      <c r="B57" s="1159" t="str">
        <f>'预评函-3'!A6</f>
        <v/>
      </c>
    </row>
    <row r="58" spans="1:2" s="1154" customFormat="1" ht="16.2" thickTop="1">
      <c r="A58" s="1152" t="s">
        <v>790</v>
      </c>
      <c r="B58" s="1153" t="str">
        <f>'预评函-4'!A12</f>
        <v>2.本次评估设定估价对象房地产权属无争议，未被查封或者以其他形式限制其房地产权利，未设定抵押权等他项权利，不涉及第三方权利义务。</v>
      </c>
    </row>
    <row r="59" spans="1:2" s="1157" customFormat="1">
      <c r="A59" s="1155" t="s">
        <v>791</v>
      </c>
      <c r="B59" s="1156" t="str">
        <f>'预评函-4'!A13</f>
        <v>——</v>
      </c>
    </row>
    <row r="60" spans="1:2" s="1157" customFormat="1">
      <c r="A60" s="1155" t="s">
        <v>792</v>
      </c>
      <c r="B60" s="1156" t="str">
        <f>'预评函-4'!A14</f>
        <v>——</v>
      </c>
    </row>
    <row r="61" spans="1:2" s="1157" customFormat="1">
      <c r="A61" s="1155" t="s">
        <v>793</v>
      </c>
      <c r="B61" s="1156" t="str">
        <f>'预评函-4'!A15</f>
        <v>——</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v>
      </c>
    </row>
    <row r="65" spans="1:2" s="1157" customFormat="1">
      <c r="A65" s="1155" t="s">
        <v>796</v>
      </c>
      <c r="B65" s="115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6.2" thickBot="1">
      <c r="A69" s="1158" t="s">
        <v>798</v>
      </c>
      <c r="B69" s="1160">
        <f>'预评函-4'!C31</f>
        <v>42551</v>
      </c>
    </row>
    <row r="70" spans="1:2" ht="16.2" thickTop="1">
      <c r="A70" s="1161" t="s">
        <v>799</v>
      </c>
      <c r="B70" s="1162">
        <f>'预评函-4'!A4</f>
        <v>0</v>
      </c>
    </row>
    <row r="71" spans="1:2">
      <c r="A71" s="1155" t="s">
        <v>800</v>
      </c>
      <c r="B71" s="1156">
        <f>'预评函-4'!B4</f>
        <v>0</v>
      </c>
    </row>
    <row r="72" spans="1:2">
      <c r="A72" s="1155" t="s">
        <v>801</v>
      </c>
      <c r="B72" s="1164">
        <f>'预评函-4'!A5</f>
        <v>0</v>
      </c>
    </row>
    <row r="73" spans="1:2" s="1151" customFormat="1" ht="16.2" thickBot="1">
      <c r="A73" s="1158" t="s">
        <v>802</v>
      </c>
      <c r="B73" s="1159">
        <f>'预评函-4'!B5</f>
        <v>0</v>
      </c>
    </row>
    <row r="74" spans="1:2" ht="16.2"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4"/>
  <cols>
    <col min="1" max="1" width="13.44140625" style="1495" customWidth="1"/>
    <col min="2" max="2" width="23.21875" style="1446" customWidth="1"/>
    <col min="3" max="3" width="13" style="1490" customWidth="1"/>
    <col min="4" max="4" width="5.77734375" style="1487" customWidth="1"/>
    <col min="5" max="5" width="7.109375" style="1487" customWidth="1"/>
    <col min="6" max="6" width="10.6640625" style="1487" customWidth="1"/>
    <col min="7" max="7" width="7.44140625" style="1487" customWidth="1"/>
    <col min="8" max="8" width="9" style="1490" customWidth="1"/>
    <col min="9" max="9" width="11.6640625" style="1490" customWidth="1"/>
    <col min="10" max="10" width="9" style="1490" customWidth="1"/>
    <col min="11" max="19" width="9" style="1487" customWidth="1"/>
    <col min="20" max="23" width="9" style="1490" customWidth="1"/>
    <col min="24" max="24" width="21.109375" style="1446" customWidth="1"/>
    <col min="25" max="16384" width="9" style="1446"/>
  </cols>
  <sheetData>
    <row r="1" spans="1:23" s="1484" customFormat="1" ht="28.8">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80" zoomScaleNormal="100" zoomScaleSheetLayoutView="80" workbookViewId="0">
      <selection activeCell="G34" sqref="G34"/>
    </sheetView>
  </sheetViews>
  <sheetFormatPr defaultColWidth="10" defaultRowHeight="13.2"/>
  <cols>
    <col min="1" max="1" width="16.88671875" style="1685" customWidth="1"/>
    <col min="2" max="2" width="10" style="1685" customWidth="1"/>
    <col min="3" max="3" width="11.44140625" style="1685" customWidth="1"/>
    <col min="4" max="4" width="12.21875" style="1685" customWidth="1"/>
    <col min="5" max="5" width="12.6640625" style="1685" customWidth="1"/>
    <col min="6" max="6" width="10" style="1685" customWidth="1"/>
    <col min="7" max="7" width="10.77734375" style="1685" customWidth="1"/>
    <col min="8" max="8" width="10" style="1685" customWidth="1"/>
    <col min="9" max="9" width="11.10937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8" thickBot="1">
      <c r="A1" s="2043" t="s">
        <v>2455</v>
      </c>
      <c r="B1" s="3379" t="str">
        <f>IF(B10="北京市","北京市",C10)&amp;F10&amp;IF(结果表!G1="在建","出让国有建设用地使用权及在建建筑物",IF(结果表!G1="土地","出让国有建设用地使用权",))&amp;B9&amp;"预评估"</f>
        <v>北京市房地产市场价值预评估</v>
      </c>
      <c r="C1" s="3380"/>
      <c r="D1" s="3380"/>
      <c r="E1" s="3380"/>
      <c r="F1" s="3380"/>
      <c r="G1" s="3380"/>
      <c r="H1" s="3380"/>
      <c r="I1" s="338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北京市房地产市场价值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c r="C3" s="2051" t="s">
        <v>2458</v>
      </c>
      <c r="D3" s="2050">
        <v>44697</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8"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8"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3110</v>
      </c>
      <c r="C8" s="2067"/>
      <c r="D8" s="3382" t="s">
        <v>2464</v>
      </c>
      <c r="E8" s="2068"/>
      <c r="F8" s="2069"/>
      <c r="G8" s="2343"/>
      <c r="H8" s="2343"/>
      <c r="I8" s="2343"/>
      <c r="J8" s="2118"/>
      <c r="K8" s="2293"/>
      <c r="L8" s="2292"/>
      <c r="M8" s="2292"/>
      <c r="N8" s="2118"/>
      <c r="O8" s="2129"/>
      <c r="P8" s="2118"/>
      <c r="Q8" s="2118"/>
      <c r="R8" s="2118"/>
    </row>
    <row r="9" spans="1:28" ht="13.8" thickBot="1">
      <c r="A9" s="2070" t="s">
        <v>2465</v>
      </c>
      <c r="B9" s="2071" t="s">
        <v>3111</v>
      </c>
      <c r="C9" s="2072"/>
      <c r="D9" s="3383"/>
      <c r="E9" s="2071"/>
      <c r="F9" s="2073"/>
      <c r="G9" s="2345"/>
      <c r="H9" s="2345"/>
      <c r="I9" s="2345"/>
      <c r="J9" s="2118"/>
      <c r="K9" s="2295"/>
      <c r="L9" s="2292"/>
      <c r="M9" s="2292"/>
      <c r="N9" s="2118"/>
      <c r="O9" s="2129"/>
      <c r="P9" s="2118"/>
      <c r="Q9" s="2118"/>
      <c r="R9" s="2118"/>
    </row>
    <row r="10" spans="1:28" ht="13.8" thickTop="1">
      <c r="A10" s="2074" t="s">
        <v>2466</v>
      </c>
      <c r="B10" s="2075" t="s">
        <v>3112</v>
      </c>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3113</v>
      </c>
      <c r="C11" s="2080"/>
      <c r="D11" s="2081"/>
      <c r="E11" s="2047"/>
      <c r="F11" s="2047"/>
      <c r="G11" s="2047"/>
      <c r="H11" s="2047"/>
      <c r="I11" s="2047"/>
      <c r="J11" s="2118"/>
      <c r="K11" s="2295"/>
      <c r="L11" s="2292"/>
      <c r="M11" s="2292"/>
      <c r="N11" s="2118"/>
      <c r="O11" s="2129"/>
      <c r="P11" s="2118"/>
      <c r="Q11" s="2118"/>
      <c r="R11" s="2118"/>
    </row>
    <row r="12" spans="1:28">
      <c r="A12" s="2082" t="s">
        <v>2469</v>
      </c>
      <c r="B12" s="2079" t="s">
        <v>3114</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v>56399</v>
      </c>
      <c r="J13" s="2118"/>
      <c r="K13" s="2295"/>
      <c r="L13" s="2292"/>
      <c r="M13" s="2292"/>
      <c r="N13" s="2118"/>
      <c r="O13" s="2129"/>
      <c r="P13" s="2118"/>
      <c r="Q13" s="2118"/>
      <c r="R13" s="2118"/>
    </row>
    <row r="14" spans="1:28">
      <c r="A14" s="1046"/>
      <c r="B14" s="2084"/>
      <c r="C14" s="2085" t="s">
        <v>2478</v>
      </c>
      <c r="D14" s="2086"/>
      <c r="E14" s="2086"/>
      <c r="F14" s="2086"/>
      <c r="G14" s="2086"/>
      <c r="H14" s="2086"/>
      <c r="I14" s="2086">
        <v>50</v>
      </c>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f>IF(B12="出让",IF(I13="","",ROUNDDOWN(MIN((I13-$D$3)/365,I14),2)),I14)</f>
        <v>32.06</v>
      </c>
      <c r="J15" s="2118"/>
      <c r="K15" s="2297"/>
      <c r="L15" s="2130"/>
      <c r="M15" s="2130"/>
      <c r="N15" s="2188"/>
      <c r="O15" s="2130"/>
      <c r="P15" s="2188"/>
      <c r="Q15" s="2118"/>
      <c r="R15" s="2118"/>
    </row>
    <row r="16" spans="1:28">
      <c r="A16" s="2077" t="s">
        <v>2480</v>
      </c>
      <c r="B16" s="3389"/>
      <c r="C16" s="3390"/>
      <c r="D16" s="3391"/>
      <c r="E16" s="2092" t="s">
        <v>2481</v>
      </c>
      <c r="F16" s="3392"/>
      <c r="G16" s="3393"/>
      <c r="H16" s="3393"/>
      <c r="I16" s="3394"/>
      <c r="J16" s="2118"/>
      <c r="K16" s="2297"/>
      <c r="L16" s="2130"/>
      <c r="M16" s="2130"/>
      <c r="N16" s="2188"/>
      <c r="O16" s="2130"/>
      <c r="P16" s="2188"/>
      <c r="Q16" s="2118"/>
      <c r="R16" s="2118"/>
    </row>
    <row r="17" spans="1:28">
      <c r="A17" s="314" t="s">
        <v>2482</v>
      </c>
      <c r="B17" s="303" t="s">
        <v>2483</v>
      </c>
      <c r="C17" s="10">
        <f>'数据-汇总表'!E3</f>
        <v>0</v>
      </c>
      <c r="D17" s="1998" t="s">
        <v>2484</v>
      </c>
      <c r="E17" s="3395" t="s">
        <v>2485</v>
      </c>
      <c r="F17" s="3396"/>
      <c r="G17" s="3396"/>
      <c r="H17" s="3396"/>
      <c r="I17" s="3397"/>
      <c r="J17" s="2118"/>
      <c r="K17" s="2298"/>
      <c r="L17" s="2130"/>
      <c r="M17" s="2130"/>
      <c r="N17" s="2188"/>
      <c r="O17" s="2130"/>
      <c r="P17" s="2188"/>
      <c r="Q17" s="2118"/>
      <c r="R17" s="2118"/>
      <c r="S17" s="2118"/>
      <c r="T17" s="2118"/>
      <c r="U17" s="2118"/>
      <c r="V17" s="2118"/>
    </row>
    <row r="18" spans="1:28" ht="24.6" thickBot="1">
      <c r="A18" s="2093" t="s">
        <v>2486</v>
      </c>
      <c r="B18" s="1055" t="s">
        <v>2487</v>
      </c>
      <c r="C18" s="2094" t="e">
        <f>'数据-汇总表'!D3</f>
        <v>#DIV/0!</v>
      </c>
      <c r="D18" s="1057" t="s">
        <v>2488</v>
      </c>
      <c r="E18" s="3398" t="s">
        <v>2489</v>
      </c>
      <c r="F18" s="3399"/>
      <c r="G18" s="3399"/>
      <c r="H18" s="3399"/>
      <c r="I18" s="3400"/>
      <c r="J18" s="2118"/>
      <c r="K18" s="2298"/>
      <c r="L18" s="2130"/>
      <c r="M18" s="2130"/>
      <c r="N18" s="2188"/>
      <c r="O18" s="2130"/>
      <c r="P18" s="2188"/>
      <c r="Q18" s="2118"/>
      <c r="R18" s="2118"/>
      <c r="S18" s="2118"/>
      <c r="T18" s="2118"/>
      <c r="U18" s="2118"/>
      <c r="V18" s="2118"/>
    </row>
    <row r="19" spans="1:28" ht="25.2" thickTop="1" thickBot="1">
      <c r="A19" s="328" t="s">
        <v>1303</v>
      </c>
      <c r="B19" s="308" t="s">
        <v>2490</v>
      </c>
      <c r="C19" s="1502" t="s">
        <v>70</v>
      </c>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85" t="s">
        <v>2493</v>
      </c>
      <c r="C20" s="3386"/>
      <c r="D20" s="3387" t="s">
        <v>2494</v>
      </c>
      <c r="E20" s="3388"/>
      <c r="F20" s="2327" t="s">
        <v>1304</v>
      </c>
      <c r="G20" s="2344"/>
      <c r="H20" s="2344"/>
      <c r="I20" s="2344"/>
      <c r="J20" s="2118"/>
      <c r="K20" s="338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6" thickBot="1">
      <c r="A21" s="2312"/>
      <c r="B21" s="2313" t="s">
        <v>2496</v>
      </c>
      <c r="C21" s="2314" t="s">
        <v>1305</v>
      </c>
      <c r="D21" s="1507" t="s">
        <v>2497</v>
      </c>
      <c r="E21" s="2315" t="s">
        <v>1305</v>
      </c>
      <c r="F21" s="2328"/>
      <c r="G21" s="2344"/>
      <c r="H21" s="2344"/>
      <c r="I21" s="2344"/>
      <c r="J21" s="2118"/>
      <c r="K21" s="338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36.6" thickBot="1">
      <c r="A22" s="2312"/>
      <c r="B22" s="2316" t="s">
        <v>2498</v>
      </c>
      <c r="C22" s="2314" t="s">
        <v>1306</v>
      </c>
      <c r="D22" s="2343"/>
      <c r="E22" s="2343"/>
      <c r="F22" s="2343"/>
      <c r="G22" s="2344"/>
      <c r="H22" s="2344"/>
      <c r="I22" s="2344"/>
      <c r="J22" s="2118"/>
      <c r="K22" s="338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8"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8" thickTop="1">
      <c r="A27" s="3402" t="s">
        <v>2501</v>
      </c>
      <c r="B27" s="321" t="s">
        <v>2502</v>
      </c>
      <c r="C27" s="2095" t="s">
        <v>3115</v>
      </c>
      <c r="D27" s="2096"/>
      <c r="E27" s="2344"/>
      <c r="F27" s="2344"/>
      <c r="G27" s="2344"/>
      <c r="H27" s="2344"/>
      <c r="I27" s="2344"/>
      <c r="J27" s="2118"/>
      <c r="K27" s="2297"/>
      <c r="L27" s="2130"/>
      <c r="M27" s="2130"/>
      <c r="N27" s="2188"/>
      <c r="O27" s="2130"/>
      <c r="P27" s="2188"/>
      <c r="Q27" s="2118"/>
      <c r="R27" s="2118"/>
      <c r="S27" s="2118"/>
      <c r="T27" s="2118"/>
      <c r="U27" s="2118"/>
      <c r="V27" s="2118"/>
    </row>
    <row r="28" spans="1:28">
      <c r="A28" s="3402"/>
      <c r="B28" s="303" t="s">
        <v>2503</v>
      </c>
      <c r="C28" s="2097" t="s">
        <v>3116</v>
      </c>
      <c r="D28" s="2098"/>
      <c r="E28" s="2344"/>
      <c r="F28" s="2344"/>
      <c r="G28" s="2344"/>
      <c r="H28" s="2344"/>
      <c r="I28" s="2344"/>
      <c r="J28" s="2118"/>
      <c r="K28" s="2295"/>
      <c r="L28" s="2292"/>
      <c r="M28" s="2292"/>
      <c r="N28" s="2118"/>
      <c r="O28" s="2129"/>
      <c r="P28" s="2118"/>
      <c r="Q28" s="2118"/>
      <c r="R28" s="2118"/>
      <c r="S28" s="2118"/>
      <c r="T28" s="2118"/>
      <c r="U28" s="2118"/>
      <c r="V28" s="2118"/>
    </row>
    <row r="29" spans="1:28">
      <c r="A29" s="3402"/>
      <c r="B29" s="303" t="s">
        <v>2504</v>
      </c>
      <c r="C29" s="2099" t="s">
        <v>3117</v>
      </c>
      <c r="D29" s="2100"/>
      <c r="E29" s="2344"/>
      <c r="F29" s="2344"/>
      <c r="G29" s="2344"/>
      <c r="H29" s="2344"/>
      <c r="I29" s="2344"/>
      <c r="J29" s="2118"/>
      <c r="K29" s="2295"/>
      <c r="L29" s="2292"/>
      <c r="M29" s="2292"/>
      <c r="N29" s="2118"/>
      <c r="O29" s="2129"/>
      <c r="P29" s="2118"/>
      <c r="Q29" s="2118"/>
      <c r="R29" s="2118"/>
      <c r="S29" s="2118"/>
      <c r="T29" s="2118"/>
      <c r="U29" s="2118"/>
      <c r="V29" s="2118"/>
    </row>
    <row r="30" spans="1:28">
      <c r="A30" s="3403"/>
      <c r="B30" s="303" t="s">
        <v>2505</v>
      </c>
      <c r="C30" s="3404"/>
      <c r="D30" s="3405"/>
      <c r="E30" s="2344"/>
      <c r="F30" s="2344"/>
      <c r="G30" s="2344"/>
      <c r="H30" s="2344"/>
      <c r="I30" s="2344"/>
      <c r="J30" s="2118"/>
      <c r="K30" s="2295"/>
      <c r="L30" s="2292"/>
      <c r="M30" s="2292"/>
      <c r="N30" s="2118"/>
      <c r="O30" s="2129"/>
      <c r="P30" s="2118"/>
      <c r="Q30" s="2118"/>
      <c r="R30" s="2118"/>
      <c r="S30" s="2118"/>
      <c r="T30" s="2118"/>
      <c r="U30" s="2118"/>
      <c r="V30" s="2118"/>
    </row>
    <row r="31" spans="1:28">
      <c r="A31" s="3406" t="s">
        <v>2506</v>
      </c>
      <c r="B31" s="2101" t="s">
        <v>3118</v>
      </c>
      <c r="C31" s="1999" t="str">
        <f>IF(B31="现房","成新及维护状况正常否",IF(B31="在建","工程状态是否正常",IF(B31="土地","是否闲置","-")))</f>
        <v>成新及维护状况正常否</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40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40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t="s">
        <v>3120</v>
      </c>
      <c r="C34" s="1937" t="s">
        <v>3121</v>
      </c>
      <c r="D34" s="1937" t="s">
        <v>3122</v>
      </c>
      <c r="E34" s="1937" t="s">
        <v>3123</v>
      </c>
      <c r="F34" s="1937" t="s">
        <v>3124</v>
      </c>
      <c r="G34" s="1937" t="s">
        <v>3125</v>
      </c>
      <c r="H34" s="1937"/>
      <c r="I34" s="2344"/>
      <c r="J34" s="2118"/>
      <c r="K34" s="2106">
        <f>COUNTIF(B34:H34,"——")</f>
        <v>0</v>
      </c>
      <c r="L34" s="324" t="s">
        <v>2508</v>
      </c>
      <c r="M34" s="324" t="s">
        <v>2509</v>
      </c>
      <c r="N34" s="324" t="s">
        <v>2510</v>
      </c>
      <c r="O34" s="324" t="s">
        <v>2511</v>
      </c>
      <c r="P34" s="324" t="s">
        <v>2512</v>
      </c>
      <c r="Q34" s="324" t="s">
        <v>2513</v>
      </c>
      <c r="R34" s="324" t="s">
        <v>2514</v>
      </c>
      <c r="S34" s="3401" t="s">
        <v>2515</v>
      </c>
      <c r="T34" s="2107" t="str">
        <f>NUMBERSTRING(7-K34,1)&amp;"通"</f>
        <v>七通</v>
      </c>
      <c r="U34" s="2118"/>
      <c r="V34" s="2118"/>
    </row>
    <row r="35" spans="1:30">
      <c r="A35" s="2108"/>
      <c r="B35" s="3408" t="s">
        <v>2516</v>
      </c>
      <c r="C35" s="3408"/>
      <c r="D35" s="3408"/>
      <c r="E35" s="3408"/>
      <c r="F35" s="667">
        <f>C10</f>
        <v>0</v>
      </c>
      <c r="G35" s="2344"/>
      <c r="H35" s="2344"/>
      <c r="I35" s="2344"/>
      <c r="J35" s="2118"/>
      <c r="K35" s="324"/>
      <c r="L35" s="324" t="str">
        <f>B34</f>
        <v>通路</v>
      </c>
      <c r="M35" s="330" t="str">
        <f>B34&amp;"、"&amp;C34</f>
        <v>通路、通电</v>
      </c>
      <c r="N35" s="330" t="str">
        <f>B34&amp;"、"&amp;C34&amp;"、"&amp;D34</f>
        <v>通路、通电、通讯</v>
      </c>
      <c r="O35" s="330" t="str">
        <f>B34&amp;"、"&amp;C34&amp;"、"&amp;D34&amp;"、"&amp;E34</f>
        <v>通路、通电、通讯、通上水</v>
      </c>
      <c r="P35" s="330" t="str">
        <f>B34&amp;"、"&amp;C34&amp;"、"&amp;D34&amp;"、"&amp;E34&amp;"、"&amp;F34</f>
        <v>通路、通电、通讯、通上水、通下水</v>
      </c>
      <c r="Q35" s="330" t="str">
        <f>B34&amp;"、"&amp;C34&amp;"、"&amp;D34&amp;"、"&amp;E34&amp;"、"&amp;F34&amp;"、"&amp;G34</f>
        <v>通路、通电、通讯、通上水、通下水、平整</v>
      </c>
      <c r="R35" s="330" t="str">
        <f>B34&amp;"、"&amp;C34&amp;"、"&amp;D34&amp;"、"&amp;E34&amp;"、"&amp;F34&amp;"、"&amp;G34&amp;"、"&amp;H34</f>
        <v>通路、通电、通讯、通上水、通下水、平整、</v>
      </c>
      <c r="S35" s="3401"/>
      <c r="T35" s="330" t="str">
        <f>IF(T34="一通",L35,IF(T34="二通",M35,IF(T34="三通",N35,IF(T34="四通",O35,IF(T34="五通",P35,IF(T34="六通",Q35,R35))))))</f>
        <v>通路、通电、通讯、通上水、通下水、平整、</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c r="D37" s="2110"/>
      <c r="E37" s="2110" t="s">
        <v>444</v>
      </c>
      <c r="F37" s="2110"/>
      <c r="G37" s="2344"/>
      <c r="H37" s="2344"/>
      <c r="I37" s="2344"/>
      <c r="J37" s="2118"/>
      <c r="K37" s="2295"/>
      <c r="L37" s="2292"/>
      <c r="M37" s="2292"/>
      <c r="N37" s="2118"/>
      <c r="O37" s="2129"/>
      <c r="P37" s="2118"/>
      <c r="Q37" s="2118"/>
      <c r="R37" s="2118"/>
      <c r="S37" s="2118"/>
      <c r="T37" s="2118"/>
      <c r="U37" s="2118"/>
      <c r="V37" s="2118"/>
    </row>
    <row r="38" spans="1:30" ht="13.8" thickBot="1">
      <c r="A38" s="2311" t="s">
        <v>2518</v>
      </c>
      <c r="B38" s="2111"/>
      <c r="C38" s="2111"/>
      <c r="D38" s="2111"/>
      <c r="E38" s="2111" t="s">
        <v>3119</v>
      </c>
      <c r="F38" s="2111"/>
      <c r="G38" s="2345"/>
      <c r="H38" s="2345"/>
      <c r="I38" s="2345"/>
      <c r="J38" s="2118"/>
      <c r="K38" s="2295"/>
      <c r="L38" s="2292"/>
      <c r="M38" s="2292"/>
      <c r="N38" s="2118"/>
      <c r="O38" s="2129"/>
      <c r="P38" s="2118"/>
      <c r="Q38" s="2118"/>
      <c r="R38" s="2118"/>
      <c r="S38" s="2118"/>
      <c r="T38" s="2118"/>
      <c r="U38" s="2118"/>
      <c r="V38" s="2118"/>
    </row>
    <row r="39" spans="1:30" s="2114" customFormat="1" ht="14.4"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2">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8671875" defaultRowHeight="13.8"/>
  <cols>
    <col min="1" max="1" width="10.6640625" style="1512" customWidth="1"/>
    <col min="2" max="2" width="11" style="1512" customWidth="1"/>
    <col min="3" max="3" width="10.33203125" style="1512" customWidth="1"/>
    <col min="4" max="4" width="9.109375" style="1512" customWidth="1"/>
    <col min="5" max="6" width="10" style="1573" customWidth="1"/>
    <col min="7" max="8" width="10" style="1512" customWidth="1"/>
    <col min="9" max="9" width="10.6640625" style="1512" customWidth="1"/>
    <col min="10" max="10" width="9.44140625" style="1512" customWidth="1"/>
    <col min="11" max="11" width="11" style="1512" customWidth="1"/>
    <col min="12" max="14" width="9.44140625" style="1512" customWidth="1"/>
    <col min="15" max="15" width="9.88671875" style="1512" customWidth="1"/>
    <col min="16" max="16" width="9.77734375" style="1512" customWidth="1"/>
    <col min="17" max="17" width="9.33203125" style="1512" customWidth="1"/>
    <col min="18" max="18" width="9.21875" style="1512" customWidth="1"/>
    <col min="19" max="19" width="10.88671875" style="1512" customWidth="1"/>
    <col min="20" max="21" width="10.77734375" style="1512" customWidth="1"/>
    <col min="22" max="22" width="10.88671875" style="1512" customWidth="1"/>
    <col min="23" max="27" width="10.77734375" style="1512" customWidth="1"/>
    <col min="28" max="28" width="10.88671875" style="1512" customWidth="1"/>
    <col min="29" max="29" width="11" style="1512" bestFit="1" customWidth="1"/>
    <col min="30" max="30" width="10" style="1512" bestFit="1" customWidth="1"/>
    <col min="31" max="31" width="9.77734375" style="1512" customWidth="1"/>
    <col min="32" max="46" width="9.44140625" style="1512" customWidth="1"/>
    <col min="47" max="47" width="18.109375" style="1512" customWidth="1"/>
    <col min="48" max="50" width="9.77734375" style="1512" customWidth="1"/>
    <col min="51" max="55" width="10.44140625" style="1512" bestFit="1" customWidth="1"/>
    <col min="56" max="56" width="9.44140625" style="1512" bestFit="1" customWidth="1"/>
    <col min="57" max="63" width="9.109375" style="1512" bestFit="1" customWidth="1"/>
    <col min="64" max="64" width="9.44140625" style="1512" bestFit="1" customWidth="1"/>
    <col min="65" max="65" width="9.109375" style="1512" bestFit="1" customWidth="1"/>
    <col min="66" max="66" width="9.44140625" style="1512" bestFit="1" customWidth="1"/>
    <col min="67" max="69" width="9.109375" style="1512" bestFit="1" customWidth="1"/>
    <col min="70" max="70" width="9.44140625" style="1512" bestFit="1" customWidth="1"/>
    <col min="71" max="71" width="9" style="1512" customWidth="1"/>
    <col min="72" max="72" width="9.109375" style="1512" bestFit="1" customWidth="1"/>
    <col min="73" max="16384" width="8.88671875" style="1512"/>
  </cols>
  <sheetData>
    <row r="1" spans="1:72" ht="21">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3.2">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3.2">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3.2">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5.2">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3.2">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3.2">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3.2">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3.2">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3.2">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3.2">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3.2">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3.2">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3.2">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46.8">
      <c r="A3" s="3409"/>
      <c r="B3" s="3409"/>
      <c r="C3" s="3409"/>
      <c r="D3" s="3410"/>
      <c r="E3" s="341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1875" defaultRowHeight="13.8"/>
  <cols>
    <col min="1" max="1" width="12.109375" style="1577" customWidth="1"/>
    <col min="2" max="2" width="10.21875" style="1577" customWidth="1"/>
    <col min="3" max="3" width="18.44140625" style="1577" customWidth="1"/>
    <col min="4" max="4" width="11.6640625" style="1577" customWidth="1"/>
    <col min="5" max="5" width="13.33203125" style="1577" customWidth="1"/>
    <col min="6" max="8" width="11.44140625" style="1577" customWidth="1"/>
    <col min="9" max="9" width="11.109375" style="1577" customWidth="1"/>
    <col min="10" max="10" width="3.109375" style="2329" customWidth="1"/>
    <col min="11" max="16" width="10" style="1577" customWidth="1"/>
    <col min="17" max="17" width="2.6640625" style="1577" customWidth="1"/>
    <col min="18" max="18" width="9.33203125" style="1577" bestFit="1" customWidth="1"/>
    <col min="19" max="19" width="10.44140625" style="1577" bestFit="1" customWidth="1"/>
    <col min="20" max="16384" width="9.21875" style="1577"/>
  </cols>
  <sheetData>
    <row r="1" spans="1:16" ht="18" thickBot="1">
      <c r="A1" s="1576" t="s">
        <v>1378</v>
      </c>
      <c r="B1" s="1097"/>
      <c r="C1" s="1097"/>
      <c r="D1" s="1097"/>
      <c r="E1" s="1097"/>
      <c r="F1" s="1097"/>
      <c r="G1" s="1097"/>
      <c r="H1" s="1097"/>
      <c r="I1" s="1097"/>
      <c r="J1" s="1097"/>
      <c r="K1" s="1097"/>
      <c r="L1" s="1097"/>
      <c r="M1" s="1097"/>
      <c r="N1" s="1097"/>
      <c r="O1" s="1097"/>
      <c r="P1" s="1097"/>
    </row>
    <row r="2" spans="1:16" ht="14.4">
      <c r="A2" s="3420" t="s">
        <v>1379</v>
      </c>
      <c r="B2" s="3420"/>
      <c r="C2" s="3420"/>
      <c r="D2" s="769" t="s">
        <v>1355</v>
      </c>
      <c r="E2" s="1578" t="s">
        <v>1356</v>
      </c>
      <c r="F2" s="2339"/>
      <c r="G2" s="2330"/>
      <c r="H2" s="2331"/>
      <c r="I2" s="2001" t="s">
        <v>1380</v>
      </c>
      <c r="J2" s="2339"/>
      <c r="K2" s="2339"/>
      <c r="L2" s="2339"/>
      <c r="M2" s="2339"/>
      <c r="N2" s="2341"/>
      <c r="O2" s="2339"/>
      <c r="P2" s="2339"/>
    </row>
    <row r="3" spans="1:16" ht="1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4.4">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ht="14.4">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 thickBot="1">
      <c r="A7" s="3417"/>
      <c r="B7" s="3418"/>
      <c r="C7" s="3419"/>
      <c r="D7" s="1580" t="s">
        <v>1355</v>
      </c>
      <c r="E7" s="1584" t="s">
        <v>1362</v>
      </c>
      <c r="F7" s="2339"/>
      <c r="G7" s="2335" t="s">
        <v>1363</v>
      </c>
      <c r="H7" s="2336"/>
      <c r="I7" s="2337"/>
      <c r="J7" s="2339"/>
      <c r="K7" s="2339"/>
      <c r="L7" s="2339"/>
      <c r="M7" s="2339"/>
      <c r="N7" s="2339"/>
      <c r="O7" s="2339"/>
      <c r="P7" s="2339"/>
    </row>
    <row r="8" spans="1:16" ht="14.4">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ht="14.4">
      <c r="A9" s="1585"/>
      <c r="B9" s="1586"/>
      <c r="C9" s="47" t="s">
        <v>1367</v>
      </c>
      <c r="D9" s="47" t="e">
        <f t="shared" si="0"/>
        <v>#DIV/0!</v>
      </c>
      <c r="E9" s="51">
        <v>0</v>
      </c>
      <c r="F9" s="2339"/>
      <c r="G9" s="2340"/>
      <c r="H9" s="2340"/>
      <c r="I9" s="2339"/>
      <c r="J9" s="2339"/>
      <c r="K9" s="2339"/>
      <c r="L9" s="2339"/>
      <c r="M9" s="2339"/>
      <c r="N9" s="2339"/>
      <c r="O9" s="2339"/>
      <c r="P9" s="2339"/>
    </row>
    <row r="10" spans="1:16" ht="14.4">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ht="14.4">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ht="14.4">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ht="14.4">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ht="14.4">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4.4">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4.4">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ht="14.4">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ht="14.4">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ht="14.4">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ht="14.4">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ht="14.4">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ht="14.4">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ht="14.4">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ht="14.4">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ht="14.4">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ht="14.4">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4.4">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ht="14.4">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F28" sqref="F28"/>
    </sheetView>
  </sheetViews>
  <sheetFormatPr defaultColWidth="13.77734375" defaultRowHeight="13.2"/>
  <cols>
    <col min="1" max="1" width="20.88671875" style="1685" customWidth="1"/>
    <col min="2" max="2" width="12" style="1622" customWidth="1"/>
    <col min="3" max="3" width="12.77734375" style="1622" customWidth="1"/>
    <col min="4" max="4" width="9.109375" style="1686" customWidth="1"/>
    <col min="5" max="5" width="15" style="1622" bestFit="1" customWidth="1"/>
    <col min="6" max="10" width="8.88671875" style="1622" customWidth="1"/>
    <col min="11" max="12" width="12.33203125" style="1540" customWidth="1"/>
    <col min="13" max="13" width="8.6640625" style="1622" customWidth="1"/>
    <col min="14" max="14" width="11.88671875" style="1622" customWidth="1"/>
    <col min="15" max="15" width="8.44140625" style="1622" customWidth="1"/>
    <col min="16" max="17" width="10.88671875" style="1622" customWidth="1"/>
    <col min="18" max="19" width="12.44140625" style="1622" customWidth="1"/>
    <col min="20" max="20" width="12.109375" style="1622" customWidth="1"/>
    <col min="21" max="21" width="7.44140625" style="1622" customWidth="1"/>
    <col min="22" max="22" width="6.33203125" style="1622" customWidth="1"/>
    <col min="23" max="30" width="6.77734375" style="1622" customWidth="1"/>
    <col min="31" max="31" width="8" style="1622" customWidth="1"/>
    <col min="32" max="34" width="7.21875" style="1622" customWidth="1"/>
    <col min="35" max="39" width="8" style="1622" customWidth="1"/>
    <col min="40" max="40" width="13.77734375" style="1621"/>
    <col min="41" max="41" width="11.6640625" style="1621" customWidth="1"/>
    <col min="42" max="42" width="9.77734375" style="1621" customWidth="1"/>
    <col min="43" max="67" width="13.77734375" style="1621"/>
    <col min="68" max="16384" width="13.77734375" style="1622"/>
  </cols>
  <sheetData>
    <row r="1" spans="1:67" ht="18"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 thickBot="1">
      <c r="A2" s="1623" t="s">
        <v>1409</v>
      </c>
      <c r="B2" s="1014">
        <f>项目基本情况!D3</f>
        <v>44697</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4.4"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57.6">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3.8">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3.8">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3.8">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3.8">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3.8">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3.8">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3.8">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3.8">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4">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8.8">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8"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4">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4">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4">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4">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4">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4.4"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8.8">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8.8">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9.4"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8.8">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8.8">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9.4"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4">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4">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4">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4">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4">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4">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4.4"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4">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4">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4">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4">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4">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4">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4">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4">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4">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8.8">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4">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4">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4">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4">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4">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4">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4">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4">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4">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26" customWidth="1"/>
    <col min="2" max="2" width="24.44140625" style="1511" customWidth="1"/>
    <col min="3" max="3" width="24.44140625" style="2189" customWidth="1"/>
    <col min="4" max="4" width="2.6640625" style="2189" customWidth="1"/>
    <col min="5" max="5" width="5.88671875" style="2189" customWidth="1"/>
    <col min="6" max="6" width="27" style="1511" customWidth="1"/>
    <col min="7" max="7" width="27" style="2190" customWidth="1"/>
    <col min="8" max="8" width="11.88671875" style="2170" customWidth="1"/>
    <col min="9" max="9" width="16.77734375" style="2171" customWidth="1"/>
    <col min="10" max="10" width="2.6640625" style="2170" customWidth="1"/>
    <col min="11" max="11" width="11.88671875" style="2170" customWidth="1"/>
    <col min="12" max="12" width="16.77734375" style="2171" customWidth="1"/>
    <col min="13" max="13" width="2.6640625" style="2170" customWidth="1"/>
    <col min="14" max="14" width="11.88671875" style="2170" customWidth="1"/>
    <col min="15" max="15" width="16.77734375" style="2171" customWidth="1"/>
    <col min="16" max="16" width="2.6640625" style="2170" customWidth="1"/>
    <col min="17" max="17" width="11.88671875" style="2170" customWidth="1"/>
    <col min="18" max="18" width="16.77734375" style="2172" customWidth="1"/>
    <col min="19" max="29" width="9" style="772"/>
    <col min="30" max="16384" width="9" style="1626"/>
  </cols>
  <sheetData>
    <row r="1" spans="1:29" s="2136" customFormat="1" ht="18"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4.4"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7.200000000000003">
      <c r="A4" s="2121"/>
      <c r="B4" s="324" t="s">
        <v>2541</v>
      </c>
      <c r="C4" s="2147" t="s">
        <v>2542</v>
      </c>
      <c r="D4" s="2144"/>
      <c r="E4" s="2148"/>
      <c r="F4" s="1311" t="s">
        <v>2543</v>
      </c>
      <c r="G4" s="2149" t="s">
        <v>2544</v>
      </c>
      <c r="H4" s="772"/>
      <c r="I4" s="772"/>
      <c r="J4" s="772"/>
      <c r="K4" s="772"/>
      <c r="L4" s="772"/>
      <c r="M4" s="772"/>
      <c r="N4" s="772"/>
      <c r="O4" s="772"/>
      <c r="P4" s="772"/>
      <c r="Q4" s="772"/>
      <c r="R4" s="772"/>
    </row>
    <row r="5" spans="1:29" ht="37.200000000000003">
      <c r="A5" s="2121"/>
      <c r="B5" s="324" t="s">
        <v>2545</v>
      </c>
      <c r="C5" s="2147" t="s">
        <v>2546</v>
      </c>
      <c r="D5" s="2144"/>
      <c r="E5" s="2148"/>
      <c r="F5" s="324" t="s">
        <v>2547</v>
      </c>
      <c r="G5" s="2149" t="s">
        <v>2548</v>
      </c>
      <c r="H5" s="772"/>
      <c r="I5" s="772"/>
      <c r="J5" s="772"/>
      <c r="K5" s="772"/>
      <c r="L5" s="772"/>
      <c r="M5" s="772"/>
      <c r="N5" s="772"/>
      <c r="O5" s="772"/>
      <c r="P5" s="772"/>
      <c r="Q5" s="772"/>
      <c r="R5" s="772"/>
    </row>
    <row r="6" spans="1:29" ht="48">
      <c r="A6" s="2121"/>
      <c r="B6" s="324" t="s">
        <v>2549</v>
      </c>
      <c r="C6" s="2149" t="s">
        <v>2544</v>
      </c>
      <c r="D6" s="2144"/>
      <c r="E6" s="2148"/>
      <c r="F6" s="324" t="s">
        <v>2550</v>
      </c>
      <c r="G6" s="2149" t="s">
        <v>2551</v>
      </c>
      <c r="H6" s="772"/>
      <c r="I6" s="772"/>
      <c r="J6" s="772"/>
      <c r="K6" s="772"/>
      <c r="L6" s="772"/>
      <c r="M6" s="772"/>
      <c r="N6" s="772"/>
      <c r="O6" s="772"/>
      <c r="P6" s="772"/>
      <c r="Q6" s="772"/>
      <c r="R6" s="772"/>
    </row>
    <row r="7" spans="1:29" ht="36.6"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ht="24">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4.4"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7.399999999999999">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 thickBot="1">
      <c r="A13" s="2169" t="s">
        <v>2574</v>
      </c>
      <c r="B13" s="2163"/>
      <c r="C13" s="2163"/>
      <c r="D13" s="2161"/>
      <c r="E13" s="2163"/>
      <c r="F13" s="2163"/>
      <c r="G13" s="2163"/>
    </row>
    <row r="14" spans="1:29" ht="14.4" thickBot="1">
      <c r="A14" s="2173"/>
      <c r="B14" s="2173"/>
      <c r="C14" s="2174" t="s">
        <v>2557</v>
      </c>
      <c r="D14" s="2144"/>
      <c r="E14" s="2175"/>
      <c r="F14" s="2175"/>
      <c r="G14" s="2139" t="s">
        <v>2558</v>
      </c>
    </row>
    <row r="15" spans="1:29" ht="52.8">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9.6">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9.6">
      <c r="A17" s="2125"/>
      <c r="B17" s="2179" t="s">
        <v>2545</v>
      </c>
      <c r="C17" s="2180" t="str">
        <f>C5</f>
        <v>估价对象位于XX商圈，周边办公楼项目较多，入驻率高，办公集聚程度较好</v>
      </c>
      <c r="D17" s="2150"/>
      <c r="E17" s="2126"/>
      <c r="F17" s="2181" t="s">
        <v>2562</v>
      </c>
      <c r="G17" s="2183"/>
    </row>
    <row r="18" spans="1:18" ht="52.8">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6.4">
      <c r="A19" s="2125"/>
      <c r="B19" s="2181" t="s">
        <v>2563</v>
      </c>
      <c r="C19" s="2183"/>
      <c r="D19" s="2144"/>
      <c r="E19" s="2126"/>
      <c r="F19" s="324" t="s">
        <v>2547</v>
      </c>
      <c r="G19" s="2182" t="str">
        <f>G5</f>
        <v>估价对象所在区域公共配套设施齐备情况</v>
      </c>
    </row>
    <row r="20" spans="1:18" ht="26.4">
      <c r="A20" s="2125"/>
      <c r="B20" s="2181" t="s">
        <v>2564</v>
      </c>
      <c r="C20" s="2180" t="str">
        <f>C9</f>
        <v>区域自然环境：；人文环境；综合评价环境状况一般</v>
      </c>
      <c r="D20" s="2150"/>
      <c r="E20" s="2126"/>
      <c r="F20" s="324" t="s">
        <v>2550</v>
      </c>
      <c r="G20" s="2182" t="str">
        <f>G6</f>
        <v>估价对象所在区域基础设施水平</v>
      </c>
    </row>
    <row r="21" spans="1:18" ht="26.4">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4.4"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4.4"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192" customWidth="1"/>
    <col min="2" max="9" width="15.77734375" style="2192" customWidth="1"/>
    <col min="10" max="16384" width="9" style="2192"/>
  </cols>
  <sheetData>
    <row r="1" spans="1:11" ht="16.2">
      <c r="A1" s="2191" t="s">
        <v>902</v>
      </c>
      <c r="B1" s="2191">
        <f>SUM(B14:B23)</f>
        <v>0</v>
      </c>
      <c r="C1" s="2366"/>
      <c r="D1" s="2366"/>
      <c r="E1" s="2366"/>
      <c r="F1" s="2366"/>
      <c r="G1" s="2367"/>
      <c r="H1" s="2368"/>
      <c r="I1" s="2368"/>
      <c r="J1" s="2368"/>
      <c r="K1" s="2368"/>
    </row>
    <row r="2" spans="1:11" ht="16.2">
      <c r="A2" s="2191" t="s">
        <v>890</v>
      </c>
      <c r="B2" s="2191" t="e">
        <f>SUM(C14:C23)</f>
        <v>#DIV/0!</v>
      </c>
      <c r="C2" s="2366"/>
      <c r="D2" s="2366"/>
      <c r="E2" s="2366"/>
      <c r="F2" s="2366"/>
      <c r="G2" s="2367"/>
      <c r="H2" s="2368"/>
      <c r="I2" s="2368"/>
      <c r="J2" s="2368"/>
      <c r="K2" s="2368"/>
    </row>
    <row r="3" spans="1:11" ht="15.6">
      <c r="A3" s="2191" t="s">
        <v>899</v>
      </c>
      <c r="B3" s="2193">
        <f>项目基本情况!D3</f>
        <v>44697</v>
      </c>
      <c r="C3" s="2366"/>
      <c r="D3" s="2366"/>
      <c r="E3" s="2366"/>
      <c r="F3" s="2366"/>
      <c r="G3" s="2367"/>
      <c r="H3" s="2368"/>
      <c r="I3" s="2368"/>
      <c r="J3" s="2368"/>
      <c r="K3" s="2368"/>
    </row>
    <row r="4" spans="1:11" ht="31.2">
      <c r="A4" s="2191" t="s">
        <v>898</v>
      </c>
      <c r="B4" s="2191" t="s">
        <v>897</v>
      </c>
      <c r="C4" s="2191" t="s">
        <v>896</v>
      </c>
      <c r="D4" s="2191" t="s">
        <v>895</v>
      </c>
      <c r="E4" s="2366"/>
      <c r="F4" s="2367"/>
      <c r="G4" s="2367"/>
      <c r="H4" s="2368"/>
      <c r="I4" s="2368"/>
      <c r="J4" s="2368"/>
      <c r="K4" s="2368"/>
    </row>
    <row r="5" spans="1:11" ht="15.6">
      <c r="A5" s="2191" t="s">
        <v>894</v>
      </c>
      <c r="B5" s="2191" t="e">
        <f ca="1">SUM(D14:D23)</f>
        <v>#REF!</v>
      </c>
      <c r="C5" s="2191" t="e">
        <f ca="1">ROUND(B5*10000/$B$1,0)</f>
        <v>#REF!</v>
      </c>
      <c r="D5" s="2191" t="e">
        <f ca="1">ROUND(B5*10000/$B$2,0)</f>
        <v>#REF!</v>
      </c>
      <c r="E5" s="2366"/>
      <c r="F5" s="2367"/>
      <c r="G5" s="2367"/>
      <c r="H5" s="2368"/>
      <c r="I5" s="2368"/>
      <c r="J5" s="2368"/>
      <c r="K5" s="2368"/>
    </row>
    <row r="6" spans="1:11" ht="15.6">
      <c r="A6" s="2191" t="s">
        <v>893</v>
      </c>
      <c r="B6" s="2191" t="e">
        <f ca="1">SUM(G14:G23)</f>
        <v>#REF!</v>
      </c>
      <c r="C6" s="2191" t="e">
        <f ca="1">ROUND(B6*10000/$B$1,0)</f>
        <v>#REF!</v>
      </c>
      <c r="D6" s="2191" t="e">
        <f ca="1">ROUND(B6*10000/$B$2,0)</f>
        <v>#REF!</v>
      </c>
      <c r="E6" s="2366"/>
      <c r="F6" s="2367"/>
      <c r="G6" s="2367"/>
      <c r="H6" s="2368"/>
      <c r="I6" s="2368"/>
      <c r="J6" s="2368"/>
      <c r="K6" s="2368"/>
    </row>
    <row r="7" spans="1:11" ht="15.6">
      <c r="A7" s="2191" t="s">
        <v>901</v>
      </c>
      <c r="B7" s="2191">
        <f>SUM(H14:H23)</f>
        <v>0</v>
      </c>
      <c r="C7" s="2191" t="e">
        <f>ROUND(B7*10000/$B$1,0)</f>
        <v>#DIV/0!</v>
      </c>
      <c r="D7" s="2191" t="e">
        <f>ROUND(B7*10000/$B$2,0)</f>
        <v>#DIV/0!</v>
      </c>
      <c r="E7" s="2366"/>
      <c r="F7" s="2367"/>
      <c r="G7" s="2367"/>
      <c r="H7" s="2368"/>
      <c r="I7" s="2368"/>
      <c r="J7" s="2368"/>
      <c r="K7" s="2368"/>
    </row>
    <row r="8" spans="1:11" ht="15.6">
      <c r="A8" s="2191" t="s">
        <v>824</v>
      </c>
      <c r="B8" s="2191">
        <f>SUM(I14:I23)</f>
        <v>0</v>
      </c>
      <c r="C8" s="2191" t="e">
        <f>ROUND(B8*10000/$B$1,0)</f>
        <v>#DIV/0!</v>
      </c>
      <c r="D8" s="2191" t="e">
        <f>ROUND(B8*10000/$B$2,0)</f>
        <v>#DIV/0!</v>
      </c>
      <c r="E8" s="2366"/>
      <c r="F8" s="2367"/>
      <c r="G8" s="2367"/>
      <c r="H8" s="2368"/>
      <c r="I8" s="2368"/>
      <c r="J8" s="2368"/>
      <c r="K8" s="2368"/>
    </row>
    <row r="9" spans="1:11" ht="15.6">
      <c r="A9" s="2191" t="s">
        <v>892</v>
      </c>
      <c r="B9" s="2199"/>
      <c r="C9" s="2366"/>
      <c r="D9" s="2366"/>
      <c r="E9" s="2366"/>
      <c r="F9" s="2367"/>
      <c r="G9" s="2367"/>
      <c r="H9" s="2368"/>
      <c r="I9" s="2368"/>
      <c r="J9" s="2368"/>
      <c r="K9" s="2368"/>
    </row>
    <row r="10" spans="1:11" ht="15.6">
      <c r="A10" s="2191" t="s">
        <v>891</v>
      </c>
      <c r="B10" s="2199"/>
      <c r="C10" s="2366"/>
      <c r="D10" s="2366"/>
      <c r="E10" s="2366"/>
      <c r="F10" s="2367"/>
      <c r="G10" s="2367"/>
      <c r="H10" s="2368"/>
      <c r="I10" s="2368"/>
      <c r="J10" s="2368"/>
      <c r="K10" s="2368"/>
    </row>
    <row r="11" spans="1:11" ht="15.6">
      <c r="A11" s="2191" t="s">
        <v>907</v>
      </c>
      <c r="B11" s="2199"/>
      <c r="C11" s="2366"/>
      <c r="D11" s="2366"/>
      <c r="E11" s="2366"/>
      <c r="F11" s="2367"/>
      <c r="G11" s="2367"/>
      <c r="H11" s="2368"/>
      <c r="I11" s="2368"/>
      <c r="J11" s="2368"/>
      <c r="K11" s="2368"/>
    </row>
    <row r="12" spans="1:11" ht="15.6">
      <c r="A12" s="2366"/>
      <c r="B12" s="2366"/>
      <c r="C12" s="2366"/>
      <c r="D12" s="2366"/>
      <c r="E12" s="2366"/>
      <c r="F12" s="2367"/>
      <c r="G12" s="2367"/>
      <c r="H12" s="2368"/>
      <c r="I12" s="2368"/>
      <c r="J12" s="2368"/>
      <c r="K12" s="2368"/>
    </row>
    <row r="13" spans="1:11" ht="31.8">
      <c r="A13" s="2194" t="s">
        <v>906</v>
      </c>
      <c r="B13" s="2195" t="s">
        <v>903</v>
      </c>
      <c r="C13" s="2195" t="s">
        <v>905</v>
      </c>
      <c r="D13" s="2195" t="s">
        <v>904</v>
      </c>
      <c r="E13" s="2191" t="s">
        <v>896</v>
      </c>
      <c r="F13" s="2191" t="s">
        <v>895</v>
      </c>
      <c r="G13" s="2195" t="s">
        <v>889</v>
      </c>
      <c r="H13" s="2195" t="s">
        <v>900</v>
      </c>
      <c r="I13" s="2195" t="s">
        <v>888</v>
      </c>
      <c r="J13" s="2367"/>
      <c r="K13" s="2368"/>
    </row>
    <row r="14" spans="1:11" ht="15.6">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5.6">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5.6">
      <c r="A16" s="2196" t="s">
        <v>885</v>
      </c>
      <c r="B16" s="2198"/>
      <c r="C16" s="2198"/>
      <c r="D16" s="2198"/>
      <c r="E16" s="2197" t="e">
        <f t="shared" si="0"/>
        <v>#DIV/0!</v>
      </c>
      <c r="F16" s="2197" t="e">
        <f t="shared" si="1"/>
        <v>#DIV/0!</v>
      </c>
      <c r="G16" s="1274"/>
      <c r="H16" s="1274"/>
      <c r="I16" s="2198"/>
      <c r="J16" s="2368"/>
      <c r="K16" s="2368"/>
    </row>
    <row r="17" spans="1:11" ht="15.6">
      <c r="A17" s="2196" t="s">
        <v>884</v>
      </c>
      <c r="B17" s="2198"/>
      <c r="C17" s="2198"/>
      <c r="D17" s="2198"/>
      <c r="E17" s="2197" t="e">
        <f t="shared" si="0"/>
        <v>#DIV/0!</v>
      </c>
      <c r="F17" s="2197" t="e">
        <f t="shared" si="1"/>
        <v>#DIV/0!</v>
      </c>
      <c r="G17" s="1274"/>
      <c r="H17" s="1274"/>
      <c r="I17" s="2198"/>
      <c r="J17" s="2368"/>
      <c r="K17" s="2368"/>
    </row>
    <row r="18" spans="1:11" ht="15.6">
      <c r="A18" s="2196" t="s">
        <v>883</v>
      </c>
      <c r="B18" s="2198"/>
      <c r="C18" s="2198"/>
      <c r="D18" s="2198"/>
      <c r="E18" s="2197" t="e">
        <f t="shared" si="0"/>
        <v>#DIV/0!</v>
      </c>
      <c r="F18" s="2197" t="e">
        <f t="shared" si="1"/>
        <v>#DIV/0!</v>
      </c>
      <c r="G18" s="2198"/>
      <c r="H18" s="2198"/>
      <c r="I18" s="2198"/>
      <c r="J18" s="2368"/>
      <c r="K18" s="2368"/>
    </row>
    <row r="19" spans="1:11" ht="15.6">
      <c r="A19" s="2196" t="s">
        <v>882</v>
      </c>
      <c r="B19" s="2198"/>
      <c r="C19" s="2198"/>
      <c r="D19" s="2198"/>
      <c r="E19" s="2197" t="e">
        <f t="shared" si="0"/>
        <v>#DIV/0!</v>
      </c>
      <c r="F19" s="2197" t="e">
        <f t="shared" si="1"/>
        <v>#DIV/0!</v>
      </c>
      <c r="G19" s="2198"/>
      <c r="H19" s="2198"/>
      <c r="I19" s="2198"/>
      <c r="J19" s="2368"/>
      <c r="K19" s="2368"/>
    </row>
    <row r="20" spans="1:11" ht="15.6">
      <c r="A20" s="2196" t="s">
        <v>881</v>
      </c>
      <c r="B20" s="2198"/>
      <c r="C20" s="2198"/>
      <c r="D20" s="2198"/>
      <c r="E20" s="2197" t="e">
        <f t="shared" si="0"/>
        <v>#DIV/0!</v>
      </c>
      <c r="F20" s="2197" t="e">
        <f t="shared" si="1"/>
        <v>#DIV/0!</v>
      </c>
      <c r="G20" s="2198"/>
      <c r="H20" s="2198"/>
      <c r="I20" s="2198"/>
      <c r="J20" s="2368"/>
      <c r="K20" s="2368"/>
    </row>
    <row r="21" spans="1:11" ht="15.6">
      <c r="A21" s="2196" t="s">
        <v>880</v>
      </c>
      <c r="B21" s="2198"/>
      <c r="C21" s="2198"/>
      <c r="D21" s="2198"/>
      <c r="E21" s="2197" t="e">
        <f t="shared" si="0"/>
        <v>#DIV/0!</v>
      </c>
      <c r="F21" s="2197" t="e">
        <f t="shared" si="1"/>
        <v>#DIV/0!</v>
      </c>
      <c r="G21" s="2198"/>
      <c r="H21" s="2198"/>
      <c r="I21" s="2198"/>
      <c r="J21" s="2368"/>
      <c r="K21" s="2368"/>
    </row>
    <row r="22" spans="1:11" ht="15.6">
      <c r="A22" s="2196" t="s">
        <v>879</v>
      </c>
      <c r="B22" s="2198"/>
      <c r="C22" s="2198"/>
      <c r="D22" s="2198"/>
      <c r="E22" s="2197" t="e">
        <f t="shared" si="0"/>
        <v>#DIV/0!</v>
      </c>
      <c r="F22" s="2197" t="e">
        <f t="shared" si="1"/>
        <v>#DIV/0!</v>
      </c>
      <c r="G22" s="2198"/>
      <c r="H22" s="2198"/>
      <c r="I22" s="2198"/>
      <c r="J22" s="2368"/>
      <c r="K22" s="2368"/>
    </row>
    <row r="23" spans="1:11" ht="15.6">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640625" defaultRowHeight="21.75" customHeight="1"/>
  <cols>
    <col min="1" max="2" width="12.6640625" style="1693"/>
    <col min="3" max="4" width="12.6640625" style="1693" customWidth="1"/>
    <col min="5" max="9" width="12.6640625" style="1693"/>
    <col min="10" max="11" width="12.6640625" style="728" customWidth="1"/>
    <col min="12" max="12" width="12.6640625" style="728"/>
    <col min="13" max="13" width="14.109375" style="728" bestFit="1" customWidth="1"/>
    <col min="14" max="26" width="12.6640625" style="728"/>
    <col min="27" max="35" width="12.6640625" style="1692"/>
    <col min="36" max="16384" width="12.6640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8" t="str">
        <f>项目基本情况!S2</f>
        <v>北京市房地产</v>
      </c>
      <c r="B2" s="3499"/>
      <c r="C2" s="3499"/>
      <c r="D2" s="3499"/>
      <c r="E2" s="3499"/>
      <c r="F2" s="3499"/>
      <c r="G2" s="3499"/>
      <c r="H2" s="3499"/>
      <c r="I2" s="3500"/>
    </row>
    <row r="3" spans="1:12" ht="13.2">
      <c r="A3" s="3502" t="s">
        <v>1513</v>
      </c>
      <c r="B3" s="3503"/>
      <c r="C3" s="3503"/>
      <c r="D3" s="3503"/>
      <c r="E3" s="3503"/>
      <c r="F3" s="3503"/>
      <c r="G3" s="3503"/>
      <c r="H3" s="3503"/>
      <c r="I3" s="3503"/>
    </row>
    <row r="4" spans="1:12" ht="14.4">
      <c r="A4" s="1694" t="s">
        <v>1514</v>
      </c>
      <c r="B4" s="1695" t="s">
        <v>1515</v>
      </c>
      <c r="C4" s="1696"/>
      <c r="D4" s="1696"/>
      <c r="E4" s="3507" t="s">
        <v>1516</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43" t="s">
        <v>1517</v>
      </c>
      <c r="B5" s="3501">
        <v>25</v>
      </c>
      <c r="C5" s="3504"/>
      <c r="D5" s="3492"/>
      <c r="E5" s="135" t="s">
        <v>1518</v>
      </c>
      <c r="F5" s="1697"/>
      <c r="G5" s="1697"/>
      <c r="H5" s="1697"/>
      <c r="I5" s="1311"/>
    </row>
    <row r="6" spans="1:12" ht="13.2">
      <c r="A6" s="3443"/>
      <c r="B6" s="3501"/>
      <c r="C6" s="3506"/>
      <c r="D6" s="3492"/>
      <c r="E6" s="135" t="s">
        <v>1519</v>
      </c>
      <c r="F6" s="1697"/>
      <c r="G6" s="1697"/>
      <c r="H6" s="1697"/>
      <c r="I6" s="1311"/>
    </row>
    <row r="7" spans="1:12" ht="13.2">
      <c r="A7" s="3443"/>
      <c r="B7" s="3501"/>
      <c r="C7" s="3505"/>
      <c r="D7" s="3492"/>
      <c r="E7" s="135" t="s">
        <v>1520</v>
      </c>
      <c r="F7" s="1697"/>
      <c r="G7" s="1697"/>
      <c r="H7" s="1697"/>
      <c r="I7" s="1311"/>
    </row>
    <row r="8" spans="1:12" ht="13.2">
      <c r="A8" s="3443" t="s">
        <v>1521</v>
      </c>
      <c r="B8" s="3501">
        <v>15</v>
      </c>
      <c r="C8" s="3504"/>
      <c r="D8" s="3492"/>
      <c r="E8" s="135" t="s">
        <v>1522</v>
      </c>
      <c r="F8" s="1697"/>
      <c r="G8" s="1697"/>
      <c r="H8" s="1697"/>
      <c r="I8" s="1311"/>
    </row>
    <row r="9" spans="1:12" ht="13.2">
      <c r="A9" s="3443"/>
      <c r="B9" s="3501"/>
      <c r="C9" s="3505"/>
      <c r="D9" s="3492"/>
      <c r="E9" s="135" t="s">
        <v>1523</v>
      </c>
      <c r="F9" s="1697"/>
      <c r="G9" s="1697"/>
      <c r="H9" s="1697"/>
      <c r="I9" s="1311"/>
    </row>
    <row r="10" spans="1:12" ht="13.2">
      <c r="A10" s="3443" t="s">
        <v>1524</v>
      </c>
      <c r="B10" s="3501">
        <v>15</v>
      </c>
      <c r="C10" s="3504"/>
      <c r="D10" s="3492"/>
      <c r="E10" s="135" t="s">
        <v>1525</v>
      </c>
      <c r="F10" s="1697"/>
      <c r="G10" s="1697"/>
      <c r="H10" s="1697"/>
      <c r="I10" s="1311"/>
    </row>
    <row r="11" spans="1:12" ht="13.2">
      <c r="A11" s="3443"/>
      <c r="B11" s="3501"/>
      <c r="C11" s="3505"/>
      <c r="D11" s="3492"/>
      <c r="E11" s="135" t="s">
        <v>1526</v>
      </c>
      <c r="F11" s="1697"/>
      <c r="G11" s="1697"/>
      <c r="H11" s="1697"/>
      <c r="I11" s="1311"/>
    </row>
    <row r="12" spans="1:12" ht="13.2">
      <c r="A12" s="3443" t="s">
        <v>1527</v>
      </c>
      <c r="B12" s="3501">
        <v>15</v>
      </c>
      <c r="C12" s="3504"/>
      <c r="D12" s="3492"/>
      <c r="E12" s="135" t="s">
        <v>1528</v>
      </c>
      <c r="F12" s="1697"/>
      <c r="G12" s="1697"/>
      <c r="H12" s="1697"/>
      <c r="I12" s="1311"/>
    </row>
    <row r="13" spans="1:12" ht="13.2">
      <c r="A13" s="3443"/>
      <c r="B13" s="3501"/>
      <c r="C13" s="3505"/>
      <c r="D13" s="3492"/>
      <c r="E13" s="135" t="s">
        <v>1529</v>
      </c>
      <c r="F13" s="1697"/>
      <c r="G13" s="1697"/>
      <c r="H13" s="1697"/>
      <c r="I13" s="1311"/>
    </row>
    <row r="14" spans="1:12" ht="13.2">
      <c r="A14" s="3443" t="s">
        <v>1530</v>
      </c>
      <c r="B14" s="3501">
        <v>30</v>
      </c>
      <c r="C14" s="3504"/>
      <c r="D14" s="3492"/>
      <c r="E14" s="135" t="s">
        <v>1531</v>
      </c>
      <c r="F14" s="1697"/>
      <c r="G14" s="1697"/>
      <c r="H14" s="1697"/>
      <c r="I14" s="1311"/>
    </row>
    <row r="15" spans="1:12" ht="13.2">
      <c r="A15" s="3443"/>
      <c r="B15" s="3501"/>
      <c r="C15" s="3506"/>
      <c r="D15" s="3492"/>
      <c r="E15" s="135" t="s">
        <v>1532</v>
      </c>
      <c r="F15" s="1697"/>
      <c r="G15" s="1697"/>
      <c r="H15" s="1697"/>
      <c r="I15" s="1311"/>
    </row>
    <row r="16" spans="1:12" ht="13.2">
      <c r="A16" s="3443"/>
      <c r="B16" s="3501"/>
      <c r="C16" s="3505"/>
      <c r="D16" s="3492"/>
      <c r="E16" s="135" t="s">
        <v>1533</v>
      </c>
      <c r="F16" s="1697"/>
      <c r="G16" s="1697"/>
      <c r="H16" s="1697"/>
      <c r="I16" s="1311"/>
    </row>
    <row r="17" spans="1:36" ht="14.4">
      <c r="A17" s="1698" t="s">
        <v>1534</v>
      </c>
      <c r="B17" s="59"/>
      <c r="C17" s="136">
        <f>SUM(C5:C16)</f>
        <v>0</v>
      </c>
      <c r="D17" s="136">
        <f>SUM(D5:D16)</f>
        <v>0</v>
      </c>
      <c r="E17" s="133"/>
      <c r="F17" s="133"/>
      <c r="G17" s="133"/>
      <c r="H17" s="133"/>
      <c r="I17" s="133"/>
      <c r="K17" s="303"/>
      <c r="L17" s="303" t="s">
        <v>1535</v>
      </c>
      <c r="M17" s="303" t="s">
        <v>1536</v>
      </c>
    </row>
    <row r="18" spans="1:36" ht="31.95" customHeight="1" thickBot="1">
      <c r="A18" s="1699" t="s">
        <v>1537</v>
      </c>
      <c r="B18" s="1700"/>
      <c r="C18" s="137" t="e">
        <f>ROUND(C17/SUM(C17:D17),2)</f>
        <v>#DIV/0!</v>
      </c>
      <c r="D18" s="137" t="e">
        <f>1-C18</f>
        <v>#DIV/0!</v>
      </c>
      <c r="E18" s="3523" t="s">
        <v>2414</v>
      </c>
      <c r="F18" s="3524"/>
      <c r="G18" s="3524"/>
      <c r="H18" s="3524"/>
      <c r="I18" s="3524"/>
      <c r="K18" s="303" t="s">
        <v>1538</v>
      </c>
      <c r="L18" s="303">
        <f>IF(C1="",'数据-汇总表'!E3,SUMIF(项目类型,C1,'数据-汇总表'!E17:E26)+SUMIF(项目类型,C1,'数据-汇总表'!I17:I26))</f>
        <v>0</v>
      </c>
      <c r="M18" s="303">
        <f>IF(C1="",'数据-汇总表'!E3,SUMIF(项目类型,C1,'数据-汇总表'!E17:E26))</f>
        <v>0</v>
      </c>
    </row>
    <row r="19" spans="1:36" ht="14.4">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4.4">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8" thickBot="1">
      <c r="A23" s="1687"/>
      <c r="B23" s="1687"/>
      <c r="C23" s="1687"/>
      <c r="D23" s="1687"/>
      <c r="E23" s="133"/>
      <c r="F23" s="133"/>
      <c r="G23" s="133"/>
      <c r="H23" s="133"/>
      <c r="I23" s="133"/>
    </row>
    <row r="24" spans="1:36" ht="14.4">
      <c r="A24" s="3516" t="s">
        <v>1548</v>
      </c>
      <c r="B24" s="1702" t="s">
        <v>1540</v>
      </c>
      <c r="C24" s="140">
        <f>IF(B30=0,0,D30)</f>
        <v>0</v>
      </c>
      <c r="D24" s="1709"/>
      <c r="E24" s="133"/>
      <c r="F24" s="133"/>
      <c r="G24" s="133"/>
      <c r="H24" s="133"/>
      <c r="I24" s="133"/>
    </row>
    <row r="25" spans="1:36" ht="14.4">
      <c r="A25" s="351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3.8">
      <c r="A27" s="1711"/>
      <c r="B27" s="146">
        <v>0</v>
      </c>
      <c r="C27" s="146">
        <v>0</v>
      </c>
      <c r="D27" s="147">
        <f>ROUND(C27*B27/10000,0)</f>
        <v>0</v>
      </c>
      <c r="E27" s="133"/>
      <c r="F27" s="133"/>
      <c r="G27" s="133"/>
      <c r="H27" s="133"/>
      <c r="I27" s="133"/>
    </row>
    <row r="28" spans="1:36" ht="13.8">
      <c r="A28" s="1711"/>
      <c r="B28" s="146"/>
      <c r="C28" s="146"/>
      <c r="D28" s="147"/>
      <c r="E28" s="133"/>
      <c r="F28" s="133"/>
      <c r="G28" s="133"/>
      <c r="H28" s="133"/>
      <c r="I28" s="133"/>
    </row>
    <row r="29" spans="1:36" ht="13.8">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5.6" thickTop="1" thickBot="1">
      <c r="A32" s="1713" t="s">
        <v>1554</v>
      </c>
      <c r="B32" s="1714"/>
      <c r="C32" s="148" t="e">
        <f ca="1">IF(D32="总价",G19-C24,G20-C25)</f>
        <v>#REF!</v>
      </c>
      <c r="D32" s="1715"/>
      <c r="E32" s="133"/>
      <c r="F32" s="133"/>
      <c r="G32" s="133"/>
      <c r="H32" s="133"/>
      <c r="I32" s="133"/>
    </row>
    <row r="33" spans="1:15" ht="14.4">
      <c r="A33" s="759" t="s">
        <v>1555</v>
      </c>
      <c r="B33" s="1716"/>
      <c r="C33" s="1717"/>
      <c r="D33" s="1718"/>
      <c r="E33" s="1719" t="s">
        <v>1556</v>
      </c>
      <c r="F33" s="1720" t="str">
        <f>IF(D32="楼面单价","取值（单价）","取值（总价）")</f>
        <v>取值（总价）</v>
      </c>
      <c r="G33" s="133"/>
      <c r="H33" s="133"/>
      <c r="I33" s="133"/>
    </row>
    <row r="34" spans="1:15" ht="14.4">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 thickBot="1">
      <c r="A36" s="3493" t="s">
        <v>1561</v>
      </c>
      <c r="B36" s="1727" t="s">
        <v>1562</v>
      </c>
      <c r="C36" s="149"/>
      <c r="D36" s="1728"/>
      <c r="E36" s="1729"/>
      <c r="F36" s="1730"/>
      <c r="G36" s="133"/>
      <c r="H36" s="133"/>
      <c r="I36" s="133"/>
    </row>
    <row r="37" spans="1:15" ht="15" thickBot="1">
      <c r="A37" s="3494"/>
      <c r="B37" s="1614" t="s">
        <v>1563</v>
      </c>
      <c r="C37" s="151"/>
      <c r="D37" s="1097"/>
      <c r="E37" s="1097"/>
      <c r="F37" s="1730"/>
      <c r="G37" s="133"/>
      <c r="H37" s="133"/>
      <c r="I37" s="133"/>
    </row>
    <row r="38" spans="1:15" ht="15" thickBot="1">
      <c r="A38" s="3495"/>
      <c r="B38" s="1731" t="s">
        <v>1564</v>
      </c>
      <c r="C38" s="677"/>
      <c r="D38" s="1732" t="s">
        <v>1565</v>
      </c>
      <c r="E38" s="1097"/>
      <c r="F38" s="1730"/>
      <c r="G38" s="133"/>
      <c r="H38" s="133"/>
      <c r="I38" s="133"/>
    </row>
    <row r="39" spans="1:15" ht="14.4">
      <c r="A39" s="1704" t="s">
        <v>1566</v>
      </c>
      <c r="B39" s="1733" t="s">
        <v>1567</v>
      </c>
      <c r="C39" s="1734" t="s">
        <v>1568</v>
      </c>
      <c r="D39" s="1734" t="s">
        <v>1569</v>
      </c>
      <c r="E39" s="1735" t="s">
        <v>1570</v>
      </c>
      <c r="F39" s="1730"/>
      <c r="G39" s="133"/>
      <c r="H39" s="133"/>
      <c r="I39" s="133"/>
    </row>
    <row r="40" spans="1:15" ht="13.8">
      <c r="A40" s="1736" t="s">
        <v>1571</v>
      </c>
      <c r="B40" s="153"/>
      <c r="C40" s="154"/>
      <c r="D40" s="154"/>
      <c r="E40" s="155"/>
      <c r="F40" s="1730"/>
      <c r="G40" s="133"/>
      <c r="H40" s="133"/>
      <c r="I40" s="133"/>
    </row>
    <row r="41" spans="1:15" ht="13.8">
      <c r="A41" s="1736" t="s">
        <v>1572</v>
      </c>
      <c r="B41" s="153"/>
      <c r="C41" s="154"/>
      <c r="D41" s="154"/>
      <c r="E41" s="155"/>
      <c r="F41" s="1730"/>
      <c r="G41" s="133"/>
      <c r="H41" s="133"/>
      <c r="I41" s="133"/>
    </row>
    <row r="42" spans="1:15" ht="14.4" thickBot="1">
      <c r="A42" s="1737"/>
      <c r="B42" s="156"/>
      <c r="C42" s="157"/>
      <c r="D42" s="157"/>
      <c r="E42" s="158"/>
      <c r="F42" s="1730"/>
      <c r="G42" s="133"/>
      <c r="H42" s="133"/>
      <c r="I42" s="133"/>
    </row>
    <row r="43" spans="1:15" ht="13.2">
      <c r="A43" s="1516"/>
      <c r="B43" s="1516"/>
      <c r="C43" s="1516"/>
      <c r="D43" s="1516"/>
      <c r="E43" s="1516"/>
      <c r="F43" s="1738"/>
      <c r="G43" s="1738"/>
      <c r="H43" s="1738"/>
      <c r="I43" s="1739"/>
    </row>
    <row r="44" spans="1:15" ht="17.399999999999999">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3" t="s">
        <v>1575</v>
      </c>
      <c r="B45" s="3514"/>
      <c r="C45" s="3515"/>
      <c r="D45" s="159" t="e">
        <f ca="1">ROUND(H101*F45,0)</f>
        <v>#REF!</v>
      </c>
      <c r="E45" s="160" t="s">
        <v>1576</v>
      </c>
      <c r="F45" s="161">
        <v>1</v>
      </c>
      <c r="G45" s="162" t="s">
        <v>1577</v>
      </c>
      <c r="H45" s="133"/>
      <c r="I45" s="133"/>
      <c r="J45" s="3430" t="s">
        <v>1578</v>
      </c>
      <c r="K45" s="3430"/>
      <c r="L45" s="3430"/>
      <c r="M45" s="3430"/>
      <c r="N45" s="3430"/>
      <c r="O45" s="3430"/>
    </row>
    <row r="46" spans="1:15" ht="14.25" customHeight="1">
      <c r="A46" s="3510" t="s">
        <v>1579</v>
      </c>
      <c r="B46" s="3511"/>
      <c r="C46" s="3511"/>
      <c r="D46" s="3511"/>
      <c r="E46" s="3511"/>
      <c r="F46" s="3511"/>
      <c r="G46" s="3512"/>
      <c r="H46" s="1746"/>
      <c r="I46" s="163"/>
      <c r="J46" s="2202">
        <v>1</v>
      </c>
      <c r="K46" s="3431" t="s">
        <v>1580</v>
      </c>
      <c r="L46" s="3431"/>
      <c r="M46" s="3432"/>
      <c r="N46" s="3432"/>
      <c r="O46" s="3432"/>
    </row>
    <row r="47" spans="1:15" ht="12" customHeight="1">
      <c r="A47" s="164" t="s">
        <v>1581</v>
      </c>
      <c r="B47" s="165"/>
      <c r="C47" s="166"/>
      <c r="D47" s="1052" t="s">
        <v>1582</v>
      </c>
      <c r="E47" s="303" t="s">
        <v>1583</v>
      </c>
      <c r="F47" s="167" t="s">
        <v>1584</v>
      </c>
      <c r="G47" s="2225" t="s">
        <v>1585</v>
      </c>
      <c r="H47" s="2226"/>
      <c r="I47" s="163"/>
      <c r="J47" s="2202">
        <v>2</v>
      </c>
      <c r="K47" s="3431" t="s">
        <v>1586</v>
      </c>
      <c r="L47" s="3431"/>
      <c r="M47" s="3433">
        <f>'数据-取费表'!B2</f>
        <v>44697</v>
      </c>
      <c r="N47" s="3433"/>
      <c r="O47" s="3433"/>
    </row>
    <row r="48" spans="1:15" ht="26.4">
      <c r="A48" s="3496" t="s">
        <v>1587</v>
      </c>
      <c r="B48" s="3497"/>
      <c r="C48" s="3497"/>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31" t="s">
        <v>1589</v>
      </c>
      <c r="L48" s="3431"/>
      <c r="M48" s="3434" t="e">
        <f ca="1">H101</f>
        <v>#REF!</v>
      </c>
      <c r="N48" s="3434"/>
      <c r="O48" s="3434"/>
    </row>
    <row r="49" spans="1:35" ht="25.5" customHeight="1">
      <c r="A49" s="2009" t="s">
        <v>1590</v>
      </c>
      <c r="B49" s="3479" t="s">
        <v>1591</v>
      </c>
      <c r="C49" s="3479"/>
      <c r="D49" s="1529">
        <v>0</v>
      </c>
      <c r="E49" s="325" t="s">
        <v>1592</v>
      </c>
      <c r="F49" s="2103" t="s">
        <v>34</v>
      </c>
      <c r="G49" s="3462"/>
      <c r="H49" s="1982" t="s">
        <v>2417</v>
      </c>
      <c r="I49" s="1983"/>
      <c r="J49" s="2202">
        <v>4</v>
      </c>
      <c r="K49" s="3431" t="str">
        <f>IF(项目基本情况!E8="房地产抵押价值","房地产抵押价值","抵押担保权已注销时的房地产抵押价值")</f>
        <v>抵押担保权已注销时的房地产抵押价值</v>
      </c>
      <c r="L49" s="3431"/>
      <c r="M49" s="3434" t="str">
        <f>IF(项目基本情况!E8="房地产抵押价值",H107,H109)</f>
        <v>——</v>
      </c>
      <c r="N49" s="3434"/>
      <c r="O49" s="3434"/>
    </row>
    <row r="50" spans="1:35" ht="25.5" customHeight="1">
      <c r="A50" s="2230"/>
      <c r="B50" s="3479" t="s">
        <v>1593</v>
      </c>
      <c r="C50" s="3479"/>
      <c r="D50" s="2231"/>
      <c r="E50" s="333"/>
      <c r="F50" s="2103"/>
      <c r="G50" s="3463"/>
      <c r="H50" s="1984" t="s">
        <v>2418</v>
      </c>
      <c r="I50" s="1983"/>
      <c r="J50" s="3430" t="s">
        <v>1594</v>
      </c>
      <c r="K50" s="3430"/>
      <c r="L50" s="3430"/>
      <c r="M50" s="3430"/>
      <c r="N50" s="3430"/>
      <c r="O50" s="3430"/>
    </row>
    <row r="51" spans="1:35" ht="20.399999999999999" customHeight="1">
      <c r="A51" s="2232"/>
      <c r="B51" s="3479" t="s">
        <v>1595</v>
      </c>
      <c r="C51" s="3479"/>
      <c r="D51" s="1052"/>
      <c r="E51" s="328"/>
      <c r="F51" s="2103"/>
      <c r="G51" s="3464"/>
      <c r="H51" s="1984" t="s">
        <v>2419</v>
      </c>
      <c r="I51" s="1983"/>
      <c r="J51" s="2203" t="s">
        <v>1596</v>
      </c>
      <c r="K51" s="3431" t="s">
        <v>1597</v>
      </c>
      <c r="L51" s="3431"/>
      <c r="M51" s="2203" t="s">
        <v>1598</v>
      </c>
      <c r="N51" s="2203" t="s">
        <v>1599</v>
      </c>
      <c r="O51" s="2203" t="s">
        <v>1600</v>
      </c>
    </row>
    <row r="52" spans="1:35" ht="24" customHeight="1">
      <c r="A52" s="2011" t="s">
        <v>1601</v>
      </c>
      <c r="B52" s="3479" t="s">
        <v>1602</v>
      </c>
      <c r="C52" s="3479"/>
      <c r="D52" s="1052" t="e">
        <f ca="1">ROUND(D45*'数据-取费表'!B41/(1+'数据-取费表'!C42),0)</f>
        <v>#REF!</v>
      </c>
      <c r="E52" s="2010" t="s">
        <v>1603</v>
      </c>
      <c r="F52" s="2233">
        <f>'数据-取费表'!B41</f>
        <v>0</v>
      </c>
      <c r="G52" s="2234"/>
      <c r="H52" s="2223"/>
      <c r="I52" s="1747"/>
      <c r="J52" s="2202">
        <v>1</v>
      </c>
      <c r="K52" s="3456" t="s">
        <v>1604</v>
      </c>
      <c r="L52" s="3456"/>
      <c r="M52" s="2204" t="b">
        <f>D48</f>
        <v>0</v>
      </c>
      <c r="N52" s="2202" t="str">
        <f>E48</f>
        <v>销售额×税（费）率</v>
      </c>
      <c r="O52" s="2205">
        <f>F48</f>
        <v>0</v>
      </c>
    </row>
    <row r="53" spans="1:35" ht="12" customHeight="1">
      <c r="A53" s="2011" t="s">
        <v>1605</v>
      </c>
      <c r="B53" s="3480" t="s">
        <v>2578</v>
      </c>
      <c r="C53" s="3481"/>
      <c r="D53" s="1052" t="e">
        <f ca="1">ROUND(D45*'数据-取费表'!B41/(1+'数据-取费表'!C42),0)</f>
        <v>#REF!</v>
      </c>
      <c r="E53" s="2010" t="s">
        <v>1603</v>
      </c>
      <c r="F53" s="2233">
        <f>'数据-取费表'!B41</f>
        <v>0</v>
      </c>
      <c r="G53" s="2234"/>
      <c r="H53" s="2223"/>
      <c r="I53" s="1747"/>
      <c r="J53" s="2202">
        <v>2</v>
      </c>
      <c r="K53" s="3456" t="s">
        <v>1606</v>
      </c>
      <c r="L53" s="3456"/>
      <c r="M53" s="2204" t="e">
        <f t="shared" ref="M53:O54" ca="1" si="0">D55</f>
        <v>#REF!</v>
      </c>
      <c r="N53" s="2202" t="str">
        <f t="shared" si="0"/>
        <v>销售额×税（费）率</v>
      </c>
      <c r="O53" s="2205" t="str">
        <f t="shared" si="0"/>
        <v>免征</v>
      </c>
    </row>
    <row r="54" spans="1:35" ht="12" customHeight="1">
      <c r="A54" s="2011" t="s">
        <v>1607</v>
      </c>
      <c r="B54" s="3480" t="s">
        <v>2579</v>
      </c>
      <c r="C54" s="3481"/>
      <c r="D54" s="1052" t="e">
        <f ca="1">C68</f>
        <v>#REF!</v>
      </c>
      <c r="E54" s="328" t="s">
        <v>1608</v>
      </c>
      <c r="F54" s="2233">
        <f>'数据-取费表'!B41</f>
        <v>0</v>
      </c>
      <c r="G54" s="2234"/>
      <c r="H54" s="2235"/>
      <c r="I54" s="1747"/>
      <c r="J54" s="2202">
        <v>3</v>
      </c>
      <c r="K54" s="3456" t="s">
        <v>1609</v>
      </c>
      <c r="L54" s="3456"/>
      <c r="M54" s="2204" t="e">
        <f t="shared" ca="1" si="0"/>
        <v>#REF!</v>
      </c>
      <c r="N54" s="2202" t="str">
        <f t="shared" si="0"/>
        <v>增值额×税（费）率</v>
      </c>
      <c r="O54" s="2206" t="str">
        <f t="shared" si="0"/>
        <v>免征</v>
      </c>
    </row>
    <row r="55" spans="1:35" ht="24" customHeight="1">
      <c r="A55" s="3519" t="s">
        <v>1610</v>
      </c>
      <c r="B55" s="3497"/>
      <c r="C55" s="3497"/>
      <c r="D55" s="2000" t="e">
        <f ca="1">IF(H55="个人住宅",0,ROUND(D45*I55,0))</f>
        <v>#REF!</v>
      </c>
      <c r="E55" s="2010" t="s">
        <v>1611</v>
      </c>
      <c r="F55" s="2233" t="str">
        <f>IF(H55="正常",I55,"免征")</f>
        <v>免征</v>
      </c>
      <c r="G55" s="2234"/>
      <c r="H55" s="2229"/>
      <c r="I55" s="169">
        <f>'数据-取费表'!B49</f>
        <v>0</v>
      </c>
      <c r="J55" s="2202">
        <f>IF(H59="非个人房产","",4)</f>
        <v>4</v>
      </c>
      <c r="K55" s="3456" t="str">
        <f>IF(H59="非个人房产","——","个人所得税")</f>
        <v>个人所得税</v>
      </c>
      <c r="L55" s="3456"/>
      <c r="M55" s="2207" t="e">
        <f ca="1">D59</f>
        <v>#REF!</v>
      </c>
      <c r="N55" s="1938" t="str">
        <f>E59</f>
        <v>差额计税</v>
      </c>
      <c r="O55" s="2208">
        <f>F59</f>
        <v>0.01</v>
      </c>
    </row>
    <row r="56" spans="1:35" ht="25.2">
      <c r="A56" s="3519" t="s">
        <v>1612</v>
      </c>
      <c r="B56" s="3497"/>
      <c r="C56" s="3497"/>
      <c r="D56" s="2000" t="e">
        <f ca="1">IF(H56="个人住宅",D57,D58)</f>
        <v>#REF!</v>
      </c>
      <c r="E56" s="2010" t="s">
        <v>1613</v>
      </c>
      <c r="F56" s="2233" t="str">
        <f>IF(H56="正常",F58,"免征")</f>
        <v>免征</v>
      </c>
      <c r="G56" s="2236" t="s">
        <v>1614</v>
      </c>
      <c r="H56" s="2237"/>
      <c r="I56" s="1748"/>
      <c r="J56" s="2202" t="str">
        <f>IF(项目基本情况!K6="上海银行",IF(J55="",4,J55+1),"")</f>
        <v/>
      </c>
      <c r="K56" s="3437" t="str">
        <f>IF(项目基本情况!K6="上海银行","其他处置费用","")</f>
        <v/>
      </c>
      <c r="L56" s="3438"/>
      <c r="M56" s="2204" t="str">
        <f>IF(项目基本情况!K6="上海银行",M69,"")</f>
        <v/>
      </c>
      <c r="N56" s="3437" t="str">
        <f>IF(项目基本情况!K6="上海银行","包含处置中涉及的律师、诉讼、拍卖、评估等费用","")</f>
        <v/>
      </c>
      <c r="O56" s="3440"/>
    </row>
    <row r="57" spans="1:35" ht="13.2">
      <c r="A57" s="2011" t="s">
        <v>1590</v>
      </c>
      <c r="B57" s="3480" t="s">
        <v>1615</v>
      </c>
      <c r="C57" s="3481"/>
      <c r="D57" s="1529">
        <v>0</v>
      </c>
      <c r="E57" s="325" t="s">
        <v>1592</v>
      </c>
      <c r="F57" s="303"/>
      <c r="G57" s="2234"/>
      <c r="H57" s="2238"/>
      <c r="I57" s="1748"/>
      <c r="J57" s="3456">
        <f>IF(AND(J55="",J56=""),4,IF(项目基本情况!K6="上海银行",结果表!J56+1,结果表!J55+1))</f>
        <v>5</v>
      </c>
      <c r="K57" s="3456" t="s">
        <v>1616</v>
      </c>
      <c r="L57" s="2209" t="s">
        <v>1617</v>
      </c>
      <c r="M57" s="2210"/>
      <c r="N57" s="2211">
        <f ca="1">SUMIF(M52:M56,"&lt;9e307")</f>
        <v>0</v>
      </c>
      <c r="O57" s="2212"/>
      <c r="P57" s="2370" t="e">
        <f ca="1">N57/M49</f>
        <v>#VALUE!</v>
      </c>
    </row>
    <row r="58" spans="1:35" ht="25.2">
      <c r="A58" s="2011" t="s">
        <v>1601</v>
      </c>
      <c r="B58" s="3480" t="s">
        <v>1618</v>
      </c>
      <c r="C58" s="3479"/>
      <c r="D58" s="2000" t="e">
        <f ca="1">IF(H58="转让取得",C81,C97)</f>
        <v>#REF!</v>
      </c>
      <c r="E58" s="2010" t="s">
        <v>1613</v>
      </c>
      <c r="F58" s="303" t="s">
        <v>34</v>
      </c>
      <c r="G58" s="2234"/>
      <c r="H58" s="2237"/>
      <c r="I58" s="1748"/>
      <c r="J58" s="3456"/>
      <c r="K58" s="3456"/>
      <c r="L58" s="2209" t="s">
        <v>1619</v>
      </c>
      <c r="M58" s="2213"/>
      <c r="N58" s="2214" t="str">
        <f ca="1">NUMBERSTRING(INT(N57*10000),2)&amp;"元整"</f>
        <v>零元整</v>
      </c>
      <c r="O58" s="2215"/>
    </row>
    <row r="59" spans="1:35" ht="24.6" thickBot="1">
      <c r="A59" s="3460" t="s">
        <v>1620</v>
      </c>
      <c r="B59" s="3461"/>
      <c r="C59" s="346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58">
        <f>J57+1</f>
        <v>6</v>
      </c>
      <c r="K59" s="3456" t="s">
        <v>1621</v>
      </c>
      <c r="L59" s="2202" t="s">
        <v>1617</v>
      </c>
      <c r="M59" s="2216"/>
      <c r="N59" s="2217" t="e">
        <f ca="1">M49-N57</f>
        <v>#VALUE!</v>
      </c>
      <c r="O59" s="2218"/>
    </row>
    <row r="60" spans="1:35" ht="12" customHeight="1">
      <c r="A60" s="1749"/>
      <c r="B60" s="1687"/>
      <c r="C60" s="1687"/>
      <c r="D60" s="1687"/>
      <c r="E60" s="1517"/>
      <c r="F60" s="1748"/>
      <c r="G60" s="1748"/>
      <c r="H60" s="1750"/>
      <c r="I60" s="133"/>
      <c r="J60" s="3459"/>
      <c r="K60" s="3456"/>
      <c r="L60" s="2209" t="s">
        <v>1619</v>
      </c>
      <c r="M60" s="2213"/>
      <c r="N60" s="2214" t="e">
        <f ca="1">NUMBERSTRING(INT(N59*10000),2)&amp;"元整"</f>
        <v>#VALUE!</v>
      </c>
      <c r="O60" s="2215"/>
    </row>
    <row r="61" spans="1:35" ht="13.8" thickBot="1">
      <c r="A61" s="3518" t="s">
        <v>1622</v>
      </c>
      <c r="B61" s="3518"/>
      <c r="C61" s="3518"/>
      <c r="D61" s="3518"/>
      <c r="E61" s="3518"/>
      <c r="F61" s="1748"/>
      <c r="G61" s="1748"/>
      <c r="H61" s="1750"/>
      <c r="I61" s="133"/>
      <c r="J61" s="2202">
        <f>J59+1</f>
        <v>7</v>
      </c>
      <c r="K61" s="3456" t="s">
        <v>1623</v>
      </c>
      <c r="L61" s="3456"/>
      <c r="M61" s="2219"/>
      <c r="N61" s="2220" t="e">
        <f ca="1">ROUND(N59*10000/'数据-汇总表'!E3,0)</f>
        <v>#VALUE!</v>
      </c>
      <c r="O61" s="2221"/>
    </row>
    <row r="62" spans="1:35" ht="13.2">
      <c r="A62" s="3475" t="s">
        <v>1624</v>
      </c>
      <c r="B62" s="3476"/>
      <c r="C62" s="1936"/>
      <c r="D62" s="1936" t="s">
        <v>1625</v>
      </c>
      <c r="E62" s="170" t="s">
        <v>1626</v>
      </c>
      <c r="F62" s="1748"/>
      <c r="G62" s="1748"/>
      <c r="H62" s="1750"/>
      <c r="I62" s="133"/>
    </row>
    <row r="63" spans="1:35" ht="13.2">
      <c r="A63" s="177" t="s">
        <v>562</v>
      </c>
      <c r="B63" s="171" t="s">
        <v>1627</v>
      </c>
      <c r="C63" s="2243" t="e">
        <f ca="1">ROUND((C64+C65)/(1+'数据-取费表'!C42),0)</f>
        <v>#REF!</v>
      </c>
      <c r="D63" s="171"/>
      <c r="E63" s="172"/>
      <c r="F63" s="1748"/>
      <c r="G63" s="1748"/>
      <c r="H63" s="1750"/>
      <c r="I63" s="133"/>
      <c r="J63" s="3439"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439"/>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439"/>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439"/>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439"/>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439"/>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439"/>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4.4" thickBot="1">
      <c r="A70" s="3483" t="s">
        <v>1643</v>
      </c>
      <c r="B70" s="3484"/>
      <c r="C70" s="3484"/>
      <c r="D70" s="3484"/>
      <c r="E70" s="3484"/>
      <c r="F70" s="3484"/>
      <c r="G70" s="3484"/>
      <c r="H70" s="3484"/>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3.8">
      <c r="A71" s="3475" t="s">
        <v>1624</v>
      </c>
      <c r="B71" s="3476"/>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3.8">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3.8">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28.8">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80" t="s">
        <v>1651</v>
      </c>
      <c r="F76" s="3479"/>
      <c r="G76" s="3479"/>
      <c r="H76" s="3482"/>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72" t="s">
        <v>1655</v>
      </c>
      <c r="F78" s="3473"/>
      <c r="G78" s="3473"/>
      <c r="H78" s="3474"/>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3.8">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6"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4.4" thickBot="1">
      <c r="A83" s="3483" t="s">
        <v>1659</v>
      </c>
      <c r="B83" s="3484"/>
      <c r="C83" s="3484"/>
      <c r="D83" s="3484"/>
      <c r="E83" s="3484"/>
      <c r="F83" s="3484"/>
      <c r="G83" s="3484"/>
      <c r="H83" s="3484"/>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3.8">
      <c r="A84" s="3475" t="s">
        <v>1624</v>
      </c>
      <c r="B84" s="3476"/>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3.8">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3.8">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3.8">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4">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3.8">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4">
      <c r="A90" s="173" t="s">
        <v>558</v>
      </c>
      <c r="B90" s="174" t="s">
        <v>1665</v>
      </c>
      <c r="C90" s="2261"/>
      <c r="D90" s="2256"/>
      <c r="E90" s="194" t="str">
        <f>IF(H88="-","土地取得成本中已包含该笔费用"," ")</f>
        <v xml:space="preserve"> </v>
      </c>
      <c r="F90" s="2003"/>
      <c r="G90" s="3441" t="s">
        <v>2412</v>
      </c>
      <c r="H90" s="3442"/>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72" t="s">
        <v>1668</v>
      </c>
      <c r="F91" s="3473"/>
      <c r="G91" s="34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72" t="s">
        <v>1671</v>
      </c>
      <c r="F92" s="3473"/>
      <c r="G92" s="3473"/>
      <c r="H92" s="3474"/>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72" t="s">
        <v>1655</v>
      </c>
      <c r="F93" s="3473"/>
      <c r="G93" s="3473"/>
      <c r="H93" s="3474"/>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520" t="s">
        <v>1675</v>
      </c>
      <c r="F94" s="3521"/>
      <c r="G94" s="3521"/>
      <c r="H94" s="352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3.8">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6"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57"/>
      <c r="E100" s="3423" t="s">
        <v>1678</v>
      </c>
      <c r="F100" s="3423"/>
      <c r="G100" s="3423"/>
      <c r="H100" s="3457"/>
      <c r="I100" s="133"/>
    </row>
    <row r="101" spans="1:35" ht="18.75" customHeight="1">
      <c r="A101" s="3465" t="s">
        <v>1679</v>
      </c>
      <c r="B101" s="3466"/>
      <c r="C101" s="2264">
        <f>C4</f>
        <v>0</v>
      </c>
      <c r="D101" s="2265">
        <f>D4</f>
        <v>0</v>
      </c>
      <c r="E101" s="3435" t="s">
        <v>1680</v>
      </c>
      <c r="F101" s="3436"/>
      <c r="G101" s="1767" t="s">
        <v>1681</v>
      </c>
      <c r="H101" s="2274" t="e">
        <f ca="1">H118</f>
        <v>#REF!</v>
      </c>
      <c r="I101" s="133"/>
    </row>
    <row r="102" spans="1:35" ht="18.75" customHeight="1">
      <c r="A102" s="3467" t="s">
        <v>1682</v>
      </c>
      <c r="B102" s="2263" t="s">
        <v>1681</v>
      </c>
      <c r="C102" s="2264" t="e">
        <f ca="1">C19</f>
        <v>#REF!</v>
      </c>
      <c r="D102" s="2265" t="e">
        <f ca="1">D19</f>
        <v>#REF!</v>
      </c>
      <c r="E102" s="3435"/>
      <c r="F102" s="3436"/>
      <c r="G102" s="1767" t="s">
        <v>1683</v>
      </c>
      <c r="H102" s="2234" t="e">
        <f ca="1">I118</f>
        <v>#REF!</v>
      </c>
      <c r="I102" s="133"/>
    </row>
    <row r="103" spans="1:35" ht="42.75" customHeight="1">
      <c r="A103" s="3467"/>
      <c r="B103" s="2263" t="s">
        <v>1683</v>
      </c>
      <c r="C103" s="2266" t="e">
        <f ca="1">C20</f>
        <v>#REF!</v>
      </c>
      <c r="D103" s="2267" t="e">
        <f ca="1">D20</f>
        <v>#REF!</v>
      </c>
      <c r="E103" s="3428" t="s">
        <v>1684</v>
      </c>
      <c r="F103" s="3429"/>
      <c r="G103" s="1768" t="s">
        <v>1685</v>
      </c>
      <c r="H103" s="2274">
        <f>IF(D36="正常操作",H104+H105+H106,H105+H106)</f>
        <v>0</v>
      </c>
      <c r="I103" s="133"/>
    </row>
    <row r="104" spans="1:35" ht="18.75" customHeight="1">
      <c r="A104" s="3467"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68" t="str">
        <f>IF(项目基本情况!E8="已注销","——","3.房地产抵押价值")</f>
        <v>3.房地产抵押价值</v>
      </c>
      <c r="F107" s="3436"/>
      <c r="G107" s="1767" t="s">
        <v>1681</v>
      </c>
      <c r="H107" s="2274" t="e">
        <f ca="1">IF(E107="——","——",H101-H103)</f>
        <v>#REF!</v>
      </c>
      <c r="I107" s="133"/>
    </row>
    <row r="108" spans="1:35" ht="18.75" customHeight="1">
      <c r="A108" s="133"/>
      <c r="B108" s="133"/>
      <c r="C108" s="133"/>
      <c r="D108" s="133"/>
      <c r="E108" s="3468"/>
      <c r="F108" s="3436"/>
      <c r="G108" s="1767" t="s">
        <v>1683</v>
      </c>
      <c r="H108" s="2234" t="e">
        <f ca="1">ROUND(H107*10000/'数据-汇总表'!E3,0)</f>
        <v>#REF!</v>
      </c>
      <c r="I108" s="133"/>
    </row>
    <row r="109" spans="1:35" ht="18.75" customHeight="1">
      <c r="A109" s="133"/>
      <c r="B109" s="133"/>
      <c r="C109" s="133"/>
      <c r="D109" s="133"/>
      <c r="E109" s="3468" t="str">
        <f>IF(项目基本情况!E8="已注销及未注销","4.抵押担保权已注销时的房地产抵押价值",IF(项目基本情况!E8="已注销","3.抵押担保权已注销时的房地产抵押价值","——"))</f>
        <v>——</v>
      </c>
      <c r="F109" s="3436"/>
      <c r="G109" s="1767" t="s">
        <v>1681</v>
      </c>
      <c r="H109" s="2277" t="str">
        <f>IF(E109="——","——",H101-H105-H106)</f>
        <v>——</v>
      </c>
      <c r="I109" s="133"/>
    </row>
    <row r="110" spans="1:35" ht="18.75" customHeight="1">
      <c r="A110" s="133"/>
      <c r="B110" s="133"/>
      <c r="C110" s="133"/>
      <c r="D110" s="133"/>
      <c r="E110" s="3468"/>
      <c r="F110" s="3436"/>
      <c r="G110" s="1767" t="s">
        <v>1683</v>
      </c>
      <c r="H110" s="2234" t="str">
        <f>IF(H109="——","——",ROUND(H109*10000/'数据-汇总表'!E3,0))</f>
        <v>——</v>
      </c>
      <c r="I110" s="133"/>
    </row>
    <row r="111" spans="1:35" ht="18.75" customHeight="1">
      <c r="A111" s="133"/>
      <c r="B111" s="133"/>
      <c r="C111" s="133"/>
      <c r="D111" s="133"/>
      <c r="E111" s="3469" t="str">
        <f>IF(项目基本情况!E9="抵押净值",IF(OR(项目基本情况!E8="已注销",项目基本情况!E8="房地产抵押价值"),"4.抵押净值","5.抵押净值"),"——")</f>
        <v>——</v>
      </c>
      <c r="F111" s="3455"/>
      <c r="G111" s="1767" t="s">
        <v>1681</v>
      </c>
      <c r="H111" s="2274" t="str">
        <f>IF(E111="——","——",N59)</f>
        <v>——</v>
      </c>
      <c r="I111" s="133"/>
    </row>
    <row r="112" spans="1:35" ht="18.75" customHeight="1" thickBot="1">
      <c r="A112" s="133"/>
      <c r="B112" s="133"/>
      <c r="C112" s="133"/>
      <c r="D112" s="133"/>
      <c r="E112" s="3470"/>
      <c r="F112" s="3471"/>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3" t="s">
        <v>1692</v>
      </c>
      <c r="B116" s="3447" t="s">
        <v>1693</v>
      </c>
      <c r="C116" s="3447" t="s">
        <v>1694</v>
      </c>
      <c r="D116" s="3453" t="s">
        <v>1695</v>
      </c>
      <c r="E116" s="3454"/>
      <c r="F116" s="3485" t="s">
        <v>1696</v>
      </c>
      <c r="G116" s="3485"/>
      <c r="H116" s="3443" t="s">
        <v>1697</v>
      </c>
      <c r="I116" s="3443"/>
    </row>
    <row r="117" spans="1:27" ht="18.75" customHeight="1">
      <c r="A117" s="3443"/>
      <c r="B117" s="3448"/>
      <c r="C117" s="3448"/>
      <c r="D117" s="2005" t="s">
        <v>1698</v>
      </c>
      <c r="E117" s="2005" t="s">
        <v>1699</v>
      </c>
      <c r="F117" s="2005" t="s">
        <v>1698</v>
      </c>
      <c r="G117" s="2005" t="s">
        <v>1700</v>
      </c>
      <c r="H117" s="2005" t="s">
        <v>1698</v>
      </c>
      <c r="I117" s="2005" t="s">
        <v>1700</v>
      </c>
    </row>
    <row r="118" spans="1:27" ht="24.75" customHeight="1">
      <c r="A118" s="2279"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
      </c>
      <c r="B120" s="3445"/>
      <c r="C120" s="3446"/>
      <c r="D120" s="3444">
        <f>H103</f>
        <v>0</v>
      </c>
      <c r="E120" s="3445"/>
      <c r="F120" s="3445"/>
      <c r="G120" s="3445"/>
      <c r="H120" s="3445"/>
      <c r="I120" s="3446"/>
      <c r="J120" s="1692"/>
      <c r="K120" s="1692" t="str">
        <f>IF(D120=0,"故，本次评估不存在"&amp;A120,"故，本次评估"&amp;A120&amp;"为人民币"&amp;D120&amp;"万元整。")</f>
        <v>故，本次评估不存在</v>
      </c>
      <c r="L120" s="1692"/>
      <c r="M120" s="1692"/>
      <c r="N120" s="1692"/>
      <c r="O120" s="1692"/>
      <c r="P120" s="1692"/>
      <c r="Q120" s="1692"/>
      <c r="R120" s="1692"/>
      <c r="S120" s="1692"/>
    </row>
    <row r="121" spans="1:27" ht="18.75" customHeight="1">
      <c r="A121" s="3486" t="s">
        <v>1701</v>
      </c>
      <c r="B121" s="3487"/>
      <c r="C121" s="3488"/>
      <c r="D121" s="3449" t="str">
        <f>IF(D120=0,"零元整",NUMBERSTRING(INT(D120*10000),2)&amp;"元整")</f>
        <v>零元整</v>
      </c>
      <c r="E121" s="3451"/>
      <c r="F121" s="3451"/>
      <c r="G121" s="3451"/>
      <c r="H121" s="3451"/>
      <c r="I121" s="3450"/>
      <c r="AA121" s="728"/>
    </row>
    <row r="122" spans="1:27" ht="18.75" customHeight="1">
      <c r="A122" s="3455" t="str">
        <f>IF(项目基本情况!B9="房地产市场价值","",MID(E107,3,LEN(E107)-2))</f>
        <v/>
      </c>
      <c r="B122" s="3455"/>
      <c r="C122" s="3455"/>
      <c r="D122" s="3444" t="e">
        <f ca="1">H107</f>
        <v>#REF!</v>
      </c>
      <c r="E122" s="3445"/>
      <c r="F122" s="3445"/>
      <c r="G122" s="3445"/>
      <c r="H122" s="3445"/>
      <c r="I122" s="3446"/>
      <c r="AA122" s="728"/>
    </row>
    <row r="123" spans="1:27" ht="18.75" customHeight="1">
      <c r="A123" s="3443" t="s">
        <v>1701</v>
      </c>
      <c r="B123" s="3443"/>
      <c r="C123" s="3443"/>
      <c r="D123" s="3449" t="e">
        <f ca="1">NUMBERSTRING(INT(D122*10000),2)&amp;"元整"</f>
        <v>#REF!</v>
      </c>
      <c r="E123" s="3451"/>
      <c r="F123" s="3451"/>
      <c r="G123" s="3451"/>
      <c r="H123" s="3451"/>
      <c r="I123" s="3450"/>
      <c r="AA123" s="728"/>
    </row>
    <row r="124" spans="1:27" ht="18.75" customHeight="1">
      <c r="A124" s="3455" t="str">
        <f>IF(项目基本情况!B9="房地产市场价值","",MID(E109,3,LEN(E109)-2))</f>
        <v/>
      </c>
      <c r="B124" s="3455"/>
      <c r="C124" s="3455"/>
      <c r="D124" s="3444" t="str">
        <f>H109</f>
        <v>——</v>
      </c>
      <c r="E124" s="3445"/>
      <c r="F124" s="3445"/>
      <c r="G124" s="3445"/>
      <c r="H124" s="3445"/>
      <c r="I124" s="3446"/>
      <c r="AA124" s="728"/>
    </row>
    <row r="125" spans="1:27" ht="18.75" customHeight="1">
      <c r="A125" s="3443" t="s">
        <v>1701</v>
      </c>
      <c r="B125" s="3443"/>
      <c r="C125" s="3443"/>
      <c r="D125" s="3449" t="e">
        <f>NUMBERSTRING(INT(D124*10000),2)&amp;"元整"</f>
        <v>#VALUE!</v>
      </c>
      <c r="E125" s="3451"/>
      <c r="F125" s="3451"/>
      <c r="G125" s="3451"/>
      <c r="H125" s="3451"/>
      <c r="I125" s="3450"/>
      <c r="AA125" s="728"/>
    </row>
    <row r="126" spans="1:27" ht="18.75" customHeight="1">
      <c r="A126" s="3455" t="str">
        <f>IF(项目基本情况!B9="房地产市场价值","",MID(E111,3,LEN(E111)-2))</f>
        <v/>
      </c>
      <c r="B126" s="3455"/>
      <c r="C126" s="3455"/>
      <c r="D126" s="3444" t="str">
        <f>H111</f>
        <v>——</v>
      </c>
      <c r="E126" s="3445"/>
      <c r="F126" s="3445"/>
      <c r="G126" s="3445"/>
      <c r="H126" s="3445"/>
      <c r="I126" s="3446"/>
      <c r="AA126" s="728"/>
    </row>
    <row r="127" spans="1:27" ht="18.75" customHeight="1">
      <c r="A127" s="3443" t="s">
        <v>1701</v>
      </c>
      <c r="B127" s="3443"/>
      <c r="C127" s="3443"/>
      <c r="D127" s="3449" t="e">
        <f>NUMBERSTRING(INT(D126*10000),2)&amp;"元整"</f>
        <v>#VALUE!</v>
      </c>
      <c r="E127" s="3451"/>
      <c r="F127" s="3451"/>
      <c r="G127" s="3451"/>
      <c r="H127" s="3451"/>
      <c r="I127" s="3450"/>
      <c r="AA127" s="728"/>
    </row>
    <row r="128" spans="1:27" ht="21.75" customHeight="1">
      <c r="A128" s="3452" t="s">
        <v>1702</v>
      </c>
      <c r="B128" s="3452"/>
      <c r="C128" s="3452"/>
      <c r="D128" s="3452"/>
      <c r="E128" s="3452"/>
      <c r="F128" s="3452"/>
      <c r="G128" s="3452"/>
      <c r="H128" s="3452"/>
      <c r="I128" s="345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270" customWidth="1"/>
    <col min="2" max="2" width="29.21875" style="252" customWidth="1"/>
    <col min="3" max="3" width="12.109375" style="252" customWidth="1"/>
    <col min="4" max="5" width="11.21875" style="273" customWidth="1"/>
    <col min="6" max="6" width="9.44140625" style="252" customWidth="1"/>
    <col min="7" max="7" width="31.88671875" style="252" customWidth="1"/>
    <col min="8" max="254" width="9" style="252" customWidth="1"/>
    <col min="255" max="16384" width="8.33203125" style="252"/>
  </cols>
  <sheetData>
    <row r="1" spans="1:9" s="201" customFormat="1" ht="21">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6.2">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6.4">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6.2">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8"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16" customWidth="1"/>
    <col min="2" max="9" width="10" style="816" customWidth="1"/>
    <col min="10" max="16384" width="9" style="816"/>
  </cols>
  <sheetData>
    <row r="36" spans="1:9">
      <c r="A36" s="815" t="s">
        <v>604</v>
      </c>
      <c r="B36" s="815" t="s">
        <v>605</v>
      </c>
    </row>
    <row r="37" spans="1:9" ht="27.75" customHeight="1">
      <c r="A37" s="815"/>
      <c r="B37" s="3336" t="str">
        <f>项目基本情况!B1</f>
        <v>北京市房地产市场价值预评估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0" customWidth="1"/>
    <col min="2" max="2" width="29.21875" style="252" customWidth="1"/>
    <col min="3" max="3" width="12.109375" style="252" customWidth="1"/>
    <col min="4" max="5" width="11.21875" style="273" customWidth="1"/>
    <col min="6" max="6" width="9.44140625" style="252" customWidth="1"/>
    <col min="7" max="7" width="31.88671875" style="252" customWidth="1"/>
    <col min="8" max="8" width="10.77734375" style="252" customWidth="1"/>
    <col min="9" max="254" width="9" style="252" customWidth="1"/>
    <col min="255" max="16384" width="8.33203125" style="252"/>
  </cols>
  <sheetData>
    <row r="1" spans="1:8" s="201" customFormat="1" ht="21">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6.2">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6.4">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6.2">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8"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1" customWidth="1"/>
    <col min="2" max="2" width="25.77734375" style="754" customWidth="1"/>
    <col min="3" max="3" width="10.33203125" style="797" customWidth="1"/>
    <col min="4" max="4" width="9.88671875" style="754" customWidth="1"/>
    <col min="5" max="5" width="9.44140625" style="731" customWidth="1"/>
    <col min="6" max="6" width="10.109375" style="754" customWidth="1"/>
    <col min="7" max="7" width="10.77734375" style="754" customWidth="1"/>
    <col min="8" max="8" width="10" style="754" customWidth="1"/>
    <col min="9" max="11" width="9.44140625" style="754" customWidth="1"/>
    <col min="12" max="12" width="9" style="754" customWidth="1"/>
    <col min="13" max="13" width="10.44140625" style="754" bestFit="1" customWidth="1"/>
    <col min="14" max="254" width="9" style="754" customWidth="1"/>
    <col min="255" max="16384" width="6.6640625" style="754"/>
  </cols>
  <sheetData>
    <row r="1" spans="1:33" ht="21">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5.2">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3.2"/>
  <cols>
    <col min="1" max="1" width="9" style="259" customWidth="1"/>
    <col min="2" max="2" width="20.6640625" style="658" customWidth="1"/>
    <col min="3" max="3" width="11.88671875" style="658" customWidth="1"/>
    <col min="4" max="4" width="40.44140625" style="259" customWidth="1"/>
    <col min="5" max="5" width="15.77734375" style="259" customWidth="1"/>
    <col min="6" max="6" width="10.6640625" style="259" customWidth="1"/>
    <col min="7" max="7" width="4.88671875" style="259" customWidth="1"/>
    <col min="8" max="8" width="8.44140625" style="259" customWidth="1"/>
    <col min="9" max="9" width="21.21875" style="259" customWidth="1"/>
    <col min="10" max="10" width="12.21875" style="259" customWidth="1"/>
    <col min="11" max="11" width="45.109375" style="1406" customWidth="1"/>
    <col min="12" max="12" width="16.33203125" style="259" customWidth="1"/>
    <col min="13" max="13" width="13" style="259" customWidth="1"/>
    <col min="14" max="14" width="13.77734375" style="1322" customWidth="1"/>
    <col min="15" max="15" width="5.109375" style="1322" customWidth="1"/>
    <col min="16" max="16" width="25.77734375" style="1322" customWidth="1"/>
    <col min="17" max="17" width="13.77734375" style="1322" customWidth="1"/>
    <col min="18" max="18" width="20.44140625" style="1322" customWidth="1"/>
    <col min="19" max="19" width="13.21875" style="1322" customWidth="1"/>
    <col min="20" max="37" width="9" style="1322"/>
    <col min="38" max="16384" width="9" style="259"/>
  </cols>
  <sheetData>
    <row r="1" spans="1:37" s="294" customFormat="1" ht="21.6">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8"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8"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40.200000000000003"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8"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8"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8"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8"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6.6"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24.6"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8"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37.200000000000003"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6"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6"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6"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2"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8"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8"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8"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8"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8"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2"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24.6"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2"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8" thickBot="1">
      <c r="A69" s="920"/>
      <c r="B69" s="921"/>
      <c r="C69" s="307"/>
      <c r="D69" s="939" t="s">
        <v>1001</v>
      </c>
      <c r="E69" s="919" t="s">
        <v>1002</v>
      </c>
      <c r="F69" s="334">
        <f ca="1">F41</f>
        <v>0</v>
      </c>
      <c r="O69" s="1366" t="s">
        <v>652</v>
      </c>
      <c r="P69" s="1405" t="s">
        <v>1112</v>
      </c>
      <c r="Q69" s="1358" t="e">
        <f ca="1">C39</f>
        <v>#VALUE!</v>
      </c>
      <c r="R69" s="1358" t="s">
        <v>1057</v>
      </c>
    </row>
    <row r="70" spans="1:18" s="1322" customFormat="1" ht="13.8" thickBot="1">
      <c r="A70" s="923"/>
      <c r="B70" s="924"/>
      <c r="C70" s="311"/>
      <c r="D70" s="935"/>
      <c r="E70" s="919" t="s">
        <v>1005</v>
      </c>
      <c r="F70" s="1023"/>
      <c r="O70" s="1366" t="s">
        <v>653</v>
      </c>
      <c r="P70" s="1405" t="s">
        <v>1113</v>
      </c>
      <c r="Q70" s="1358" t="e">
        <f ca="1">C13</f>
        <v>#VALUE!</v>
      </c>
      <c r="R70" s="1358" t="s">
        <v>1057</v>
      </c>
    </row>
    <row r="71" spans="1:18" s="1322" customFormat="1" ht="13.8"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8" thickBot="1">
      <c r="B72" s="729"/>
      <c r="C72" s="729"/>
      <c r="O72" s="1366" t="s">
        <v>648</v>
      </c>
      <c r="P72" s="1357" t="s">
        <v>1092</v>
      </c>
      <c r="Q72" s="1369">
        <f>L52</f>
        <v>0</v>
      </c>
      <c r="R72" s="1358"/>
    </row>
    <row r="73" spans="1:18" ht="16.2" thickBot="1">
      <c r="A73" s="1322"/>
      <c r="B73" s="729"/>
      <c r="C73" s="729"/>
      <c r="D73" s="1322"/>
      <c r="E73" s="1322"/>
      <c r="F73" s="1322"/>
      <c r="O73" s="1366" t="s">
        <v>649</v>
      </c>
      <c r="P73" s="1357" t="s">
        <v>1095</v>
      </c>
      <c r="Q73" s="1358" t="e">
        <f ca="1">L58</f>
        <v>#DIV/0!</v>
      </c>
      <c r="R73" s="1358" t="s">
        <v>1096</v>
      </c>
    </row>
    <row r="74" spans="1:18" ht="13.8"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8"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59" customWidth="1"/>
    <col min="2" max="2" width="20.6640625" style="658" customWidth="1"/>
    <col min="3" max="3" width="11.88671875" style="658" customWidth="1"/>
    <col min="4" max="4" width="40.44140625" style="259" customWidth="1"/>
    <col min="5" max="5" width="15.77734375" style="259" customWidth="1"/>
    <col min="6" max="6" width="10.6640625" style="259" customWidth="1"/>
    <col min="7" max="7" width="4.88671875" style="259" customWidth="1"/>
    <col min="8" max="8" width="8.44140625" style="259" customWidth="1"/>
    <col min="9" max="9" width="21.21875" style="259" customWidth="1"/>
    <col min="10" max="10" width="12.21875" style="259" customWidth="1"/>
    <col min="11" max="11" width="40.109375" style="1406" customWidth="1"/>
    <col min="12" max="12" width="16.33203125" style="259" customWidth="1"/>
    <col min="13" max="13" width="13" style="259" customWidth="1"/>
    <col min="14" max="14" width="13.77734375" style="1322" customWidth="1"/>
    <col min="15" max="15" width="5.109375" style="1322" customWidth="1"/>
    <col min="16" max="16" width="25.77734375" style="1322" customWidth="1"/>
    <col min="17" max="17" width="13.77734375" style="1322" customWidth="1"/>
    <col min="18" max="18" width="20.44140625" style="1322" customWidth="1"/>
    <col min="19" max="19" width="13.21875" style="1322" customWidth="1"/>
    <col min="20" max="37" width="9" style="1322"/>
    <col min="38" max="16384" width="9" style="259"/>
  </cols>
  <sheetData>
    <row r="1" spans="1:37" s="294" customFormat="1" ht="21.6">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8"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8"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40.200000000000003"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8"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8"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8"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8"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8"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8"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6"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6"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6"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2"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8"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8"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8"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8"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8"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2"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24.6"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2"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8" thickBot="1">
      <c r="A69" s="920"/>
      <c r="B69" s="921"/>
      <c r="C69" s="307"/>
      <c r="D69" s="939" t="s">
        <v>1001</v>
      </c>
      <c r="E69" s="919" t="s">
        <v>1002</v>
      </c>
      <c r="F69" s="334">
        <f ca="1">F41</f>
        <v>0</v>
      </c>
      <c r="O69" s="1366" t="s">
        <v>652</v>
      </c>
      <c r="P69" s="1405" t="s">
        <v>1112</v>
      </c>
      <c r="Q69" s="1358" t="e">
        <f ca="1">C39</f>
        <v>#VALUE!</v>
      </c>
      <c r="R69" s="1358" t="s">
        <v>1057</v>
      </c>
    </row>
    <row r="70" spans="1:18" s="1322" customFormat="1" ht="13.8" thickBot="1">
      <c r="A70" s="923"/>
      <c r="B70" s="924"/>
      <c r="C70" s="311"/>
      <c r="D70" s="935"/>
      <c r="E70" s="919" t="s">
        <v>1005</v>
      </c>
      <c r="F70" s="1023">
        <f ca="1">F42</f>
        <v>0</v>
      </c>
      <c r="O70" s="1366" t="s">
        <v>653</v>
      </c>
      <c r="P70" s="1405" t="s">
        <v>1113</v>
      </c>
      <c r="Q70" s="1358" t="e">
        <f ca="1">C13</f>
        <v>#VALUE!</v>
      </c>
      <c r="R70" s="1358" t="s">
        <v>1057</v>
      </c>
    </row>
    <row r="71" spans="1:18" s="1322" customFormat="1" ht="13.8"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8" thickBot="1">
      <c r="B72" s="729"/>
      <c r="C72" s="729"/>
      <c r="O72" s="1366" t="s">
        <v>648</v>
      </c>
      <c r="P72" s="1357" t="s">
        <v>1092</v>
      </c>
      <c r="Q72" s="1369">
        <f>L52</f>
        <v>0</v>
      </c>
      <c r="R72" s="1358"/>
    </row>
    <row r="73" spans="1:18" ht="16.2" thickBot="1">
      <c r="A73" s="1322"/>
      <c r="B73" s="729"/>
      <c r="C73" s="729"/>
      <c r="D73" s="1322"/>
      <c r="E73" s="1322"/>
      <c r="F73" s="1322"/>
      <c r="O73" s="1366" t="s">
        <v>649</v>
      </c>
      <c r="P73" s="1357" t="s">
        <v>1095</v>
      </c>
      <c r="Q73" s="1358" t="e">
        <f ca="1">L58</f>
        <v>#DIV/0!</v>
      </c>
      <c r="R73" s="1358" t="s">
        <v>1096</v>
      </c>
    </row>
    <row r="74" spans="1:18" ht="13.8"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8"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2" customHeight="1"/>
  <cols>
    <col min="1" max="1" width="9.44140625" style="2509" customWidth="1"/>
    <col min="2" max="2" width="8.88671875" style="2509"/>
    <col min="3" max="5" width="12.88671875" style="2509" customWidth="1"/>
    <col min="6" max="6" width="47.44140625" style="2509" customWidth="1"/>
    <col min="7" max="7" width="13" style="2668" customWidth="1"/>
    <col min="8" max="8" width="8.88671875" style="2503"/>
    <col min="9" max="9" width="8.88671875" style="2504"/>
    <col min="10" max="10" width="5.77734375" style="2669" customWidth="1"/>
    <col min="11" max="11" width="11.77734375" style="2669" customWidth="1"/>
    <col min="12" max="13" width="10.77734375" style="2669" customWidth="1"/>
    <col min="14" max="14" width="10" style="2669" customWidth="1"/>
    <col min="15" max="16" width="10.44140625" style="2669" bestFit="1" customWidth="1"/>
    <col min="17" max="17" width="10" style="2669" customWidth="1"/>
    <col min="18" max="18" width="10.109375" style="2669" customWidth="1"/>
    <col min="19" max="19" width="10" style="2669" customWidth="1"/>
    <col min="20" max="20" width="26.109375" style="2669" customWidth="1"/>
    <col min="21" max="21" width="8.88671875" style="2669"/>
    <col min="22" max="22" width="8.88671875" style="2504"/>
    <col min="23" max="256" width="8.88671875" style="2509"/>
    <col min="257" max="257" width="9.44140625" style="2509" customWidth="1"/>
    <col min="258" max="258" width="8.88671875" style="2509"/>
    <col min="259" max="261" width="12.88671875" style="2509" customWidth="1"/>
    <col min="262" max="262" width="47.44140625" style="2509" customWidth="1"/>
    <col min="263" max="263" width="13" style="2509" customWidth="1"/>
    <col min="264" max="265" width="8.88671875" style="2509"/>
    <col min="266" max="266" width="5.77734375" style="2509" customWidth="1"/>
    <col min="267" max="267" width="11.77734375" style="2509" customWidth="1"/>
    <col min="268" max="269" width="10.77734375" style="2509" customWidth="1"/>
    <col min="270" max="270" width="10" style="2509" customWidth="1"/>
    <col min="271" max="272" width="10.44140625" style="2509" bestFit="1" customWidth="1"/>
    <col min="273" max="273" width="10" style="2509" customWidth="1"/>
    <col min="274" max="274" width="10.109375" style="2509" customWidth="1"/>
    <col min="275" max="275" width="10" style="2509" customWidth="1"/>
    <col min="276" max="276" width="26.109375" style="2509" customWidth="1"/>
    <col min="277" max="512" width="8.88671875" style="2509"/>
    <col min="513" max="513" width="9.44140625" style="2509" customWidth="1"/>
    <col min="514" max="514" width="8.88671875" style="2509"/>
    <col min="515" max="517" width="12.88671875" style="2509" customWidth="1"/>
    <col min="518" max="518" width="47.44140625" style="2509" customWidth="1"/>
    <col min="519" max="519" width="13" style="2509" customWidth="1"/>
    <col min="520" max="521" width="8.88671875" style="2509"/>
    <col min="522" max="522" width="5.77734375" style="2509" customWidth="1"/>
    <col min="523" max="523" width="11.77734375" style="2509" customWidth="1"/>
    <col min="524" max="525" width="10.77734375" style="2509" customWidth="1"/>
    <col min="526" max="526" width="10" style="2509" customWidth="1"/>
    <col min="527" max="528" width="10.44140625" style="2509" bestFit="1" customWidth="1"/>
    <col min="529" max="529" width="10" style="2509" customWidth="1"/>
    <col min="530" max="530" width="10.109375" style="2509" customWidth="1"/>
    <col min="531" max="531" width="10" style="2509" customWidth="1"/>
    <col min="532" max="532" width="26.109375" style="2509" customWidth="1"/>
    <col min="533" max="768" width="8.88671875" style="2509"/>
    <col min="769" max="769" width="9.44140625" style="2509" customWidth="1"/>
    <col min="770" max="770" width="8.88671875" style="2509"/>
    <col min="771" max="773" width="12.88671875" style="2509" customWidth="1"/>
    <col min="774" max="774" width="47.44140625" style="2509" customWidth="1"/>
    <col min="775" max="775" width="13" style="2509" customWidth="1"/>
    <col min="776" max="777" width="8.88671875" style="2509"/>
    <col min="778" max="778" width="5.77734375" style="2509" customWidth="1"/>
    <col min="779" max="779" width="11.77734375" style="2509" customWidth="1"/>
    <col min="780" max="781" width="10.77734375" style="2509" customWidth="1"/>
    <col min="782" max="782" width="10" style="2509" customWidth="1"/>
    <col min="783" max="784" width="10.44140625" style="2509" bestFit="1" customWidth="1"/>
    <col min="785" max="785" width="10" style="2509" customWidth="1"/>
    <col min="786" max="786" width="10.109375" style="2509" customWidth="1"/>
    <col min="787" max="787" width="10" style="2509" customWidth="1"/>
    <col min="788" max="788" width="26.109375" style="2509" customWidth="1"/>
    <col min="789" max="1024" width="8.88671875" style="2509"/>
    <col min="1025" max="1025" width="9.44140625" style="2509" customWidth="1"/>
    <col min="1026" max="1026" width="8.88671875" style="2509"/>
    <col min="1027" max="1029" width="12.88671875" style="2509" customWidth="1"/>
    <col min="1030" max="1030" width="47.44140625" style="2509" customWidth="1"/>
    <col min="1031" max="1031" width="13" style="2509" customWidth="1"/>
    <col min="1032" max="1033" width="8.88671875" style="2509"/>
    <col min="1034" max="1034" width="5.77734375" style="2509" customWidth="1"/>
    <col min="1035" max="1035" width="11.77734375" style="2509" customWidth="1"/>
    <col min="1036" max="1037" width="10.77734375" style="2509" customWidth="1"/>
    <col min="1038" max="1038" width="10" style="2509" customWidth="1"/>
    <col min="1039" max="1040" width="10.44140625" style="2509" bestFit="1" customWidth="1"/>
    <col min="1041" max="1041" width="10" style="2509" customWidth="1"/>
    <col min="1042" max="1042" width="10.109375" style="2509" customWidth="1"/>
    <col min="1043" max="1043" width="10" style="2509" customWidth="1"/>
    <col min="1044" max="1044" width="26.109375" style="2509" customWidth="1"/>
    <col min="1045" max="1280" width="8.88671875" style="2509"/>
    <col min="1281" max="1281" width="9.44140625" style="2509" customWidth="1"/>
    <col min="1282" max="1282" width="8.88671875" style="2509"/>
    <col min="1283" max="1285" width="12.88671875" style="2509" customWidth="1"/>
    <col min="1286" max="1286" width="47.44140625" style="2509" customWidth="1"/>
    <col min="1287" max="1287" width="13" style="2509" customWidth="1"/>
    <col min="1288" max="1289" width="8.88671875" style="2509"/>
    <col min="1290" max="1290" width="5.77734375" style="2509" customWidth="1"/>
    <col min="1291" max="1291" width="11.77734375" style="2509" customWidth="1"/>
    <col min="1292" max="1293" width="10.77734375" style="2509" customWidth="1"/>
    <col min="1294" max="1294" width="10" style="2509" customWidth="1"/>
    <col min="1295" max="1296" width="10.44140625" style="2509" bestFit="1" customWidth="1"/>
    <col min="1297" max="1297" width="10" style="2509" customWidth="1"/>
    <col min="1298" max="1298" width="10.109375" style="2509" customWidth="1"/>
    <col min="1299" max="1299" width="10" style="2509" customWidth="1"/>
    <col min="1300" max="1300" width="26.109375" style="2509" customWidth="1"/>
    <col min="1301" max="1536" width="8.88671875" style="2509"/>
    <col min="1537" max="1537" width="9.44140625" style="2509" customWidth="1"/>
    <col min="1538" max="1538" width="8.88671875" style="2509"/>
    <col min="1539" max="1541" width="12.88671875" style="2509" customWidth="1"/>
    <col min="1542" max="1542" width="47.44140625" style="2509" customWidth="1"/>
    <col min="1543" max="1543" width="13" style="2509" customWidth="1"/>
    <col min="1544" max="1545" width="8.88671875" style="2509"/>
    <col min="1546" max="1546" width="5.77734375" style="2509" customWidth="1"/>
    <col min="1547" max="1547" width="11.77734375" style="2509" customWidth="1"/>
    <col min="1548" max="1549" width="10.77734375" style="2509" customWidth="1"/>
    <col min="1550" max="1550" width="10" style="2509" customWidth="1"/>
    <col min="1551" max="1552" width="10.44140625" style="2509" bestFit="1" customWidth="1"/>
    <col min="1553" max="1553" width="10" style="2509" customWidth="1"/>
    <col min="1554" max="1554" width="10.109375" style="2509" customWidth="1"/>
    <col min="1555" max="1555" width="10" style="2509" customWidth="1"/>
    <col min="1556" max="1556" width="26.109375" style="2509" customWidth="1"/>
    <col min="1557" max="1792" width="8.88671875" style="2509"/>
    <col min="1793" max="1793" width="9.44140625" style="2509" customWidth="1"/>
    <col min="1794" max="1794" width="8.88671875" style="2509"/>
    <col min="1795" max="1797" width="12.88671875" style="2509" customWidth="1"/>
    <col min="1798" max="1798" width="47.44140625" style="2509" customWidth="1"/>
    <col min="1799" max="1799" width="13" style="2509" customWidth="1"/>
    <col min="1800" max="1801" width="8.88671875" style="2509"/>
    <col min="1802" max="1802" width="5.77734375" style="2509" customWidth="1"/>
    <col min="1803" max="1803" width="11.77734375" style="2509" customWidth="1"/>
    <col min="1804" max="1805" width="10.77734375" style="2509" customWidth="1"/>
    <col min="1806" max="1806" width="10" style="2509" customWidth="1"/>
    <col min="1807" max="1808" width="10.44140625" style="2509" bestFit="1" customWidth="1"/>
    <col min="1809" max="1809" width="10" style="2509" customWidth="1"/>
    <col min="1810" max="1810" width="10.109375" style="2509" customWidth="1"/>
    <col min="1811" max="1811" width="10" style="2509" customWidth="1"/>
    <col min="1812" max="1812" width="26.109375" style="2509" customWidth="1"/>
    <col min="1813" max="2048" width="8.88671875" style="2509"/>
    <col min="2049" max="2049" width="9.44140625" style="2509" customWidth="1"/>
    <col min="2050" max="2050" width="8.88671875" style="2509"/>
    <col min="2051" max="2053" width="12.88671875" style="2509" customWidth="1"/>
    <col min="2054" max="2054" width="47.44140625" style="2509" customWidth="1"/>
    <col min="2055" max="2055" width="13" style="2509" customWidth="1"/>
    <col min="2056" max="2057" width="8.88671875" style="2509"/>
    <col min="2058" max="2058" width="5.77734375" style="2509" customWidth="1"/>
    <col min="2059" max="2059" width="11.77734375" style="2509" customWidth="1"/>
    <col min="2060" max="2061" width="10.77734375" style="2509" customWidth="1"/>
    <col min="2062" max="2062" width="10" style="2509" customWidth="1"/>
    <col min="2063" max="2064" width="10.44140625" style="2509" bestFit="1" customWidth="1"/>
    <col min="2065" max="2065" width="10" style="2509" customWidth="1"/>
    <col min="2066" max="2066" width="10.109375" style="2509" customWidth="1"/>
    <col min="2067" max="2067" width="10" style="2509" customWidth="1"/>
    <col min="2068" max="2068" width="26.109375" style="2509" customWidth="1"/>
    <col min="2069" max="2304" width="8.88671875" style="2509"/>
    <col min="2305" max="2305" width="9.44140625" style="2509" customWidth="1"/>
    <col min="2306" max="2306" width="8.88671875" style="2509"/>
    <col min="2307" max="2309" width="12.88671875" style="2509" customWidth="1"/>
    <col min="2310" max="2310" width="47.44140625" style="2509" customWidth="1"/>
    <col min="2311" max="2311" width="13" style="2509" customWidth="1"/>
    <col min="2312" max="2313" width="8.88671875" style="2509"/>
    <col min="2314" max="2314" width="5.77734375" style="2509" customWidth="1"/>
    <col min="2315" max="2315" width="11.77734375" style="2509" customWidth="1"/>
    <col min="2316" max="2317" width="10.77734375" style="2509" customWidth="1"/>
    <col min="2318" max="2318" width="10" style="2509" customWidth="1"/>
    <col min="2319" max="2320" width="10.44140625" style="2509" bestFit="1" customWidth="1"/>
    <col min="2321" max="2321" width="10" style="2509" customWidth="1"/>
    <col min="2322" max="2322" width="10.109375" style="2509" customWidth="1"/>
    <col min="2323" max="2323" width="10" style="2509" customWidth="1"/>
    <col min="2324" max="2324" width="26.109375" style="2509" customWidth="1"/>
    <col min="2325" max="2560" width="8.88671875" style="2509"/>
    <col min="2561" max="2561" width="9.44140625" style="2509" customWidth="1"/>
    <col min="2562" max="2562" width="8.88671875" style="2509"/>
    <col min="2563" max="2565" width="12.88671875" style="2509" customWidth="1"/>
    <col min="2566" max="2566" width="47.44140625" style="2509" customWidth="1"/>
    <col min="2567" max="2567" width="13" style="2509" customWidth="1"/>
    <col min="2568" max="2569" width="8.88671875" style="2509"/>
    <col min="2570" max="2570" width="5.77734375" style="2509" customWidth="1"/>
    <col min="2571" max="2571" width="11.77734375" style="2509" customWidth="1"/>
    <col min="2572" max="2573" width="10.77734375" style="2509" customWidth="1"/>
    <col min="2574" max="2574" width="10" style="2509" customWidth="1"/>
    <col min="2575" max="2576" width="10.44140625" style="2509" bestFit="1" customWidth="1"/>
    <col min="2577" max="2577" width="10" style="2509" customWidth="1"/>
    <col min="2578" max="2578" width="10.109375" style="2509" customWidth="1"/>
    <col min="2579" max="2579" width="10" style="2509" customWidth="1"/>
    <col min="2580" max="2580" width="26.109375" style="2509" customWidth="1"/>
    <col min="2581" max="2816" width="8.88671875" style="2509"/>
    <col min="2817" max="2817" width="9.44140625" style="2509" customWidth="1"/>
    <col min="2818" max="2818" width="8.88671875" style="2509"/>
    <col min="2819" max="2821" width="12.88671875" style="2509" customWidth="1"/>
    <col min="2822" max="2822" width="47.44140625" style="2509" customWidth="1"/>
    <col min="2823" max="2823" width="13" style="2509" customWidth="1"/>
    <col min="2824" max="2825" width="8.88671875" style="2509"/>
    <col min="2826" max="2826" width="5.77734375" style="2509" customWidth="1"/>
    <col min="2827" max="2827" width="11.77734375" style="2509" customWidth="1"/>
    <col min="2828" max="2829" width="10.77734375" style="2509" customWidth="1"/>
    <col min="2830" max="2830" width="10" style="2509" customWidth="1"/>
    <col min="2831" max="2832" width="10.44140625" style="2509" bestFit="1" customWidth="1"/>
    <col min="2833" max="2833" width="10" style="2509" customWidth="1"/>
    <col min="2834" max="2834" width="10.109375" style="2509" customWidth="1"/>
    <col min="2835" max="2835" width="10" style="2509" customWidth="1"/>
    <col min="2836" max="2836" width="26.109375" style="2509" customWidth="1"/>
    <col min="2837" max="3072" width="8.88671875" style="2509"/>
    <col min="3073" max="3073" width="9.44140625" style="2509" customWidth="1"/>
    <col min="3074" max="3074" width="8.88671875" style="2509"/>
    <col min="3075" max="3077" width="12.88671875" style="2509" customWidth="1"/>
    <col min="3078" max="3078" width="47.44140625" style="2509" customWidth="1"/>
    <col min="3079" max="3079" width="13" style="2509" customWidth="1"/>
    <col min="3080" max="3081" width="8.88671875" style="2509"/>
    <col min="3082" max="3082" width="5.77734375" style="2509" customWidth="1"/>
    <col min="3083" max="3083" width="11.77734375" style="2509" customWidth="1"/>
    <col min="3084" max="3085" width="10.77734375" style="2509" customWidth="1"/>
    <col min="3086" max="3086" width="10" style="2509" customWidth="1"/>
    <col min="3087" max="3088" width="10.44140625" style="2509" bestFit="1" customWidth="1"/>
    <col min="3089" max="3089" width="10" style="2509" customWidth="1"/>
    <col min="3090" max="3090" width="10.109375" style="2509" customWidth="1"/>
    <col min="3091" max="3091" width="10" style="2509" customWidth="1"/>
    <col min="3092" max="3092" width="26.109375" style="2509" customWidth="1"/>
    <col min="3093" max="3328" width="8.88671875" style="2509"/>
    <col min="3329" max="3329" width="9.44140625" style="2509" customWidth="1"/>
    <col min="3330" max="3330" width="8.88671875" style="2509"/>
    <col min="3331" max="3333" width="12.88671875" style="2509" customWidth="1"/>
    <col min="3334" max="3334" width="47.44140625" style="2509" customWidth="1"/>
    <col min="3335" max="3335" width="13" style="2509" customWidth="1"/>
    <col min="3336" max="3337" width="8.88671875" style="2509"/>
    <col min="3338" max="3338" width="5.77734375" style="2509" customWidth="1"/>
    <col min="3339" max="3339" width="11.77734375" style="2509" customWidth="1"/>
    <col min="3340" max="3341" width="10.77734375" style="2509" customWidth="1"/>
    <col min="3342" max="3342" width="10" style="2509" customWidth="1"/>
    <col min="3343" max="3344" width="10.44140625" style="2509" bestFit="1" customWidth="1"/>
    <col min="3345" max="3345" width="10" style="2509" customWidth="1"/>
    <col min="3346" max="3346" width="10.109375" style="2509" customWidth="1"/>
    <col min="3347" max="3347" width="10" style="2509" customWidth="1"/>
    <col min="3348" max="3348" width="26.109375" style="2509" customWidth="1"/>
    <col min="3349" max="3584" width="8.88671875" style="2509"/>
    <col min="3585" max="3585" width="9.44140625" style="2509" customWidth="1"/>
    <col min="3586" max="3586" width="8.88671875" style="2509"/>
    <col min="3587" max="3589" width="12.88671875" style="2509" customWidth="1"/>
    <col min="3590" max="3590" width="47.44140625" style="2509" customWidth="1"/>
    <col min="3591" max="3591" width="13" style="2509" customWidth="1"/>
    <col min="3592" max="3593" width="8.88671875" style="2509"/>
    <col min="3594" max="3594" width="5.77734375" style="2509" customWidth="1"/>
    <col min="3595" max="3595" width="11.77734375" style="2509" customWidth="1"/>
    <col min="3596" max="3597" width="10.77734375" style="2509" customWidth="1"/>
    <col min="3598" max="3598" width="10" style="2509" customWidth="1"/>
    <col min="3599" max="3600" width="10.44140625" style="2509" bestFit="1" customWidth="1"/>
    <col min="3601" max="3601" width="10" style="2509" customWidth="1"/>
    <col min="3602" max="3602" width="10.109375" style="2509" customWidth="1"/>
    <col min="3603" max="3603" width="10" style="2509" customWidth="1"/>
    <col min="3604" max="3604" width="26.109375" style="2509" customWidth="1"/>
    <col min="3605" max="3840" width="8.88671875" style="2509"/>
    <col min="3841" max="3841" width="9.44140625" style="2509" customWidth="1"/>
    <col min="3842" max="3842" width="8.88671875" style="2509"/>
    <col min="3843" max="3845" width="12.88671875" style="2509" customWidth="1"/>
    <col min="3846" max="3846" width="47.44140625" style="2509" customWidth="1"/>
    <col min="3847" max="3847" width="13" style="2509" customWidth="1"/>
    <col min="3848" max="3849" width="8.88671875" style="2509"/>
    <col min="3850" max="3850" width="5.77734375" style="2509" customWidth="1"/>
    <col min="3851" max="3851" width="11.77734375" style="2509" customWidth="1"/>
    <col min="3852" max="3853" width="10.77734375" style="2509" customWidth="1"/>
    <col min="3854" max="3854" width="10" style="2509" customWidth="1"/>
    <col min="3855" max="3856" width="10.44140625" style="2509" bestFit="1" customWidth="1"/>
    <col min="3857" max="3857" width="10" style="2509" customWidth="1"/>
    <col min="3858" max="3858" width="10.109375" style="2509" customWidth="1"/>
    <col min="3859" max="3859" width="10" style="2509" customWidth="1"/>
    <col min="3860" max="3860" width="26.109375" style="2509" customWidth="1"/>
    <col min="3861" max="4096" width="8.88671875" style="2509"/>
    <col min="4097" max="4097" width="9.44140625" style="2509" customWidth="1"/>
    <col min="4098" max="4098" width="8.88671875" style="2509"/>
    <col min="4099" max="4101" width="12.88671875" style="2509" customWidth="1"/>
    <col min="4102" max="4102" width="47.44140625" style="2509" customWidth="1"/>
    <col min="4103" max="4103" width="13" style="2509" customWidth="1"/>
    <col min="4104" max="4105" width="8.88671875" style="2509"/>
    <col min="4106" max="4106" width="5.77734375" style="2509" customWidth="1"/>
    <col min="4107" max="4107" width="11.77734375" style="2509" customWidth="1"/>
    <col min="4108" max="4109" width="10.77734375" style="2509" customWidth="1"/>
    <col min="4110" max="4110" width="10" style="2509" customWidth="1"/>
    <col min="4111" max="4112" width="10.44140625" style="2509" bestFit="1" customWidth="1"/>
    <col min="4113" max="4113" width="10" style="2509" customWidth="1"/>
    <col min="4114" max="4114" width="10.109375" style="2509" customWidth="1"/>
    <col min="4115" max="4115" width="10" style="2509" customWidth="1"/>
    <col min="4116" max="4116" width="26.109375" style="2509" customWidth="1"/>
    <col min="4117" max="4352" width="8.88671875" style="2509"/>
    <col min="4353" max="4353" width="9.44140625" style="2509" customWidth="1"/>
    <col min="4354" max="4354" width="8.88671875" style="2509"/>
    <col min="4355" max="4357" width="12.88671875" style="2509" customWidth="1"/>
    <col min="4358" max="4358" width="47.44140625" style="2509" customWidth="1"/>
    <col min="4359" max="4359" width="13" style="2509" customWidth="1"/>
    <col min="4360" max="4361" width="8.88671875" style="2509"/>
    <col min="4362" max="4362" width="5.77734375" style="2509" customWidth="1"/>
    <col min="4363" max="4363" width="11.77734375" style="2509" customWidth="1"/>
    <col min="4364" max="4365" width="10.77734375" style="2509" customWidth="1"/>
    <col min="4366" max="4366" width="10" style="2509" customWidth="1"/>
    <col min="4367" max="4368" width="10.44140625" style="2509" bestFit="1" customWidth="1"/>
    <col min="4369" max="4369" width="10" style="2509" customWidth="1"/>
    <col min="4370" max="4370" width="10.109375" style="2509" customWidth="1"/>
    <col min="4371" max="4371" width="10" style="2509" customWidth="1"/>
    <col min="4372" max="4372" width="26.109375" style="2509" customWidth="1"/>
    <col min="4373" max="4608" width="8.88671875" style="2509"/>
    <col min="4609" max="4609" width="9.44140625" style="2509" customWidth="1"/>
    <col min="4610" max="4610" width="8.88671875" style="2509"/>
    <col min="4611" max="4613" width="12.88671875" style="2509" customWidth="1"/>
    <col min="4614" max="4614" width="47.44140625" style="2509" customWidth="1"/>
    <col min="4615" max="4615" width="13" style="2509" customWidth="1"/>
    <col min="4616" max="4617" width="8.88671875" style="2509"/>
    <col min="4618" max="4618" width="5.77734375" style="2509" customWidth="1"/>
    <col min="4619" max="4619" width="11.77734375" style="2509" customWidth="1"/>
    <col min="4620" max="4621" width="10.77734375" style="2509" customWidth="1"/>
    <col min="4622" max="4622" width="10" style="2509" customWidth="1"/>
    <col min="4623" max="4624" width="10.44140625" style="2509" bestFit="1" customWidth="1"/>
    <col min="4625" max="4625" width="10" style="2509" customWidth="1"/>
    <col min="4626" max="4626" width="10.109375" style="2509" customWidth="1"/>
    <col min="4627" max="4627" width="10" style="2509" customWidth="1"/>
    <col min="4628" max="4628" width="26.109375" style="2509" customWidth="1"/>
    <col min="4629" max="4864" width="8.88671875" style="2509"/>
    <col min="4865" max="4865" width="9.44140625" style="2509" customWidth="1"/>
    <col min="4866" max="4866" width="8.88671875" style="2509"/>
    <col min="4867" max="4869" width="12.88671875" style="2509" customWidth="1"/>
    <col min="4870" max="4870" width="47.44140625" style="2509" customWidth="1"/>
    <col min="4871" max="4871" width="13" style="2509" customWidth="1"/>
    <col min="4872" max="4873" width="8.88671875" style="2509"/>
    <col min="4874" max="4874" width="5.77734375" style="2509" customWidth="1"/>
    <col min="4875" max="4875" width="11.77734375" style="2509" customWidth="1"/>
    <col min="4876" max="4877" width="10.77734375" style="2509" customWidth="1"/>
    <col min="4878" max="4878" width="10" style="2509" customWidth="1"/>
    <col min="4879" max="4880" width="10.44140625" style="2509" bestFit="1" customWidth="1"/>
    <col min="4881" max="4881" width="10" style="2509" customWidth="1"/>
    <col min="4882" max="4882" width="10.109375" style="2509" customWidth="1"/>
    <col min="4883" max="4883" width="10" style="2509" customWidth="1"/>
    <col min="4884" max="4884" width="26.109375" style="2509" customWidth="1"/>
    <col min="4885" max="5120" width="8.88671875" style="2509"/>
    <col min="5121" max="5121" width="9.44140625" style="2509" customWidth="1"/>
    <col min="5122" max="5122" width="8.88671875" style="2509"/>
    <col min="5123" max="5125" width="12.88671875" style="2509" customWidth="1"/>
    <col min="5126" max="5126" width="47.44140625" style="2509" customWidth="1"/>
    <col min="5127" max="5127" width="13" style="2509" customWidth="1"/>
    <col min="5128" max="5129" width="8.88671875" style="2509"/>
    <col min="5130" max="5130" width="5.77734375" style="2509" customWidth="1"/>
    <col min="5131" max="5131" width="11.77734375" style="2509" customWidth="1"/>
    <col min="5132" max="5133" width="10.77734375" style="2509" customWidth="1"/>
    <col min="5134" max="5134" width="10" style="2509" customWidth="1"/>
    <col min="5135" max="5136" width="10.44140625" style="2509" bestFit="1" customWidth="1"/>
    <col min="5137" max="5137" width="10" style="2509" customWidth="1"/>
    <col min="5138" max="5138" width="10.109375" style="2509" customWidth="1"/>
    <col min="5139" max="5139" width="10" style="2509" customWidth="1"/>
    <col min="5140" max="5140" width="26.109375" style="2509" customWidth="1"/>
    <col min="5141" max="5376" width="8.88671875" style="2509"/>
    <col min="5377" max="5377" width="9.44140625" style="2509" customWidth="1"/>
    <col min="5378" max="5378" width="8.88671875" style="2509"/>
    <col min="5379" max="5381" width="12.88671875" style="2509" customWidth="1"/>
    <col min="5382" max="5382" width="47.44140625" style="2509" customWidth="1"/>
    <col min="5383" max="5383" width="13" style="2509" customWidth="1"/>
    <col min="5384" max="5385" width="8.88671875" style="2509"/>
    <col min="5386" max="5386" width="5.77734375" style="2509" customWidth="1"/>
    <col min="5387" max="5387" width="11.77734375" style="2509" customWidth="1"/>
    <col min="5388" max="5389" width="10.77734375" style="2509" customWidth="1"/>
    <col min="5390" max="5390" width="10" style="2509" customWidth="1"/>
    <col min="5391" max="5392" width="10.44140625" style="2509" bestFit="1" customWidth="1"/>
    <col min="5393" max="5393" width="10" style="2509" customWidth="1"/>
    <col min="5394" max="5394" width="10.109375" style="2509" customWidth="1"/>
    <col min="5395" max="5395" width="10" style="2509" customWidth="1"/>
    <col min="5396" max="5396" width="26.109375" style="2509" customWidth="1"/>
    <col min="5397" max="5632" width="8.88671875" style="2509"/>
    <col min="5633" max="5633" width="9.44140625" style="2509" customWidth="1"/>
    <col min="5634" max="5634" width="8.88671875" style="2509"/>
    <col min="5635" max="5637" width="12.88671875" style="2509" customWidth="1"/>
    <col min="5638" max="5638" width="47.44140625" style="2509" customWidth="1"/>
    <col min="5639" max="5639" width="13" style="2509" customWidth="1"/>
    <col min="5640" max="5641" width="8.88671875" style="2509"/>
    <col min="5642" max="5642" width="5.77734375" style="2509" customWidth="1"/>
    <col min="5643" max="5643" width="11.77734375" style="2509" customWidth="1"/>
    <col min="5644" max="5645" width="10.77734375" style="2509" customWidth="1"/>
    <col min="5646" max="5646" width="10" style="2509" customWidth="1"/>
    <col min="5647" max="5648" width="10.44140625" style="2509" bestFit="1" customWidth="1"/>
    <col min="5649" max="5649" width="10" style="2509" customWidth="1"/>
    <col min="5650" max="5650" width="10.109375" style="2509" customWidth="1"/>
    <col min="5651" max="5651" width="10" style="2509" customWidth="1"/>
    <col min="5652" max="5652" width="26.109375" style="2509" customWidth="1"/>
    <col min="5653" max="5888" width="8.88671875" style="2509"/>
    <col min="5889" max="5889" width="9.44140625" style="2509" customWidth="1"/>
    <col min="5890" max="5890" width="8.88671875" style="2509"/>
    <col min="5891" max="5893" width="12.88671875" style="2509" customWidth="1"/>
    <col min="5894" max="5894" width="47.44140625" style="2509" customWidth="1"/>
    <col min="5895" max="5895" width="13" style="2509" customWidth="1"/>
    <col min="5896" max="5897" width="8.88671875" style="2509"/>
    <col min="5898" max="5898" width="5.77734375" style="2509" customWidth="1"/>
    <col min="5899" max="5899" width="11.77734375" style="2509" customWidth="1"/>
    <col min="5900" max="5901" width="10.77734375" style="2509" customWidth="1"/>
    <col min="5902" max="5902" width="10" style="2509" customWidth="1"/>
    <col min="5903" max="5904" width="10.44140625" style="2509" bestFit="1" customWidth="1"/>
    <col min="5905" max="5905" width="10" style="2509" customWidth="1"/>
    <col min="5906" max="5906" width="10.109375" style="2509" customWidth="1"/>
    <col min="5907" max="5907" width="10" style="2509" customWidth="1"/>
    <col min="5908" max="5908" width="26.109375" style="2509" customWidth="1"/>
    <col min="5909" max="6144" width="8.88671875" style="2509"/>
    <col min="6145" max="6145" width="9.44140625" style="2509" customWidth="1"/>
    <col min="6146" max="6146" width="8.88671875" style="2509"/>
    <col min="6147" max="6149" width="12.88671875" style="2509" customWidth="1"/>
    <col min="6150" max="6150" width="47.44140625" style="2509" customWidth="1"/>
    <col min="6151" max="6151" width="13" style="2509" customWidth="1"/>
    <col min="6152" max="6153" width="8.88671875" style="2509"/>
    <col min="6154" max="6154" width="5.77734375" style="2509" customWidth="1"/>
    <col min="6155" max="6155" width="11.77734375" style="2509" customWidth="1"/>
    <col min="6156" max="6157" width="10.77734375" style="2509" customWidth="1"/>
    <col min="6158" max="6158" width="10" style="2509" customWidth="1"/>
    <col min="6159" max="6160" width="10.44140625" style="2509" bestFit="1" customWidth="1"/>
    <col min="6161" max="6161" width="10" style="2509" customWidth="1"/>
    <col min="6162" max="6162" width="10.109375" style="2509" customWidth="1"/>
    <col min="6163" max="6163" width="10" style="2509" customWidth="1"/>
    <col min="6164" max="6164" width="26.109375" style="2509" customWidth="1"/>
    <col min="6165" max="6400" width="8.88671875" style="2509"/>
    <col min="6401" max="6401" width="9.44140625" style="2509" customWidth="1"/>
    <col min="6402" max="6402" width="8.88671875" style="2509"/>
    <col min="6403" max="6405" width="12.88671875" style="2509" customWidth="1"/>
    <col min="6406" max="6406" width="47.44140625" style="2509" customWidth="1"/>
    <col min="6407" max="6407" width="13" style="2509" customWidth="1"/>
    <col min="6408" max="6409" width="8.88671875" style="2509"/>
    <col min="6410" max="6410" width="5.77734375" style="2509" customWidth="1"/>
    <col min="6411" max="6411" width="11.77734375" style="2509" customWidth="1"/>
    <col min="6412" max="6413" width="10.77734375" style="2509" customWidth="1"/>
    <col min="6414" max="6414" width="10" style="2509" customWidth="1"/>
    <col min="6415" max="6416" width="10.44140625" style="2509" bestFit="1" customWidth="1"/>
    <col min="6417" max="6417" width="10" style="2509" customWidth="1"/>
    <col min="6418" max="6418" width="10.109375" style="2509" customWidth="1"/>
    <col min="6419" max="6419" width="10" style="2509" customWidth="1"/>
    <col min="6420" max="6420" width="26.109375" style="2509" customWidth="1"/>
    <col min="6421" max="6656" width="8.88671875" style="2509"/>
    <col min="6657" max="6657" width="9.44140625" style="2509" customWidth="1"/>
    <col min="6658" max="6658" width="8.88671875" style="2509"/>
    <col min="6659" max="6661" width="12.88671875" style="2509" customWidth="1"/>
    <col min="6662" max="6662" width="47.44140625" style="2509" customWidth="1"/>
    <col min="6663" max="6663" width="13" style="2509" customWidth="1"/>
    <col min="6664" max="6665" width="8.88671875" style="2509"/>
    <col min="6666" max="6666" width="5.77734375" style="2509" customWidth="1"/>
    <col min="6667" max="6667" width="11.77734375" style="2509" customWidth="1"/>
    <col min="6668" max="6669" width="10.77734375" style="2509" customWidth="1"/>
    <col min="6670" max="6670" width="10" style="2509" customWidth="1"/>
    <col min="6671" max="6672" width="10.44140625" style="2509" bestFit="1" customWidth="1"/>
    <col min="6673" max="6673" width="10" style="2509" customWidth="1"/>
    <col min="6674" max="6674" width="10.109375" style="2509" customWidth="1"/>
    <col min="6675" max="6675" width="10" style="2509" customWidth="1"/>
    <col min="6676" max="6676" width="26.109375" style="2509" customWidth="1"/>
    <col min="6677" max="6912" width="8.88671875" style="2509"/>
    <col min="6913" max="6913" width="9.44140625" style="2509" customWidth="1"/>
    <col min="6914" max="6914" width="8.88671875" style="2509"/>
    <col min="6915" max="6917" width="12.88671875" style="2509" customWidth="1"/>
    <col min="6918" max="6918" width="47.44140625" style="2509" customWidth="1"/>
    <col min="6919" max="6919" width="13" style="2509" customWidth="1"/>
    <col min="6920" max="6921" width="8.88671875" style="2509"/>
    <col min="6922" max="6922" width="5.77734375" style="2509" customWidth="1"/>
    <col min="6923" max="6923" width="11.77734375" style="2509" customWidth="1"/>
    <col min="6924" max="6925" width="10.77734375" style="2509" customWidth="1"/>
    <col min="6926" max="6926" width="10" style="2509" customWidth="1"/>
    <col min="6927" max="6928" width="10.44140625" style="2509" bestFit="1" customWidth="1"/>
    <col min="6929" max="6929" width="10" style="2509" customWidth="1"/>
    <col min="6930" max="6930" width="10.109375" style="2509" customWidth="1"/>
    <col min="6931" max="6931" width="10" style="2509" customWidth="1"/>
    <col min="6932" max="6932" width="26.109375" style="2509" customWidth="1"/>
    <col min="6933" max="7168" width="8.88671875" style="2509"/>
    <col min="7169" max="7169" width="9.44140625" style="2509" customWidth="1"/>
    <col min="7170" max="7170" width="8.88671875" style="2509"/>
    <col min="7171" max="7173" width="12.88671875" style="2509" customWidth="1"/>
    <col min="7174" max="7174" width="47.44140625" style="2509" customWidth="1"/>
    <col min="7175" max="7175" width="13" style="2509" customWidth="1"/>
    <col min="7176" max="7177" width="8.88671875" style="2509"/>
    <col min="7178" max="7178" width="5.77734375" style="2509" customWidth="1"/>
    <col min="7179" max="7179" width="11.77734375" style="2509" customWidth="1"/>
    <col min="7180" max="7181" width="10.77734375" style="2509" customWidth="1"/>
    <col min="7182" max="7182" width="10" style="2509" customWidth="1"/>
    <col min="7183" max="7184" width="10.44140625" style="2509" bestFit="1" customWidth="1"/>
    <col min="7185" max="7185" width="10" style="2509" customWidth="1"/>
    <col min="7186" max="7186" width="10.109375" style="2509" customWidth="1"/>
    <col min="7187" max="7187" width="10" style="2509" customWidth="1"/>
    <col min="7188" max="7188" width="26.109375" style="2509" customWidth="1"/>
    <col min="7189" max="7424" width="8.88671875" style="2509"/>
    <col min="7425" max="7425" width="9.44140625" style="2509" customWidth="1"/>
    <col min="7426" max="7426" width="8.88671875" style="2509"/>
    <col min="7427" max="7429" width="12.88671875" style="2509" customWidth="1"/>
    <col min="7430" max="7430" width="47.44140625" style="2509" customWidth="1"/>
    <col min="7431" max="7431" width="13" style="2509" customWidth="1"/>
    <col min="7432" max="7433" width="8.88671875" style="2509"/>
    <col min="7434" max="7434" width="5.77734375" style="2509" customWidth="1"/>
    <col min="7435" max="7435" width="11.77734375" style="2509" customWidth="1"/>
    <col min="7436" max="7437" width="10.77734375" style="2509" customWidth="1"/>
    <col min="7438" max="7438" width="10" style="2509" customWidth="1"/>
    <col min="7439" max="7440" width="10.44140625" style="2509" bestFit="1" customWidth="1"/>
    <col min="7441" max="7441" width="10" style="2509" customWidth="1"/>
    <col min="7442" max="7442" width="10.109375" style="2509" customWidth="1"/>
    <col min="7443" max="7443" width="10" style="2509" customWidth="1"/>
    <col min="7444" max="7444" width="26.109375" style="2509" customWidth="1"/>
    <col min="7445" max="7680" width="8.88671875" style="2509"/>
    <col min="7681" max="7681" width="9.44140625" style="2509" customWidth="1"/>
    <col min="7682" max="7682" width="8.88671875" style="2509"/>
    <col min="7683" max="7685" width="12.88671875" style="2509" customWidth="1"/>
    <col min="7686" max="7686" width="47.44140625" style="2509" customWidth="1"/>
    <col min="7687" max="7687" width="13" style="2509" customWidth="1"/>
    <col min="7688" max="7689" width="8.88671875" style="2509"/>
    <col min="7690" max="7690" width="5.77734375" style="2509" customWidth="1"/>
    <col min="7691" max="7691" width="11.77734375" style="2509" customWidth="1"/>
    <col min="7692" max="7693" width="10.77734375" style="2509" customWidth="1"/>
    <col min="7694" max="7694" width="10" style="2509" customWidth="1"/>
    <col min="7695" max="7696" width="10.44140625" style="2509" bestFit="1" customWidth="1"/>
    <col min="7697" max="7697" width="10" style="2509" customWidth="1"/>
    <col min="7698" max="7698" width="10.109375" style="2509" customWidth="1"/>
    <col min="7699" max="7699" width="10" style="2509" customWidth="1"/>
    <col min="7700" max="7700" width="26.109375" style="2509" customWidth="1"/>
    <col min="7701" max="7936" width="8.88671875" style="2509"/>
    <col min="7937" max="7937" width="9.44140625" style="2509" customWidth="1"/>
    <col min="7938" max="7938" width="8.88671875" style="2509"/>
    <col min="7939" max="7941" width="12.88671875" style="2509" customWidth="1"/>
    <col min="7942" max="7942" width="47.44140625" style="2509" customWidth="1"/>
    <col min="7943" max="7943" width="13" style="2509" customWidth="1"/>
    <col min="7944" max="7945" width="8.88671875" style="2509"/>
    <col min="7946" max="7946" width="5.77734375" style="2509" customWidth="1"/>
    <col min="7947" max="7947" width="11.77734375" style="2509" customWidth="1"/>
    <col min="7948" max="7949" width="10.77734375" style="2509" customWidth="1"/>
    <col min="7950" max="7950" width="10" style="2509" customWidth="1"/>
    <col min="7951" max="7952" width="10.44140625" style="2509" bestFit="1" customWidth="1"/>
    <col min="7953" max="7953" width="10" style="2509" customWidth="1"/>
    <col min="7954" max="7954" width="10.109375" style="2509" customWidth="1"/>
    <col min="7955" max="7955" width="10" style="2509" customWidth="1"/>
    <col min="7956" max="7956" width="26.109375" style="2509" customWidth="1"/>
    <col min="7957" max="8192" width="8.88671875" style="2509"/>
    <col min="8193" max="8193" width="9.44140625" style="2509" customWidth="1"/>
    <col min="8194" max="8194" width="8.88671875" style="2509"/>
    <col min="8195" max="8197" width="12.88671875" style="2509" customWidth="1"/>
    <col min="8198" max="8198" width="47.44140625" style="2509" customWidth="1"/>
    <col min="8199" max="8199" width="13" style="2509" customWidth="1"/>
    <col min="8200" max="8201" width="8.88671875" style="2509"/>
    <col min="8202" max="8202" width="5.77734375" style="2509" customWidth="1"/>
    <col min="8203" max="8203" width="11.77734375" style="2509" customWidth="1"/>
    <col min="8204" max="8205" width="10.77734375" style="2509" customWidth="1"/>
    <col min="8206" max="8206" width="10" style="2509" customWidth="1"/>
    <col min="8207" max="8208" width="10.44140625" style="2509" bestFit="1" customWidth="1"/>
    <col min="8209" max="8209" width="10" style="2509" customWidth="1"/>
    <col min="8210" max="8210" width="10.109375" style="2509" customWidth="1"/>
    <col min="8211" max="8211" width="10" style="2509" customWidth="1"/>
    <col min="8212" max="8212" width="26.109375" style="2509" customWidth="1"/>
    <col min="8213" max="8448" width="8.88671875" style="2509"/>
    <col min="8449" max="8449" width="9.44140625" style="2509" customWidth="1"/>
    <col min="8450" max="8450" width="8.88671875" style="2509"/>
    <col min="8451" max="8453" width="12.88671875" style="2509" customWidth="1"/>
    <col min="8454" max="8454" width="47.44140625" style="2509" customWidth="1"/>
    <col min="8455" max="8455" width="13" style="2509" customWidth="1"/>
    <col min="8456" max="8457" width="8.88671875" style="2509"/>
    <col min="8458" max="8458" width="5.77734375" style="2509" customWidth="1"/>
    <col min="8459" max="8459" width="11.77734375" style="2509" customWidth="1"/>
    <col min="8460" max="8461" width="10.77734375" style="2509" customWidth="1"/>
    <col min="8462" max="8462" width="10" style="2509" customWidth="1"/>
    <col min="8463" max="8464" width="10.44140625" style="2509" bestFit="1" customWidth="1"/>
    <col min="8465" max="8465" width="10" style="2509" customWidth="1"/>
    <col min="8466" max="8466" width="10.109375" style="2509" customWidth="1"/>
    <col min="8467" max="8467" width="10" style="2509" customWidth="1"/>
    <col min="8468" max="8468" width="26.109375" style="2509" customWidth="1"/>
    <col min="8469" max="8704" width="8.88671875" style="2509"/>
    <col min="8705" max="8705" width="9.44140625" style="2509" customWidth="1"/>
    <col min="8706" max="8706" width="8.88671875" style="2509"/>
    <col min="8707" max="8709" width="12.88671875" style="2509" customWidth="1"/>
    <col min="8710" max="8710" width="47.44140625" style="2509" customWidth="1"/>
    <col min="8711" max="8711" width="13" style="2509" customWidth="1"/>
    <col min="8712" max="8713" width="8.88671875" style="2509"/>
    <col min="8714" max="8714" width="5.77734375" style="2509" customWidth="1"/>
    <col min="8715" max="8715" width="11.77734375" style="2509" customWidth="1"/>
    <col min="8716" max="8717" width="10.77734375" style="2509" customWidth="1"/>
    <col min="8718" max="8718" width="10" style="2509" customWidth="1"/>
    <col min="8719" max="8720" width="10.44140625" style="2509" bestFit="1" customWidth="1"/>
    <col min="8721" max="8721" width="10" style="2509" customWidth="1"/>
    <col min="8722" max="8722" width="10.109375" style="2509" customWidth="1"/>
    <col min="8723" max="8723" width="10" style="2509" customWidth="1"/>
    <col min="8724" max="8724" width="26.109375" style="2509" customWidth="1"/>
    <col min="8725" max="8960" width="8.88671875" style="2509"/>
    <col min="8961" max="8961" width="9.44140625" style="2509" customWidth="1"/>
    <col min="8962" max="8962" width="8.88671875" style="2509"/>
    <col min="8963" max="8965" width="12.88671875" style="2509" customWidth="1"/>
    <col min="8966" max="8966" width="47.44140625" style="2509" customWidth="1"/>
    <col min="8967" max="8967" width="13" style="2509" customWidth="1"/>
    <col min="8968" max="8969" width="8.88671875" style="2509"/>
    <col min="8970" max="8970" width="5.77734375" style="2509" customWidth="1"/>
    <col min="8971" max="8971" width="11.77734375" style="2509" customWidth="1"/>
    <col min="8972" max="8973" width="10.77734375" style="2509" customWidth="1"/>
    <col min="8974" max="8974" width="10" style="2509" customWidth="1"/>
    <col min="8975" max="8976" width="10.44140625" style="2509" bestFit="1" customWidth="1"/>
    <col min="8977" max="8977" width="10" style="2509" customWidth="1"/>
    <col min="8978" max="8978" width="10.109375" style="2509" customWidth="1"/>
    <col min="8979" max="8979" width="10" style="2509" customWidth="1"/>
    <col min="8980" max="8980" width="26.109375" style="2509" customWidth="1"/>
    <col min="8981" max="9216" width="8.88671875" style="2509"/>
    <col min="9217" max="9217" width="9.44140625" style="2509" customWidth="1"/>
    <col min="9218" max="9218" width="8.88671875" style="2509"/>
    <col min="9219" max="9221" width="12.88671875" style="2509" customWidth="1"/>
    <col min="9222" max="9222" width="47.44140625" style="2509" customWidth="1"/>
    <col min="9223" max="9223" width="13" style="2509" customWidth="1"/>
    <col min="9224" max="9225" width="8.88671875" style="2509"/>
    <col min="9226" max="9226" width="5.77734375" style="2509" customWidth="1"/>
    <col min="9227" max="9227" width="11.77734375" style="2509" customWidth="1"/>
    <col min="9228" max="9229" width="10.77734375" style="2509" customWidth="1"/>
    <col min="9230" max="9230" width="10" style="2509" customWidth="1"/>
    <col min="9231" max="9232" width="10.44140625" style="2509" bestFit="1" customWidth="1"/>
    <col min="9233" max="9233" width="10" style="2509" customWidth="1"/>
    <col min="9234" max="9234" width="10.109375" style="2509" customWidth="1"/>
    <col min="9235" max="9235" width="10" style="2509" customWidth="1"/>
    <col min="9236" max="9236" width="26.109375" style="2509" customWidth="1"/>
    <col min="9237" max="9472" width="8.88671875" style="2509"/>
    <col min="9473" max="9473" width="9.44140625" style="2509" customWidth="1"/>
    <col min="9474" max="9474" width="8.88671875" style="2509"/>
    <col min="9475" max="9477" width="12.88671875" style="2509" customWidth="1"/>
    <col min="9478" max="9478" width="47.44140625" style="2509" customWidth="1"/>
    <col min="9479" max="9479" width="13" style="2509" customWidth="1"/>
    <col min="9480" max="9481" width="8.88671875" style="2509"/>
    <col min="9482" max="9482" width="5.77734375" style="2509" customWidth="1"/>
    <col min="9483" max="9483" width="11.77734375" style="2509" customWidth="1"/>
    <col min="9484" max="9485" width="10.77734375" style="2509" customWidth="1"/>
    <col min="9486" max="9486" width="10" style="2509" customWidth="1"/>
    <col min="9487" max="9488" width="10.44140625" style="2509" bestFit="1" customWidth="1"/>
    <col min="9489" max="9489" width="10" style="2509" customWidth="1"/>
    <col min="9490" max="9490" width="10.109375" style="2509" customWidth="1"/>
    <col min="9491" max="9491" width="10" style="2509" customWidth="1"/>
    <col min="9492" max="9492" width="26.109375" style="2509" customWidth="1"/>
    <col min="9493" max="9728" width="8.88671875" style="2509"/>
    <col min="9729" max="9729" width="9.44140625" style="2509" customWidth="1"/>
    <col min="9730" max="9730" width="8.88671875" style="2509"/>
    <col min="9731" max="9733" width="12.88671875" style="2509" customWidth="1"/>
    <col min="9734" max="9734" width="47.44140625" style="2509" customWidth="1"/>
    <col min="9735" max="9735" width="13" style="2509" customWidth="1"/>
    <col min="9736" max="9737" width="8.88671875" style="2509"/>
    <col min="9738" max="9738" width="5.77734375" style="2509" customWidth="1"/>
    <col min="9739" max="9739" width="11.77734375" style="2509" customWidth="1"/>
    <col min="9740" max="9741" width="10.77734375" style="2509" customWidth="1"/>
    <col min="9742" max="9742" width="10" style="2509" customWidth="1"/>
    <col min="9743" max="9744" width="10.44140625" style="2509" bestFit="1" customWidth="1"/>
    <col min="9745" max="9745" width="10" style="2509" customWidth="1"/>
    <col min="9746" max="9746" width="10.109375" style="2509" customWidth="1"/>
    <col min="9747" max="9747" width="10" style="2509" customWidth="1"/>
    <col min="9748" max="9748" width="26.109375" style="2509" customWidth="1"/>
    <col min="9749" max="9984" width="8.88671875" style="2509"/>
    <col min="9985" max="9985" width="9.44140625" style="2509" customWidth="1"/>
    <col min="9986" max="9986" width="8.88671875" style="2509"/>
    <col min="9987" max="9989" width="12.88671875" style="2509" customWidth="1"/>
    <col min="9990" max="9990" width="47.44140625" style="2509" customWidth="1"/>
    <col min="9991" max="9991" width="13" style="2509" customWidth="1"/>
    <col min="9992" max="9993" width="8.88671875" style="2509"/>
    <col min="9994" max="9994" width="5.77734375" style="2509" customWidth="1"/>
    <col min="9995" max="9995" width="11.77734375" style="2509" customWidth="1"/>
    <col min="9996" max="9997" width="10.77734375" style="2509" customWidth="1"/>
    <col min="9998" max="9998" width="10" style="2509" customWidth="1"/>
    <col min="9999" max="10000" width="10.44140625" style="2509" bestFit="1" customWidth="1"/>
    <col min="10001" max="10001" width="10" style="2509" customWidth="1"/>
    <col min="10002" max="10002" width="10.109375" style="2509" customWidth="1"/>
    <col min="10003" max="10003" width="10" style="2509" customWidth="1"/>
    <col min="10004" max="10004" width="26.109375" style="2509" customWidth="1"/>
    <col min="10005" max="10240" width="8.88671875" style="2509"/>
    <col min="10241" max="10241" width="9.44140625" style="2509" customWidth="1"/>
    <col min="10242" max="10242" width="8.88671875" style="2509"/>
    <col min="10243" max="10245" width="12.88671875" style="2509" customWidth="1"/>
    <col min="10246" max="10246" width="47.44140625" style="2509" customWidth="1"/>
    <col min="10247" max="10247" width="13" style="2509" customWidth="1"/>
    <col min="10248" max="10249" width="8.88671875" style="2509"/>
    <col min="10250" max="10250" width="5.77734375" style="2509" customWidth="1"/>
    <col min="10251" max="10251" width="11.77734375" style="2509" customWidth="1"/>
    <col min="10252" max="10253" width="10.77734375" style="2509" customWidth="1"/>
    <col min="10254" max="10254" width="10" style="2509" customWidth="1"/>
    <col min="10255" max="10256" width="10.44140625" style="2509" bestFit="1" customWidth="1"/>
    <col min="10257" max="10257" width="10" style="2509" customWidth="1"/>
    <col min="10258" max="10258" width="10.109375" style="2509" customWidth="1"/>
    <col min="10259" max="10259" width="10" style="2509" customWidth="1"/>
    <col min="10260" max="10260" width="26.109375" style="2509" customWidth="1"/>
    <col min="10261" max="10496" width="8.88671875" style="2509"/>
    <col min="10497" max="10497" width="9.44140625" style="2509" customWidth="1"/>
    <col min="10498" max="10498" width="8.88671875" style="2509"/>
    <col min="10499" max="10501" width="12.88671875" style="2509" customWidth="1"/>
    <col min="10502" max="10502" width="47.44140625" style="2509" customWidth="1"/>
    <col min="10503" max="10503" width="13" style="2509" customWidth="1"/>
    <col min="10504" max="10505" width="8.88671875" style="2509"/>
    <col min="10506" max="10506" width="5.77734375" style="2509" customWidth="1"/>
    <col min="10507" max="10507" width="11.77734375" style="2509" customWidth="1"/>
    <col min="10508" max="10509" width="10.77734375" style="2509" customWidth="1"/>
    <col min="10510" max="10510" width="10" style="2509" customWidth="1"/>
    <col min="10511" max="10512" width="10.44140625" style="2509" bestFit="1" customWidth="1"/>
    <col min="10513" max="10513" width="10" style="2509" customWidth="1"/>
    <col min="10514" max="10514" width="10.109375" style="2509" customWidth="1"/>
    <col min="10515" max="10515" width="10" style="2509" customWidth="1"/>
    <col min="10516" max="10516" width="26.109375" style="2509" customWidth="1"/>
    <col min="10517" max="10752" width="8.88671875" style="2509"/>
    <col min="10753" max="10753" width="9.44140625" style="2509" customWidth="1"/>
    <col min="10754" max="10754" width="8.88671875" style="2509"/>
    <col min="10755" max="10757" width="12.88671875" style="2509" customWidth="1"/>
    <col min="10758" max="10758" width="47.44140625" style="2509" customWidth="1"/>
    <col min="10759" max="10759" width="13" style="2509" customWidth="1"/>
    <col min="10760" max="10761" width="8.88671875" style="2509"/>
    <col min="10762" max="10762" width="5.77734375" style="2509" customWidth="1"/>
    <col min="10763" max="10763" width="11.77734375" style="2509" customWidth="1"/>
    <col min="10764" max="10765" width="10.77734375" style="2509" customWidth="1"/>
    <col min="10766" max="10766" width="10" style="2509" customWidth="1"/>
    <col min="10767" max="10768" width="10.44140625" style="2509" bestFit="1" customWidth="1"/>
    <col min="10769" max="10769" width="10" style="2509" customWidth="1"/>
    <col min="10770" max="10770" width="10.109375" style="2509" customWidth="1"/>
    <col min="10771" max="10771" width="10" style="2509" customWidth="1"/>
    <col min="10772" max="10772" width="26.109375" style="2509" customWidth="1"/>
    <col min="10773" max="11008" width="8.88671875" style="2509"/>
    <col min="11009" max="11009" width="9.44140625" style="2509" customWidth="1"/>
    <col min="11010" max="11010" width="8.88671875" style="2509"/>
    <col min="11011" max="11013" width="12.88671875" style="2509" customWidth="1"/>
    <col min="11014" max="11014" width="47.44140625" style="2509" customWidth="1"/>
    <col min="11015" max="11015" width="13" style="2509" customWidth="1"/>
    <col min="11016" max="11017" width="8.88671875" style="2509"/>
    <col min="11018" max="11018" width="5.77734375" style="2509" customWidth="1"/>
    <col min="11019" max="11019" width="11.77734375" style="2509" customWidth="1"/>
    <col min="11020" max="11021" width="10.77734375" style="2509" customWidth="1"/>
    <col min="11022" max="11022" width="10" style="2509" customWidth="1"/>
    <col min="11023" max="11024" width="10.44140625" style="2509" bestFit="1" customWidth="1"/>
    <col min="11025" max="11025" width="10" style="2509" customWidth="1"/>
    <col min="11026" max="11026" width="10.109375" style="2509" customWidth="1"/>
    <col min="11027" max="11027" width="10" style="2509" customWidth="1"/>
    <col min="11028" max="11028" width="26.109375" style="2509" customWidth="1"/>
    <col min="11029" max="11264" width="8.88671875" style="2509"/>
    <col min="11265" max="11265" width="9.44140625" style="2509" customWidth="1"/>
    <col min="11266" max="11266" width="8.88671875" style="2509"/>
    <col min="11267" max="11269" width="12.88671875" style="2509" customWidth="1"/>
    <col min="11270" max="11270" width="47.44140625" style="2509" customWidth="1"/>
    <col min="11271" max="11271" width="13" style="2509" customWidth="1"/>
    <col min="11272" max="11273" width="8.88671875" style="2509"/>
    <col min="11274" max="11274" width="5.77734375" style="2509" customWidth="1"/>
    <col min="11275" max="11275" width="11.77734375" style="2509" customWidth="1"/>
    <col min="11276" max="11277" width="10.77734375" style="2509" customWidth="1"/>
    <col min="11278" max="11278" width="10" style="2509" customWidth="1"/>
    <col min="11279" max="11280" width="10.44140625" style="2509" bestFit="1" customWidth="1"/>
    <col min="11281" max="11281" width="10" style="2509" customWidth="1"/>
    <col min="11282" max="11282" width="10.109375" style="2509" customWidth="1"/>
    <col min="11283" max="11283" width="10" style="2509" customWidth="1"/>
    <col min="11284" max="11284" width="26.109375" style="2509" customWidth="1"/>
    <col min="11285" max="11520" width="8.88671875" style="2509"/>
    <col min="11521" max="11521" width="9.44140625" style="2509" customWidth="1"/>
    <col min="11522" max="11522" width="8.88671875" style="2509"/>
    <col min="11523" max="11525" width="12.88671875" style="2509" customWidth="1"/>
    <col min="11526" max="11526" width="47.44140625" style="2509" customWidth="1"/>
    <col min="11527" max="11527" width="13" style="2509" customWidth="1"/>
    <col min="11528" max="11529" width="8.88671875" style="2509"/>
    <col min="11530" max="11530" width="5.77734375" style="2509" customWidth="1"/>
    <col min="11531" max="11531" width="11.77734375" style="2509" customWidth="1"/>
    <col min="11532" max="11533" width="10.77734375" style="2509" customWidth="1"/>
    <col min="11534" max="11534" width="10" style="2509" customWidth="1"/>
    <col min="11535" max="11536" width="10.44140625" style="2509" bestFit="1" customWidth="1"/>
    <col min="11537" max="11537" width="10" style="2509" customWidth="1"/>
    <col min="11538" max="11538" width="10.109375" style="2509" customWidth="1"/>
    <col min="11539" max="11539" width="10" style="2509" customWidth="1"/>
    <col min="11540" max="11540" width="26.109375" style="2509" customWidth="1"/>
    <col min="11541" max="11776" width="8.88671875" style="2509"/>
    <col min="11777" max="11777" width="9.44140625" style="2509" customWidth="1"/>
    <col min="11778" max="11778" width="8.88671875" style="2509"/>
    <col min="11779" max="11781" width="12.88671875" style="2509" customWidth="1"/>
    <col min="11782" max="11782" width="47.44140625" style="2509" customWidth="1"/>
    <col min="11783" max="11783" width="13" style="2509" customWidth="1"/>
    <col min="11784" max="11785" width="8.88671875" style="2509"/>
    <col min="11786" max="11786" width="5.77734375" style="2509" customWidth="1"/>
    <col min="11787" max="11787" width="11.77734375" style="2509" customWidth="1"/>
    <col min="11788" max="11789" width="10.77734375" style="2509" customWidth="1"/>
    <col min="11790" max="11790" width="10" style="2509" customWidth="1"/>
    <col min="11791" max="11792" width="10.44140625" style="2509" bestFit="1" customWidth="1"/>
    <col min="11793" max="11793" width="10" style="2509" customWidth="1"/>
    <col min="11794" max="11794" width="10.109375" style="2509" customWidth="1"/>
    <col min="11795" max="11795" width="10" style="2509" customWidth="1"/>
    <col min="11796" max="11796" width="26.109375" style="2509" customWidth="1"/>
    <col min="11797" max="12032" width="8.88671875" style="2509"/>
    <col min="12033" max="12033" width="9.44140625" style="2509" customWidth="1"/>
    <col min="12034" max="12034" width="8.88671875" style="2509"/>
    <col min="12035" max="12037" width="12.88671875" style="2509" customWidth="1"/>
    <col min="12038" max="12038" width="47.44140625" style="2509" customWidth="1"/>
    <col min="12039" max="12039" width="13" style="2509" customWidth="1"/>
    <col min="12040" max="12041" width="8.88671875" style="2509"/>
    <col min="12042" max="12042" width="5.77734375" style="2509" customWidth="1"/>
    <col min="12043" max="12043" width="11.77734375" style="2509" customWidth="1"/>
    <col min="12044" max="12045" width="10.77734375" style="2509" customWidth="1"/>
    <col min="12046" max="12046" width="10" style="2509" customWidth="1"/>
    <col min="12047" max="12048" width="10.44140625" style="2509" bestFit="1" customWidth="1"/>
    <col min="12049" max="12049" width="10" style="2509" customWidth="1"/>
    <col min="12050" max="12050" width="10.109375" style="2509" customWidth="1"/>
    <col min="12051" max="12051" width="10" style="2509" customWidth="1"/>
    <col min="12052" max="12052" width="26.109375" style="2509" customWidth="1"/>
    <col min="12053" max="12288" width="8.88671875" style="2509"/>
    <col min="12289" max="12289" width="9.44140625" style="2509" customWidth="1"/>
    <col min="12290" max="12290" width="8.88671875" style="2509"/>
    <col min="12291" max="12293" width="12.88671875" style="2509" customWidth="1"/>
    <col min="12294" max="12294" width="47.44140625" style="2509" customWidth="1"/>
    <col min="12295" max="12295" width="13" style="2509" customWidth="1"/>
    <col min="12296" max="12297" width="8.88671875" style="2509"/>
    <col min="12298" max="12298" width="5.77734375" style="2509" customWidth="1"/>
    <col min="12299" max="12299" width="11.77734375" style="2509" customWidth="1"/>
    <col min="12300" max="12301" width="10.77734375" style="2509" customWidth="1"/>
    <col min="12302" max="12302" width="10" style="2509" customWidth="1"/>
    <col min="12303" max="12304" width="10.44140625" style="2509" bestFit="1" customWidth="1"/>
    <col min="12305" max="12305" width="10" style="2509" customWidth="1"/>
    <col min="12306" max="12306" width="10.109375" style="2509" customWidth="1"/>
    <col min="12307" max="12307" width="10" style="2509" customWidth="1"/>
    <col min="12308" max="12308" width="26.109375" style="2509" customWidth="1"/>
    <col min="12309" max="12544" width="8.88671875" style="2509"/>
    <col min="12545" max="12545" width="9.44140625" style="2509" customWidth="1"/>
    <col min="12546" max="12546" width="8.88671875" style="2509"/>
    <col min="12547" max="12549" width="12.88671875" style="2509" customWidth="1"/>
    <col min="12550" max="12550" width="47.44140625" style="2509" customWidth="1"/>
    <col min="12551" max="12551" width="13" style="2509" customWidth="1"/>
    <col min="12552" max="12553" width="8.88671875" style="2509"/>
    <col min="12554" max="12554" width="5.77734375" style="2509" customWidth="1"/>
    <col min="12555" max="12555" width="11.77734375" style="2509" customWidth="1"/>
    <col min="12556" max="12557" width="10.77734375" style="2509" customWidth="1"/>
    <col min="12558" max="12558" width="10" style="2509" customWidth="1"/>
    <col min="12559" max="12560" width="10.44140625" style="2509" bestFit="1" customWidth="1"/>
    <col min="12561" max="12561" width="10" style="2509" customWidth="1"/>
    <col min="12562" max="12562" width="10.109375" style="2509" customWidth="1"/>
    <col min="12563" max="12563" width="10" style="2509" customWidth="1"/>
    <col min="12564" max="12564" width="26.109375" style="2509" customWidth="1"/>
    <col min="12565" max="12800" width="8.88671875" style="2509"/>
    <col min="12801" max="12801" width="9.44140625" style="2509" customWidth="1"/>
    <col min="12802" max="12802" width="8.88671875" style="2509"/>
    <col min="12803" max="12805" width="12.88671875" style="2509" customWidth="1"/>
    <col min="12806" max="12806" width="47.44140625" style="2509" customWidth="1"/>
    <col min="12807" max="12807" width="13" style="2509" customWidth="1"/>
    <col min="12808" max="12809" width="8.88671875" style="2509"/>
    <col min="12810" max="12810" width="5.77734375" style="2509" customWidth="1"/>
    <col min="12811" max="12811" width="11.77734375" style="2509" customWidth="1"/>
    <col min="12812" max="12813" width="10.77734375" style="2509" customWidth="1"/>
    <col min="12814" max="12814" width="10" style="2509" customWidth="1"/>
    <col min="12815" max="12816" width="10.44140625" style="2509" bestFit="1" customWidth="1"/>
    <col min="12817" max="12817" width="10" style="2509" customWidth="1"/>
    <col min="12818" max="12818" width="10.109375" style="2509" customWidth="1"/>
    <col min="12819" max="12819" width="10" style="2509" customWidth="1"/>
    <col min="12820" max="12820" width="26.109375" style="2509" customWidth="1"/>
    <col min="12821" max="13056" width="8.88671875" style="2509"/>
    <col min="13057" max="13057" width="9.44140625" style="2509" customWidth="1"/>
    <col min="13058" max="13058" width="8.88671875" style="2509"/>
    <col min="13059" max="13061" width="12.88671875" style="2509" customWidth="1"/>
    <col min="13062" max="13062" width="47.44140625" style="2509" customWidth="1"/>
    <col min="13063" max="13063" width="13" style="2509" customWidth="1"/>
    <col min="13064" max="13065" width="8.88671875" style="2509"/>
    <col min="13066" max="13066" width="5.77734375" style="2509" customWidth="1"/>
    <col min="13067" max="13067" width="11.77734375" style="2509" customWidth="1"/>
    <col min="13068" max="13069" width="10.77734375" style="2509" customWidth="1"/>
    <col min="13070" max="13070" width="10" style="2509" customWidth="1"/>
    <col min="13071" max="13072" width="10.44140625" style="2509" bestFit="1" customWidth="1"/>
    <col min="13073" max="13073" width="10" style="2509" customWidth="1"/>
    <col min="13074" max="13074" width="10.109375" style="2509" customWidth="1"/>
    <col min="13075" max="13075" width="10" style="2509" customWidth="1"/>
    <col min="13076" max="13076" width="26.109375" style="2509" customWidth="1"/>
    <col min="13077" max="13312" width="8.88671875" style="2509"/>
    <col min="13313" max="13313" width="9.44140625" style="2509" customWidth="1"/>
    <col min="13314" max="13314" width="8.88671875" style="2509"/>
    <col min="13315" max="13317" width="12.88671875" style="2509" customWidth="1"/>
    <col min="13318" max="13318" width="47.44140625" style="2509" customWidth="1"/>
    <col min="13319" max="13319" width="13" style="2509" customWidth="1"/>
    <col min="13320" max="13321" width="8.88671875" style="2509"/>
    <col min="13322" max="13322" width="5.77734375" style="2509" customWidth="1"/>
    <col min="13323" max="13323" width="11.77734375" style="2509" customWidth="1"/>
    <col min="13324" max="13325" width="10.77734375" style="2509" customWidth="1"/>
    <col min="13326" max="13326" width="10" style="2509" customWidth="1"/>
    <col min="13327" max="13328" width="10.44140625" style="2509" bestFit="1" customWidth="1"/>
    <col min="13329" max="13329" width="10" style="2509" customWidth="1"/>
    <col min="13330" max="13330" width="10.109375" style="2509" customWidth="1"/>
    <col min="13331" max="13331" width="10" style="2509" customWidth="1"/>
    <col min="13332" max="13332" width="26.109375" style="2509" customWidth="1"/>
    <col min="13333" max="13568" width="8.88671875" style="2509"/>
    <col min="13569" max="13569" width="9.44140625" style="2509" customWidth="1"/>
    <col min="13570" max="13570" width="8.88671875" style="2509"/>
    <col min="13571" max="13573" width="12.88671875" style="2509" customWidth="1"/>
    <col min="13574" max="13574" width="47.44140625" style="2509" customWidth="1"/>
    <col min="13575" max="13575" width="13" style="2509" customWidth="1"/>
    <col min="13576" max="13577" width="8.88671875" style="2509"/>
    <col min="13578" max="13578" width="5.77734375" style="2509" customWidth="1"/>
    <col min="13579" max="13579" width="11.77734375" style="2509" customWidth="1"/>
    <col min="13580" max="13581" width="10.77734375" style="2509" customWidth="1"/>
    <col min="13582" max="13582" width="10" style="2509" customWidth="1"/>
    <col min="13583" max="13584" width="10.44140625" style="2509" bestFit="1" customWidth="1"/>
    <col min="13585" max="13585" width="10" style="2509" customWidth="1"/>
    <col min="13586" max="13586" width="10.109375" style="2509" customWidth="1"/>
    <col min="13587" max="13587" width="10" style="2509" customWidth="1"/>
    <col min="13588" max="13588" width="26.109375" style="2509" customWidth="1"/>
    <col min="13589" max="13824" width="8.88671875" style="2509"/>
    <col min="13825" max="13825" width="9.44140625" style="2509" customWidth="1"/>
    <col min="13826" max="13826" width="8.88671875" style="2509"/>
    <col min="13827" max="13829" width="12.88671875" style="2509" customWidth="1"/>
    <col min="13830" max="13830" width="47.44140625" style="2509" customWidth="1"/>
    <col min="13831" max="13831" width="13" style="2509" customWidth="1"/>
    <col min="13832" max="13833" width="8.88671875" style="2509"/>
    <col min="13834" max="13834" width="5.77734375" style="2509" customWidth="1"/>
    <col min="13835" max="13835" width="11.77734375" style="2509" customWidth="1"/>
    <col min="13836" max="13837" width="10.77734375" style="2509" customWidth="1"/>
    <col min="13838" max="13838" width="10" style="2509" customWidth="1"/>
    <col min="13839" max="13840" width="10.44140625" style="2509" bestFit="1" customWidth="1"/>
    <col min="13841" max="13841" width="10" style="2509" customWidth="1"/>
    <col min="13842" max="13842" width="10.109375" style="2509" customWidth="1"/>
    <col min="13843" max="13843" width="10" style="2509" customWidth="1"/>
    <col min="13844" max="13844" width="26.109375" style="2509" customWidth="1"/>
    <col min="13845" max="14080" width="8.88671875" style="2509"/>
    <col min="14081" max="14081" width="9.44140625" style="2509" customWidth="1"/>
    <col min="14082" max="14082" width="8.88671875" style="2509"/>
    <col min="14083" max="14085" width="12.88671875" style="2509" customWidth="1"/>
    <col min="14086" max="14086" width="47.44140625" style="2509" customWidth="1"/>
    <col min="14087" max="14087" width="13" style="2509" customWidth="1"/>
    <col min="14088" max="14089" width="8.88671875" style="2509"/>
    <col min="14090" max="14090" width="5.77734375" style="2509" customWidth="1"/>
    <col min="14091" max="14091" width="11.77734375" style="2509" customWidth="1"/>
    <col min="14092" max="14093" width="10.77734375" style="2509" customWidth="1"/>
    <col min="14094" max="14094" width="10" style="2509" customWidth="1"/>
    <col min="14095" max="14096" width="10.44140625" style="2509" bestFit="1" customWidth="1"/>
    <col min="14097" max="14097" width="10" style="2509" customWidth="1"/>
    <col min="14098" max="14098" width="10.109375" style="2509" customWidth="1"/>
    <col min="14099" max="14099" width="10" style="2509" customWidth="1"/>
    <col min="14100" max="14100" width="26.109375" style="2509" customWidth="1"/>
    <col min="14101" max="14336" width="8.88671875" style="2509"/>
    <col min="14337" max="14337" width="9.44140625" style="2509" customWidth="1"/>
    <col min="14338" max="14338" width="8.88671875" style="2509"/>
    <col min="14339" max="14341" width="12.88671875" style="2509" customWidth="1"/>
    <col min="14342" max="14342" width="47.44140625" style="2509" customWidth="1"/>
    <col min="14343" max="14343" width="13" style="2509" customWidth="1"/>
    <col min="14344" max="14345" width="8.88671875" style="2509"/>
    <col min="14346" max="14346" width="5.77734375" style="2509" customWidth="1"/>
    <col min="14347" max="14347" width="11.77734375" style="2509" customWidth="1"/>
    <col min="14348" max="14349" width="10.77734375" style="2509" customWidth="1"/>
    <col min="14350" max="14350" width="10" style="2509" customWidth="1"/>
    <col min="14351" max="14352" width="10.44140625" style="2509" bestFit="1" customWidth="1"/>
    <col min="14353" max="14353" width="10" style="2509" customWidth="1"/>
    <col min="14354" max="14354" width="10.109375" style="2509" customWidth="1"/>
    <col min="14355" max="14355" width="10" style="2509" customWidth="1"/>
    <col min="14356" max="14356" width="26.109375" style="2509" customWidth="1"/>
    <col min="14357" max="14592" width="8.88671875" style="2509"/>
    <col min="14593" max="14593" width="9.44140625" style="2509" customWidth="1"/>
    <col min="14594" max="14594" width="8.88671875" style="2509"/>
    <col min="14595" max="14597" width="12.88671875" style="2509" customWidth="1"/>
    <col min="14598" max="14598" width="47.44140625" style="2509" customWidth="1"/>
    <col min="14599" max="14599" width="13" style="2509" customWidth="1"/>
    <col min="14600" max="14601" width="8.88671875" style="2509"/>
    <col min="14602" max="14602" width="5.77734375" style="2509" customWidth="1"/>
    <col min="14603" max="14603" width="11.77734375" style="2509" customWidth="1"/>
    <col min="14604" max="14605" width="10.77734375" style="2509" customWidth="1"/>
    <col min="14606" max="14606" width="10" style="2509" customWidth="1"/>
    <col min="14607" max="14608" width="10.44140625" style="2509" bestFit="1" customWidth="1"/>
    <col min="14609" max="14609" width="10" style="2509" customWidth="1"/>
    <col min="14610" max="14610" width="10.109375" style="2509" customWidth="1"/>
    <col min="14611" max="14611" width="10" style="2509" customWidth="1"/>
    <col min="14612" max="14612" width="26.109375" style="2509" customWidth="1"/>
    <col min="14613" max="14848" width="8.88671875" style="2509"/>
    <col min="14849" max="14849" width="9.44140625" style="2509" customWidth="1"/>
    <col min="14850" max="14850" width="8.88671875" style="2509"/>
    <col min="14851" max="14853" width="12.88671875" style="2509" customWidth="1"/>
    <col min="14854" max="14854" width="47.44140625" style="2509" customWidth="1"/>
    <col min="14855" max="14855" width="13" style="2509" customWidth="1"/>
    <col min="14856" max="14857" width="8.88671875" style="2509"/>
    <col min="14858" max="14858" width="5.77734375" style="2509" customWidth="1"/>
    <col min="14859" max="14859" width="11.77734375" style="2509" customWidth="1"/>
    <col min="14860" max="14861" width="10.77734375" style="2509" customWidth="1"/>
    <col min="14862" max="14862" width="10" style="2509" customWidth="1"/>
    <col min="14863" max="14864" width="10.44140625" style="2509" bestFit="1" customWidth="1"/>
    <col min="14865" max="14865" width="10" style="2509" customWidth="1"/>
    <col min="14866" max="14866" width="10.109375" style="2509" customWidth="1"/>
    <col min="14867" max="14867" width="10" style="2509" customWidth="1"/>
    <col min="14868" max="14868" width="26.109375" style="2509" customWidth="1"/>
    <col min="14869" max="15104" width="8.88671875" style="2509"/>
    <col min="15105" max="15105" width="9.44140625" style="2509" customWidth="1"/>
    <col min="15106" max="15106" width="8.88671875" style="2509"/>
    <col min="15107" max="15109" width="12.88671875" style="2509" customWidth="1"/>
    <col min="15110" max="15110" width="47.44140625" style="2509" customWidth="1"/>
    <col min="15111" max="15111" width="13" style="2509" customWidth="1"/>
    <col min="15112" max="15113" width="8.88671875" style="2509"/>
    <col min="15114" max="15114" width="5.77734375" style="2509" customWidth="1"/>
    <col min="15115" max="15115" width="11.77734375" style="2509" customWidth="1"/>
    <col min="15116" max="15117" width="10.77734375" style="2509" customWidth="1"/>
    <col min="15118" max="15118" width="10" style="2509" customWidth="1"/>
    <col min="15119" max="15120" width="10.44140625" style="2509" bestFit="1" customWidth="1"/>
    <col min="15121" max="15121" width="10" style="2509" customWidth="1"/>
    <col min="15122" max="15122" width="10.109375" style="2509" customWidth="1"/>
    <col min="15123" max="15123" width="10" style="2509" customWidth="1"/>
    <col min="15124" max="15124" width="26.109375" style="2509" customWidth="1"/>
    <col min="15125" max="15360" width="8.88671875" style="2509"/>
    <col min="15361" max="15361" width="9.44140625" style="2509" customWidth="1"/>
    <col min="15362" max="15362" width="8.88671875" style="2509"/>
    <col min="15363" max="15365" width="12.88671875" style="2509" customWidth="1"/>
    <col min="15366" max="15366" width="47.44140625" style="2509" customWidth="1"/>
    <col min="15367" max="15367" width="13" style="2509" customWidth="1"/>
    <col min="15368" max="15369" width="8.88671875" style="2509"/>
    <col min="15370" max="15370" width="5.77734375" style="2509" customWidth="1"/>
    <col min="15371" max="15371" width="11.77734375" style="2509" customWidth="1"/>
    <col min="15372" max="15373" width="10.77734375" style="2509" customWidth="1"/>
    <col min="15374" max="15374" width="10" style="2509" customWidth="1"/>
    <col min="15375" max="15376" width="10.44140625" style="2509" bestFit="1" customWidth="1"/>
    <col min="15377" max="15377" width="10" style="2509" customWidth="1"/>
    <col min="15378" max="15378" width="10.109375" style="2509" customWidth="1"/>
    <col min="15379" max="15379" width="10" style="2509" customWidth="1"/>
    <col min="15380" max="15380" width="26.109375" style="2509" customWidth="1"/>
    <col min="15381" max="15616" width="8.88671875" style="2509"/>
    <col min="15617" max="15617" width="9.44140625" style="2509" customWidth="1"/>
    <col min="15618" max="15618" width="8.88671875" style="2509"/>
    <col min="15619" max="15621" width="12.88671875" style="2509" customWidth="1"/>
    <col min="15622" max="15622" width="47.44140625" style="2509" customWidth="1"/>
    <col min="15623" max="15623" width="13" style="2509" customWidth="1"/>
    <col min="15624" max="15625" width="8.88671875" style="2509"/>
    <col min="15626" max="15626" width="5.77734375" style="2509" customWidth="1"/>
    <col min="15627" max="15627" width="11.77734375" style="2509" customWidth="1"/>
    <col min="15628" max="15629" width="10.77734375" style="2509" customWidth="1"/>
    <col min="15630" max="15630" width="10" style="2509" customWidth="1"/>
    <col min="15631" max="15632" width="10.44140625" style="2509" bestFit="1" customWidth="1"/>
    <col min="15633" max="15633" width="10" style="2509" customWidth="1"/>
    <col min="15634" max="15634" width="10.109375" style="2509" customWidth="1"/>
    <col min="15635" max="15635" width="10" style="2509" customWidth="1"/>
    <col min="15636" max="15636" width="26.109375" style="2509" customWidth="1"/>
    <col min="15637" max="15872" width="8.88671875" style="2509"/>
    <col min="15873" max="15873" width="9.44140625" style="2509" customWidth="1"/>
    <col min="15874" max="15874" width="8.88671875" style="2509"/>
    <col min="15875" max="15877" width="12.88671875" style="2509" customWidth="1"/>
    <col min="15878" max="15878" width="47.44140625" style="2509" customWidth="1"/>
    <col min="15879" max="15879" width="13" style="2509" customWidth="1"/>
    <col min="15880" max="15881" width="8.88671875" style="2509"/>
    <col min="15882" max="15882" width="5.77734375" style="2509" customWidth="1"/>
    <col min="15883" max="15883" width="11.77734375" style="2509" customWidth="1"/>
    <col min="15884" max="15885" width="10.77734375" style="2509" customWidth="1"/>
    <col min="15886" max="15886" width="10" style="2509" customWidth="1"/>
    <col min="15887" max="15888" width="10.44140625" style="2509" bestFit="1" customWidth="1"/>
    <col min="15889" max="15889" width="10" style="2509" customWidth="1"/>
    <col min="15890" max="15890" width="10.109375" style="2509" customWidth="1"/>
    <col min="15891" max="15891" width="10" style="2509" customWidth="1"/>
    <col min="15892" max="15892" width="26.109375" style="2509" customWidth="1"/>
    <col min="15893" max="16128" width="8.88671875" style="2509"/>
    <col min="16129" max="16129" width="9.44140625" style="2509" customWidth="1"/>
    <col min="16130" max="16130" width="8.88671875" style="2509"/>
    <col min="16131" max="16133" width="12.88671875" style="2509" customWidth="1"/>
    <col min="16134" max="16134" width="47.44140625" style="2509" customWidth="1"/>
    <col min="16135" max="16135" width="13" style="2509" customWidth="1"/>
    <col min="16136" max="16137" width="8.88671875" style="2509"/>
    <col min="16138" max="16138" width="5.77734375" style="2509" customWidth="1"/>
    <col min="16139" max="16139" width="11.77734375" style="2509" customWidth="1"/>
    <col min="16140" max="16141" width="10.77734375" style="2509" customWidth="1"/>
    <col min="16142" max="16142" width="10" style="2509" customWidth="1"/>
    <col min="16143" max="16144" width="10.44140625" style="2509" bestFit="1" customWidth="1"/>
    <col min="16145" max="16145" width="10" style="2509" customWidth="1"/>
    <col min="16146" max="16146" width="10.109375" style="2509" customWidth="1"/>
    <col min="16147" max="16147" width="10" style="2509" customWidth="1"/>
    <col min="16148" max="16148" width="26.109375" style="2509" customWidth="1"/>
    <col min="16149" max="16384" width="8.88671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2" customHeight="1">
      <c r="A2" s="1323" t="s">
        <v>2606</v>
      </c>
      <c r="B2" s="2510" t="e">
        <f>C40</f>
        <v>#DIV/0!</v>
      </c>
      <c r="C2" s="2511" t="s">
        <v>2607</v>
      </c>
      <c r="D2" s="2511"/>
      <c r="E2" s="2512"/>
      <c r="F2" s="2513"/>
      <c r="G2" s="2514"/>
      <c r="H2" s="2515"/>
      <c r="I2" s="2516"/>
      <c r="J2" s="3533" t="s">
        <v>2608</v>
      </c>
      <c r="K2" s="3534"/>
      <c r="L2" s="2517" t="s">
        <v>2609</v>
      </c>
      <c r="M2" s="2517" t="s">
        <v>2610</v>
      </c>
      <c r="N2" s="2517" t="s">
        <v>2611</v>
      </c>
      <c r="O2" s="2517" t="s">
        <v>2612</v>
      </c>
      <c r="P2" s="2517" t="s">
        <v>2613</v>
      </c>
      <c r="Q2" s="2518" t="s">
        <v>2614</v>
      </c>
      <c r="R2" s="2519" t="s">
        <v>2615</v>
      </c>
      <c r="S2" s="2508"/>
      <c r="T2" s="2508"/>
      <c r="U2" s="2508"/>
      <c r="V2" s="2516"/>
    </row>
    <row r="3" spans="1:22" s="2520" customFormat="1" ht="13.2" customHeight="1">
      <c r="A3" s="2521" t="s">
        <v>2616</v>
      </c>
      <c r="B3" s="2522" t="e">
        <f>ROUND(B2*10000/B4,0)</f>
        <v>#DIV/0!</v>
      </c>
      <c r="C3" s="2511" t="s">
        <v>2617</v>
      </c>
      <c r="D3" s="2511"/>
      <c r="E3" s="2512"/>
      <c r="F3" s="2513"/>
      <c r="G3" s="2514"/>
      <c r="H3" s="2515"/>
      <c r="I3" s="2516"/>
      <c r="J3" s="3535" t="s">
        <v>2618</v>
      </c>
      <c r="K3" s="3536"/>
      <c r="L3" s="2523"/>
      <c r="M3" s="2523"/>
      <c r="N3" s="2523"/>
      <c r="O3" s="2523"/>
      <c r="P3" s="2523"/>
      <c r="Q3" s="2524"/>
      <c r="R3" s="2525">
        <f>SUM(L3:Q3)</f>
        <v>0</v>
      </c>
      <c r="S3" s="2508"/>
      <c r="T3" s="2508"/>
      <c r="U3" s="2508"/>
      <c r="V3" s="2516"/>
    </row>
    <row r="4" spans="1:22" s="2520" customFormat="1" ht="13.2" customHeight="1">
      <c r="A4" s="2526" t="s">
        <v>2619</v>
      </c>
      <c r="B4" s="2527"/>
      <c r="C4" s="2511"/>
      <c r="D4" s="2511"/>
      <c r="E4" s="2512"/>
      <c r="F4" s="2513"/>
      <c r="G4" s="2514"/>
      <c r="H4" s="2515"/>
      <c r="I4" s="2516"/>
      <c r="J4" s="3535" t="s">
        <v>2620</v>
      </c>
      <c r="K4" s="3536"/>
      <c r="L4" s="2528"/>
      <c r="M4" s="2528"/>
      <c r="N4" s="2528"/>
      <c r="O4" s="2528"/>
      <c r="P4" s="2528"/>
      <c r="Q4" s="2529"/>
      <c r="R4" s="2530">
        <f>SUM(L4:Q4)</f>
        <v>0</v>
      </c>
      <c r="S4" s="2508"/>
      <c r="T4" s="2508"/>
      <c r="U4" s="2508"/>
      <c r="V4" s="2516"/>
    </row>
    <row r="5" spans="1:22" s="2520" customFormat="1" ht="13.2"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2" customHeight="1" thickBot="1">
      <c r="A6" s="3537" t="s">
        <v>2624</v>
      </c>
      <c r="B6" s="3538"/>
      <c r="C6" s="3539"/>
      <c r="D6" s="2537"/>
      <c r="E6" s="2538"/>
      <c r="F6" s="2539"/>
      <c r="G6" s="2540"/>
      <c r="H6" s="2515"/>
      <c r="I6" s="2516"/>
      <c r="J6" s="3540">
        <v>1</v>
      </c>
      <c r="K6" s="3541"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2" customHeight="1">
      <c r="A7" s="2543" t="s">
        <v>2634</v>
      </c>
      <c r="B7" s="2544"/>
      <c r="C7" s="2545"/>
      <c r="D7" s="2546">
        <f>SUM(D9,D10,D11,D17,0)</f>
        <v>0</v>
      </c>
      <c r="E7" s="2547" t="e">
        <f>E9+E10+E11+E17</f>
        <v>#DIV/0!</v>
      </c>
      <c r="F7" s="2548"/>
      <c r="G7" s="2549"/>
      <c r="H7" s="2515"/>
      <c r="I7" s="2516"/>
      <c r="J7" s="3540"/>
      <c r="K7" s="3542"/>
      <c r="L7" s="2550" t="s">
        <v>2635</v>
      </c>
      <c r="M7" s="2551"/>
      <c r="N7" s="2527"/>
      <c r="O7" s="2552"/>
      <c r="P7" s="2552"/>
      <c r="Q7" s="2553">
        <v>365</v>
      </c>
      <c r="R7" s="2554">
        <f>ROUND(M7*N7*O7*P7*Q7/10000,0)</f>
        <v>0</v>
      </c>
      <c r="S7" s="2508"/>
      <c r="T7" s="2508" t="s">
        <v>2636</v>
      </c>
      <c r="U7" s="2508"/>
      <c r="V7" s="2516"/>
    </row>
    <row r="8" spans="1:22" s="2520" customFormat="1" ht="13.2" customHeight="1">
      <c r="A8" s="2555" t="s">
        <v>2637</v>
      </c>
      <c r="B8" s="3544" t="s">
        <v>2638</v>
      </c>
      <c r="C8" s="3545"/>
      <c r="D8" s="2556" t="s">
        <v>2639</v>
      </c>
      <c r="E8" s="2557" t="s">
        <v>2640</v>
      </c>
      <c r="F8" s="2558" t="s">
        <v>2641</v>
      </c>
      <c r="G8" s="2559"/>
      <c r="H8" s="2515"/>
      <c r="I8" s="2516"/>
      <c r="J8" s="3540"/>
      <c r="K8" s="3542"/>
      <c r="L8" s="2550" t="s">
        <v>2642</v>
      </c>
      <c r="M8" s="2551"/>
      <c r="N8" s="2527"/>
      <c r="O8" s="2552"/>
      <c r="P8" s="2552"/>
      <c r="Q8" s="2553">
        <v>365</v>
      </c>
      <c r="R8" s="2554">
        <f t="shared" ref="R8:R13" si="0">ROUND(M8*N8*O8*P8*Q8/10000,0)</f>
        <v>0</v>
      </c>
      <c r="S8" s="2508"/>
      <c r="T8" s="2508" t="s">
        <v>2643</v>
      </c>
      <c r="U8" s="2508"/>
      <c r="V8" s="2516"/>
    </row>
    <row r="9" spans="1:22" s="2520" customFormat="1" ht="13.2" customHeight="1">
      <c r="A9" s="2555">
        <v>1</v>
      </c>
      <c r="B9" s="3544" t="s">
        <v>2644</v>
      </c>
      <c r="C9" s="3545"/>
      <c r="D9" s="2556">
        <f>ROUND(D6*E9,0)</f>
        <v>0</v>
      </c>
      <c r="E9" s="2560"/>
      <c r="F9" s="2561" t="s">
        <v>2645</v>
      </c>
      <c r="G9" s="2540"/>
      <c r="H9" s="2515"/>
      <c r="I9" s="2516"/>
      <c r="J9" s="3540"/>
      <c r="K9" s="3542"/>
      <c r="L9" s="2550" t="s">
        <v>2646</v>
      </c>
      <c r="M9" s="2551"/>
      <c r="N9" s="2527"/>
      <c r="O9" s="2552"/>
      <c r="P9" s="2552"/>
      <c r="Q9" s="2553">
        <v>365</v>
      </c>
      <c r="R9" s="2554">
        <f t="shared" si="0"/>
        <v>0</v>
      </c>
      <c r="S9" s="2508"/>
      <c r="T9" s="2508"/>
      <c r="U9" s="2508"/>
      <c r="V9" s="2516"/>
    </row>
    <row r="10" spans="1:22" s="2520" customFormat="1" ht="13.2" customHeight="1">
      <c r="A10" s="2555">
        <v>2</v>
      </c>
      <c r="B10" s="3544" t="s">
        <v>2647</v>
      </c>
      <c r="C10" s="3545"/>
      <c r="D10" s="2556">
        <f>ROUND(D6*E10,0)</f>
        <v>0</v>
      </c>
      <c r="E10" s="2560"/>
      <c r="F10" s="2561" t="s">
        <v>2648</v>
      </c>
      <c r="G10" s="2540"/>
      <c r="H10" s="2515"/>
      <c r="I10" s="2516"/>
      <c r="J10" s="3540"/>
      <c r="K10" s="3542"/>
      <c r="L10" s="2550" t="s">
        <v>2649</v>
      </c>
      <c r="M10" s="2551"/>
      <c r="N10" s="2527"/>
      <c r="O10" s="2552"/>
      <c r="P10" s="2552"/>
      <c r="Q10" s="2553">
        <v>365</v>
      </c>
      <c r="R10" s="2554">
        <f t="shared" si="0"/>
        <v>0</v>
      </c>
      <c r="S10" s="2508"/>
      <c r="T10" s="2508"/>
      <c r="U10" s="2508"/>
      <c r="V10" s="2516"/>
    </row>
    <row r="11" spans="1:22" s="2520" customFormat="1" ht="13.2" customHeight="1">
      <c r="A11" s="2555">
        <v>3</v>
      </c>
      <c r="B11" s="3544" t="s">
        <v>2650</v>
      </c>
      <c r="C11" s="3545"/>
      <c r="D11" s="2556">
        <f>D12+D14+D15+D16</f>
        <v>0</v>
      </c>
      <c r="E11" s="2562" t="e">
        <f>D11/D6</f>
        <v>#DIV/0!</v>
      </c>
      <c r="F11" s="2558"/>
      <c r="G11" s="2559"/>
      <c r="H11" s="2515"/>
      <c r="I11" s="2516"/>
      <c r="J11" s="3540"/>
      <c r="K11" s="3542"/>
      <c r="L11" s="2550" t="s">
        <v>2651</v>
      </c>
      <c r="M11" s="2551"/>
      <c r="N11" s="2527"/>
      <c r="O11" s="2552"/>
      <c r="P11" s="2552"/>
      <c r="Q11" s="2553">
        <v>365</v>
      </c>
      <c r="R11" s="2554">
        <f t="shared" si="0"/>
        <v>0</v>
      </c>
      <c r="S11" s="2508"/>
      <c r="T11" s="2508"/>
      <c r="U11" s="2508"/>
      <c r="V11" s="2516"/>
    </row>
    <row r="12" spans="1:22" s="2520" customFormat="1" ht="13.2" customHeight="1">
      <c r="A12" s="2563" t="s">
        <v>2652</v>
      </c>
      <c r="B12" s="3546" t="s">
        <v>2653</v>
      </c>
      <c r="C12" s="3547"/>
      <c r="D12" s="2564">
        <f>ROUND(D13*1.2%*(1-30%),0)</f>
        <v>0</v>
      </c>
      <c r="E12" s="2565">
        <v>1.2E-2</v>
      </c>
      <c r="F12" s="2558" t="s">
        <v>2654</v>
      </c>
      <c r="G12" s="2559"/>
      <c r="H12" s="2515"/>
      <c r="I12" s="2516"/>
      <c r="J12" s="3540"/>
      <c r="K12" s="3542"/>
      <c r="L12" s="2550" t="s">
        <v>2655</v>
      </c>
      <c r="M12" s="2551"/>
      <c r="N12" s="2527"/>
      <c r="O12" s="2552"/>
      <c r="P12" s="2552"/>
      <c r="Q12" s="2553">
        <v>365</v>
      </c>
      <c r="R12" s="2554">
        <f t="shared" si="0"/>
        <v>0</v>
      </c>
      <c r="S12" s="2508"/>
      <c r="T12" s="2508"/>
      <c r="U12" s="2508"/>
      <c r="V12" s="2516"/>
    </row>
    <row r="13" spans="1:22" s="2520" customFormat="1" ht="13.2" customHeight="1">
      <c r="A13" s="2563"/>
      <c r="B13" s="2566"/>
      <c r="C13" s="2567" t="s">
        <v>2656</v>
      </c>
      <c r="D13" s="2568"/>
      <c r="E13" s="2569"/>
      <c r="F13" s="2558"/>
      <c r="G13" s="2559"/>
      <c r="H13" s="2515"/>
      <c r="I13" s="2516"/>
      <c r="J13" s="3540"/>
      <c r="K13" s="3542"/>
      <c r="L13" s="2550" t="s">
        <v>2657</v>
      </c>
      <c r="M13" s="2551"/>
      <c r="N13" s="2527"/>
      <c r="O13" s="2552"/>
      <c r="P13" s="2552"/>
      <c r="Q13" s="2553">
        <v>365</v>
      </c>
      <c r="R13" s="2554">
        <f t="shared" si="0"/>
        <v>0</v>
      </c>
      <c r="S13" s="2508"/>
      <c r="T13" s="2508"/>
      <c r="U13" s="2508"/>
      <c r="V13" s="2516"/>
    </row>
    <row r="14" spans="1:22" s="2520" customFormat="1" ht="13.2" customHeight="1">
      <c r="A14" s="2563" t="s">
        <v>2658</v>
      </c>
      <c r="B14" s="3546" t="s">
        <v>2659</v>
      </c>
      <c r="C14" s="3547"/>
      <c r="D14" s="2564">
        <f>ROUND(E14*B5/10000,0)</f>
        <v>0</v>
      </c>
      <c r="E14" s="2553"/>
      <c r="F14" s="2558" t="s">
        <v>2660</v>
      </c>
      <c r="G14" s="2559"/>
      <c r="H14" s="2515"/>
      <c r="I14" s="2516"/>
      <c r="J14" s="3540"/>
      <c r="K14" s="3543"/>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2" customHeight="1">
      <c r="A15" s="2563" t="s">
        <v>2662</v>
      </c>
      <c r="B15" s="3546" t="s">
        <v>2663</v>
      </c>
      <c r="C15" s="3547"/>
      <c r="D15" s="2564">
        <f>ROUND(D6*E15,0)</f>
        <v>0</v>
      </c>
      <c r="E15" s="2565">
        <v>5.5E-2</v>
      </c>
      <c r="F15" s="2558" t="s">
        <v>2664</v>
      </c>
      <c r="G15" s="2540"/>
      <c r="H15" s="2515"/>
      <c r="I15" s="2516"/>
      <c r="J15" s="3540">
        <v>2</v>
      </c>
      <c r="K15" s="3541"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2" customHeight="1">
      <c r="A16" s="2563" t="s">
        <v>2671</v>
      </c>
      <c r="B16" s="3546" t="s">
        <v>2672</v>
      </c>
      <c r="C16" s="3547"/>
      <c r="D16" s="2575">
        <f>D6*E16</f>
        <v>0</v>
      </c>
      <c r="E16" s="2576"/>
      <c r="F16" s="2561" t="s">
        <v>2673</v>
      </c>
      <c r="G16" s="2540"/>
      <c r="H16" s="2515"/>
      <c r="I16" s="2516"/>
      <c r="J16" s="3540"/>
      <c r="K16" s="3542"/>
      <c r="L16" s="2550" t="s">
        <v>2674</v>
      </c>
      <c r="M16" s="2551"/>
      <c r="N16" s="2551"/>
      <c r="O16" s="2552"/>
      <c r="P16" s="2553">
        <v>365</v>
      </c>
      <c r="Q16" s="2527"/>
      <c r="R16" s="2574">
        <f>ROUND(M16*N16*O16*P16/10000,0)</f>
        <v>0</v>
      </c>
      <c r="S16" s="2508"/>
      <c r="T16" s="2508"/>
      <c r="U16" s="2508"/>
      <c r="V16" s="2516"/>
    </row>
    <row r="17" spans="1:22" s="2520" customFormat="1" ht="13.2" customHeight="1" thickBot="1">
      <c r="A17" s="2577">
        <v>4</v>
      </c>
      <c r="B17" s="3548" t="s">
        <v>2675</v>
      </c>
      <c r="C17" s="3549"/>
      <c r="D17" s="2578">
        <f>ROUND(D6*E17,0)</f>
        <v>0</v>
      </c>
      <c r="E17" s="2579"/>
      <c r="F17" s="2580" t="s">
        <v>2676</v>
      </c>
      <c r="G17" s="2540"/>
      <c r="H17" s="2515"/>
      <c r="I17" s="2516"/>
      <c r="J17" s="3540"/>
      <c r="K17" s="3542"/>
      <c r="L17" s="2550" t="s">
        <v>2677</v>
      </c>
      <c r="M17" s="2551"/>
      <c r="N17" s="2551"/>
      <c r="O17" s="2552"/>
      <c r="P17" s="2553">
        <v>365</v>
      </c>
      <c r="Q17" s="2527"/>
      <c r="R17" s="2574">
        <f>ROUND(M17*N17*O17*P17/10000,0)</f>
        <v>0</v>
      </c>
      <c r="S17" s="2508"/>
      <c r="T17" s="2508"/>
      <c r="U17" s="2508"/>
      <c r="V17" s="2516"/>
    </row>
    <row r="18" spans="1:22" s="2520" customFormat="1" ht="13.2" customHeight="1" thickBot="1">
      <c r="A18" s="2543" t="s">
        <v>2678</v>
      </c>
      <c r="B18" s="2544"/>
      <c r="C18" s="2544"/>
      <c r="D18" s="2581">
        <f>ROUND(D6*E18,0)</f>
        <v>0</v>
      </c>
      <c r="E18" s="2582"/>
      <c r="F18" s="2583" t="s">
        <v>2679</v>
      </c>
      <c r="G18" s="2540"/>
      <c r="H18" s="2515"/>
      <c r="I18" s="2516"/>
      <c r="J18" s="3540"/>
      <c r="K18" s="3542"/>
      <c r="L18" s="2550" t="s">
        <v>2680</v>
      </c>
      <c r="M18" s="2551"/>
      <c r="N18" s="2551"/>
      <c r="O18" s="2552"/>
      <c r="P18" s="2553">
        <v>365</v>
      </c>
      <c r="Q18" s="2527"/>
      <c r="R18" s="2574">
        <f>ROUND(M18*N18*O18*P18/10000,0)</f>
        <v>0</v>
      </c>
      <c r="S18" s="2508"/>
      <c r="T18" s="2508"/>
      <c r="U18" s="2508"/>
      <c r="V18" s="2516"/>
    </row>
    <row r="19" spans="1:22" s="2520" customFormat="1" ht="13.2" customHeight="1" thickBot="1">
      <c r="A19" s="2584" t="s">
        <v>2681</v>
      </c>
      <c r="B19" s="2538"/>
      <c r="C19" s="2538"/>
      <c r="D19" s="2538"/>
      <c r="E19" s="2538"/>
      <c r="F19" s="2539"/>
      <c r="G19" s="2559"/>
      <c r="H19" s="2515"/>
      <c r="I19" s="2516"/>
      <c r="J19" s="3540"/>
      <c r="K19" s="3543"/>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2" customHeight="1">
      <c r="A20" s="2543"/>
      <c r="B20" s="2544"/>
      <c r="C20" s="2544"/>
      <c r="D20" s="2544"/>
      <c r="E20" s="2544"/>
      <c r="F20" s="2587"/>
      <c r="G20" s="2559"/>
      <c r="H20" s="2515"/>
      <c r="I20" s="2516"/>
      <c r="J20" s="3540">
        <v>3</v>
      </c>
      <c r="K20" s="3541"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2" customHeight="1">
      <c r="A21" s="2543"/>
      <c r="B21" s="2544"/>
      <c r="C21" s="2590" t="s">
        <v>2690</v>
      </c>
      <c r="D21" s="2591" t="s">
        <v>2691</v>
      </c>
      <c r="E21" s="2592" t="s">
        <v>2692</v>
      </c>
      <c r="F21" s="2587"/>
      <c r="G21" s="2559"/>
      <c r="H21" s="2515"/>
      <c r="I21" s="2516"/>
      <c r="J21" s="3540"/>
      <c r="K21" s="3542"/>
      <c r="L21" s="2550" t="s">
        <v>2693</v>
      </c>
      <c r="M21" s="2551"/>
      <c r="N21" s="2551"/>
      <c r="O21" s="2552"/>
      <c r="P21" s="2553">
        <v>365</v>
      </c>
      <c r="Q21" s="2527"/>
      <c r="R21" s="2593">
        <f>ROUND(M21*N21*O21*P21/10000,0)</f>
        <v>0</v>
      </c>
      <c r="S21" s="2589"/>
      <c r="T21" s="2589"/>
      <c r="U21" s="2589"/>
      <c r="V21" s="2516"/>
    </row>
    <row r="22" spans="1:22" s="2520" customFormat="1" ht="13.2" customHeight="1">
      <c r="A22" s="2543"/>
      <c r="B22" s="2544"/>
      <c r="C22" s="2594" t="s">
        <v>2694</v>
      </c>
      <c r="D22" s="2595" t="s">
        <v>2695</v>
      </c>
      <c r="E22" s="2596" t="s">
        <v>2696</v>
      </c>
      <c r="F22" s="2587"/>
      <c r="G22" s="2597"/>
      <c r="H22" s="2515"/>
      <c r="I22" s="2516"/>
      <c r="J22" s="3540"/>
      <c r="K22" s="3542"/>
      <c r="L22" s="2550" t="s">
        <v>2697</v>
      </c>
      <c r="M22" s="2551"/>
      <c r="N22" s="2551"/>
      <c r="O22" s="2552"/>
      <c r="P22" s="2553">
        <v>365</v>
      </c>
      <c r="Q22" s="2527"/>
      <c r="R22" s="2593">
        <f>ROUND(M22*N22*O22*P22/10000,0)</f>
        <v>0</v>
      </c>
      <c r="S22" s="2589"/>
      <c r="T22" s="2589"/>
      <c r="U22" s="2589"/>
      <c r="V22" s="2516"/>
    </row>
    <row r="23" spans="1:22" s="2520" customFormat="1" ht="13.2" customHeight="1">
      <c r="A23" s="2598">
        <v>1</v>
      </c>
      <c r="B23" s="2599" t="s">
        <v>2698</v>
      </c>
      <c r="C23" s="2600">
        <f>D6</f>
        <v>0</v>
      </c>
      <c r="D23" s="2601">
        <f>C23*(1+D24)</f>
        <v>0</v>
      </c>
      <c r="E23" s="2602">
        <f>D23*(1+E24)</f>
        <v>0</v>
      </c>
      <c r="F23" s="2603"/>
      <c r="G23" s="2604"/>
      <c r="H23" s="2515"/>
      <c r="I23" s="2516"/>
      <c r="J23" s="3540"/>
      <c r="K23" s="3542"/>
      <c r="L23" s="2550" t="s">
        <v>2699</v>
      </c>
      <c r="M23" s="2551"/>
      <c r="N23" s="2551"/>
      <c r="O23" s="2552"/>
      <c r="P23" s="2553">
        <v>365</v>
      </c>
      <c r="Q23" s="2527"/>
      <c r="R23" s="2593">
        <f>ROUND(M23*N23*O23*P23/10000,0)</f>
        <v>0</v>
      </c>
      <c r="S23" s="2508"/>
      <c r="T23" s="2508"/>
      <c r="U23" s="2508"/>
      <c r="V23" s="2516"/>
    </row>
    <row r="24" spans="1:22" s="2520" customFormat="1" ht="13.2" customHeight="1">
      <c r="A24" s="2605"/>
      <c r="B24" s="2606" t="s">
        <v>2700</v>
      </c>
      <c r="C24" s="2607"/>
      <c r="D24" s="2608"/>
      <c r="E24" s="2609"/>
      <c r="F24" s="2610"/>
      <c r="G24" s="2604"/>
      <c r="H24" s="2515"/>
      <c r="I24" s="2516"/>
      <c r="J24" s="3540"/>
      <c r="K24" s="3543"/>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2"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2" customHeight="1">
      <c r="A26" s="2598">
        <v>2</v>
      </c>
      <c r="B26" s="2599" t="s">
        <v>2702</v>
      </c>
      <c r="C26" s="2600">
        <f>D7</f>
        <v>0</v>
      </c>
      <c r="D26" s="2601">
        <f>D23*D27</f>
        <v>0</v>
      </c>
      <c r="E26" s="2602">
        <f>E23*E27</f>
        <v>0</v>
      </c>
      <c r="F26" s="2603"/>
      <c r="G26" s="2604"/>
      <c r="H26" s="2515"/>
      <c r="I26" s="2516"/>
      <c r="J26" s="3550">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2" customHeight="1">
      <c r="A27" s="2605"/>
      <c r="B27" s="2606" t="s">
        <v>2708</v>
      </c>
      <c r="C27" s="2624" t="e">
        <f>E7</f>
        <v>#DIV/0!</v>
      </c>
      <c r="D27" s="2608"/>
      <c r="E27" s="2609"/>
      <c r="F27" s="2610"/>
      <c r="G27" s="2604"/>
      <c r="H27" s="2625"/>
      <c r="I27" s="2616"/>
      <c r="J27" s="3551"/>
      <c r="K27" s="2626"/>
      <c r="L27" s="2627"/>
      <c r="M27" s="2628"/>
      <c r="N27" s="2629"/>
      <c r="O27" s="2629"/>
      <c r="P27" s="2629"/>
      <c r="Q27" s="2630"/>
      <c r="R27" s="2586">
        <f>ROUND(O27*N27*P27*(1-Q27)/10000,0)</f>
        <v>0</v>
      </c>
      <c r="S27" s="2508"/>
      <c r="T27" s="2508"/>
      <c r="U27" s="2508"/>
      <c r="V27" s="2516"/>
    </row>
    <row r="28" spans="1:22" s="2617" customFormat="1" ht="13.2"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2"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2"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2"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2" customHeight="1">
      <c r="A32" s="2598">
        <v>4</v>
      </c>
      <c r="B32" s="2599" t="s">
        <v>2716</v>
      </c>
      <c r="C32" s="2600">
        <f>C23-C26-C29</f>
        <v>0</v>
      </c>
      <c r="D32" s="2601">
        <f>D23-D26-D29</f>
        <v>0</v>
      </c>
      <c r="E32" s="2602">
        <f>E23-E26-E29</f>
        <v>0</v>
      </c>
      <c r="F32" s="2603"/>
      <c r="G32" s="2597"/>
      <c r="H32" s="2515"/>
      <c r="I32" s="2516"/>
      <c r="J32" s="3533" t="s">
        <v>2608</v>
      </c>
      <c r="K32" s="3534"/>
      <c r="L32" s="2517" t="s">
        <v>2609</v>
      </c>
      <c r="M32" s="2517" t="s">
        <v>2610</v>
      </c>
      <c r="N32" s="2517" t="s">
        <v>2611</v>
      </c>
      <c r="O32" s="2517" t="s">
        <v>2612</v>
      </c>
      <c r="P32" s="2517" t="s">
        <v>2613</v>
      </c>
      <c r="Q32" s="2518" t="s">
        <v>2614</v>
      </c>
      <c r="R32" s="2640" t="s">
        <v>2615</v>
      </c>
      <c r="S32" s="2589"/>
      <c r="T32" s="2508"/>
      <c r="U32" s="2508"/>
      <c r="V32" s="2616"/>
    </row>
    <row r="33" spans="1:23" s="2520" customFormat="1" ht="13.2" customHeight="1">
      <c r="A33" s="2598"/>
      <c r="B33" s="2599"/>
      <c r="C33" s="2600"/>
      <c r="D33" s="2641"/>
      <c r="E33" s="2642"/>
      <c r="F33" s="2603"/>
      <c r="G33" s="2597"/>
      <c r="H33" s="2625"/>
      <c r="I33" s="2616"/>
      <c r="J33" s="3535" t="s">
        <v>2618</v>
      </c>
      <c r="K33" s="3536"/>
      <c r="L33" s="2523"/>
      <c r="M33" s="2523"/>
      <c r="N33" s="2523"/>
      <c r="O33" s="2523"/>
      <c r="P33" s="2523"/>
      <c r="Q33" s="2524"/>
      <c r="R33" s="2643">
        <f>SUM(L33:Q33)</f>
        <v>0</v>
      </c>
      <c r="S33" s="2589"/>
      <c r="T33" s="2508"/>
      <c r="U33" s="2508"/>
      <c r="V33" s="2516"/>
    </row>
    <row r="34" spans="1:23" s="2520" customFormat="1" ht="13.2" customHeight="1">
      <c r="A34" s="2598">
        <v>5</v>
      </c>
      <c r="B34" s="2599" t="s">
        <v>2717</v>
      </c>
      <c r="C34" s="2644"/>
      <c r="D34" s="2645"/>
      <c r="E34" s="2646"/>
      <c r="F34" s="2603"/>
      <c r="G34" s="2597"/>
      <c r="H34" s="2625"/>
      <c r="I34" s="2616"/>
      <c r="J34" s="3535" t="s">
        <v>2620</v>
      </c>
      <c r="K34" s="3536"/>
      <c r="L34" s="2528"/>
      <c r="M34" s="2528"/>
      <c r="N34" s="2528"/>
      <c r="O34" s="2528"/>
      <c r="P34" s="2528"/>
      <c r="Q34" s="2529"/>
      <c r="R34" s="2647">
        <f>SUM(L34:Q34)</f>
        <v>0</v>
      </c>
      <c r="S34" s="2589"/>
      <c r="T34" s="2508"/>
      <c r="U34" s="2508" t="e">
        <f>ROUND(R35*10000/365/R33,1)</f>
        <v>#DIV/0!</v>
      </c>
      <c r="V34" s="2516"/>
    </row>
    <row r="35" spans="1:23" s="2520" customFormat="1" ht="13.2"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2" customHeight="1" thickBot="1">
      <c r="A36" s="2598">
        <v>7</v>
      </c>
      <c r="B36" s="2653" t="s">
        <v>2719</v>
      </c>
      <c r="C36" s="2654"/>
      <c r="D36" s="2655"/>
      <c r="E36" s="2656"/>
      <c r="F36" s="2657">
        <f>C36+D36+E36</f>
        <v>0</v>
      </c>
      <c r="G36" s="2597"/>
      <c r="H36" s="2515"/>
      <c r="I36" s="2516"/>
      <c r="J36" s="3540">
        <v>1</v>
      </c>
      <c r="K36" s="3541" t="s">
        <v>2720</v>
      </c>
      <c r="L36" s="2541"/>
      <c r="M36" s="2542"/>
      <c r="N36" s="2542"/>
      <c r="O36" s="2542"/>
      <c r="P36" s="2542"/>
      <c r="Q36" s="2542"/>
      <c r="R36" s="2525" t="s">
        <v>2632</v>
      </c>
      <c r="S36" s="2589"/>
      <c r="T36" s="2508" t="s">
        <v>2633</v>
      </c>
      <c r="U36" s="2508"/>
      <c r="V36" s="2516"/>
    </row>
    <row r="37" spans="1:23" s="2520" customFormat="1" ht="13.2" customHeight="1">
      <c r="A37" s="2598"/>
      <c r="B37" s="2599"/>
      <c r="C37" s="2599"/>
      <c r="D37" s="2599"/>
      <c r="E37" s="2599"/>
      <c r="F37" s="2603"/>
      <c r="G37" s="2597"/>
      <c r="H37" s="2515"/>
      <c r="I37" s="2516"/>
      <c r="J37" s="3540"/>
      <c r="K37" s="3542"/>
      <c r="L37" s="2550"/>
      <c r="M37" s="2551"/>
      <c r="N37" s="2527"/>
      <c r="O37" s="2552"/>
      <c r="P37" s="2552"/>
      <c r="Q37" s="2553"/>
      <c r="R37" s="2554"/>
      <c r="S37" s="2589"/>
      <c r="T37" s="2508" t="s">
        <v>2636</v>
      </c>
      <c r="U37" s="2508"/>
      <c r="V37" s="2516"/>
    </row>
    <row r="38" spans="1:23" s="2520" customFormat="1" ht="13.2" customHeight="1">
      <c r="A38" s="2598">
        <v>8</v>
      </c>
      <c r="B38" s="2599"/>
      <c r="C38" s="2556" t="e">
        <f>ROUND(C32*(1-((1+C35)/(1+C34))^C36)/(C34-C35),0)</f>
        <v>#DIV/0!</v>
      </c>
      <c r="D38" s="2556">
        <f>IF(D23=0,0,ROUND(D32*(1-((1+D35)/(1+D34))^D36)/(D34-D35),0))</f>
        <v>0</v>
      </c>
      <c r="E38" s="2556">
        <f>IF(E23=0,0,ROUND(E32*(1-((1+E35)/(1+E34))^E36)/(E34-E35),0))</f>
        <v>0</v>
      </c>
      <c r="F38" s="2603"/>
      <c r="G38" s="2597"/>
      <c r="H38" s="2515"/>
      <c r="I38" s="2516"/>
      <c r="J38" s="3540"/>
      <c r="K38" s="3542"/>
      <c r="L38" s="2550"/>
      <c r="M38" s="2551"/>
      <c r="N38" s="2527"/>
      <c r="O38" s="2552"/>
      <c r="P38" s="2552"/>
      <c r="Q38" s="2553"/>
      <c r="R38" s="2554"/>
      <c r="S38" s="2589"/>
      <c r="T38" s="2508" t="s">
        <v>2643</v>
      </c>
      <c r="U38" s="2508"/>
      <c r="V38" s="2516"/>
    </row>
    <row r="39" spans="1:23" s="2520" customFormat="1" ht="13.2" customHeight="1">
      <c r="A39" s="2598">
        <v>9</v>
      </c>
      <c r="B39" s="2599" t="s">
        <v>2721</v>
      </c>
      <c r="C39" s="2564" t="e">
        <f>C38</f>
        <v>#DIV/0!</v>
      </c>
      <c r="D39" s="2599">
        <f>D38/(1+D34)^C36</f>
        <v>0</v>
      </c>
      <c r="E39" s="2599">
        <f>E38/(1+E34)^(C36+D36)</f>
        <v>0</v>
      </c>
      <c r="F39" s="2603"/>
      <c r="G39" s="2658"/>
      <c r="H39" s="2515"/>
      <c r="I39" s="2516"/>
      <c r="J39" s="3540"/>
      <c r="K39" s="3542"/>
      <c r="L39" s="2550"/>
      <c r="M39" s="2551"/>
      <c r="N39" s="2527"/>
      <c r="O39" s="2552"/>
      <c r="P39" s="2552"/>
      <c r="Q39" s="2553"/>
      <c r="R39" s="2554"/>
      <c r="S39" s="2589"/>
      <c r="T39" s="2508"/>
      <c r="U39" s="2508"/>
      <c r="V39" s="2516"/>
    </row>
    <row r="40" spans="1:23" s="2520" customFormat="1" ht="13.2" customHeight="1">
      <c r="A40" s="2659">
        <v>10</v>
      </c>
      <c r="B40" s="2599" t="s">
        <v>2722</v>
      </c>
      <c r="C40" s="2660" t="e">
        <f>C39+D39+E39</f>
        <v>#DIV/0!</v>
      </c>
      <c r="D40" s="2661"/>
      <c r="E40" s="2661"/>
      <c r="F40" s="2662"/>
      <c r="G40" s="2597"/>
      <c r="H40" s="2515"/>
      <c r="I40" s="2516"/>
      <c r="J40" s="3540"/>
      <c r="K40" s="3543"/>
      <c r="L40" s="2570" t="s">
        <v>2661</v>
      </c>
      <c r="M40" s="2571"/>
      <c r="N40" s="2571"/>
      <c r="O40" s="2572"/>
      <c r="P40" s="2572"/>
      <c r="Q40" s="2573"/>
      <c r="R40" s="2519">
        <f>SUM(R37:R39)</f>
        <v>0</v>
      </c>
      <c r="S40" s="2589"/>
      <c r="T40" s="2508"/>
      <c r="U40" s="2508"/>
      <c r="V40" s="2516"/>
    </row>
    <row r="41" spans="1:23" s="2520" customFormat="1" ht="13.2"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2" customHeight="1">
      <c r="G42" s="2667"/>
      <c r="H42" s="2515"/>
      <c r="I42" s="2516"/>
      <c r="J42" s="3550">
        <v>3</v>
      </c>
      <c r="K42" s="2618" t="s">
        <v>2703</v>
      </c>
      <c r="L42" s="2619"/>
      <c r="M42" s="2620"/>
      <c r="N42" s="2621" t="s">
        <v>2704</v>
      </c>
      <c r="O42" s="2621" t="s">
        <v>2705</v>
      </c>
      <c r="P42" s="2622" t="s">
        <v>2706</v>
      </c>
      <c r="Q42" s="2622" t="s">
        <v>2707</v>
      </c>
      <c r="R42" s="2525" t="s">
        <v>2632</v>
      </c>
      <c r="S42" s="2623"/>
      <c r="T42" s="2623"/>
      <c r="U42" s="2508"/>
      <c r="V42" s="2516"/>
    </row>
    <row r="43" spans="1:23" ht="13.2" customHeight="1">
      <c r="A43" s="2520"/>
      <c r="B43" s="2520"/>
      <c r="C43" s="2520"/>
      <c r="D43" s="2520"/>
      <c r="E43" s="2520"/>
      <c r="F43" s="2520"/>
      <c r="I43" s="2503"/>
      <c r="J43" s="3551"/>
      <c r="K43" s="2626"/>
      <c r="L43" s="2627"/>
      <c r="M43" s="2628"/>
      <c r="N43" s="2551"/>
      <c r="O43" s="2551"/>
      <c r="P43" s="2551"/>
      <c r="Q43" s="2615"/>
      <c r="R43" s="2586">
        <f>ROUND(O43*N43*P43*(1-Q43)/10000,0)</f>
        <v>0</v>
      </c>
      <c r="S43" s="2589"/>
      <c r="T43" s="2508"/>
      <c r="V43" s="2669"/>
      <c r="W43" s="2670"/>
    </row>
    <row r="44" spans="1:23" ht="13.2"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416" customWidth="1"/>
    <col min="2" max="2" width="12" style="1416" customWidth="1"/>
    <col min="3" max="3" width="9" style="1416"/>
    <col min="4" max="4" width="14.109375" style="1416" customWidth="1"/>
    <col min="5" max="5" width="9" style="1416"/>
    <col min="6" max="6" width="12.88671875" style="1416" customWidth="1"/>
    <col min="7" max="16384" width="9" style="1416"/>
  </cols>
  <sheetData>
    <row r="1" spans="1:22" ht="21.6">
      <c r="A1" s="1807" t="s">
        <v>1910</v>
      </c>
      <c r="B1" s="1808"/>
      <c r="C1" s="1808"/>
      <c r="D1" s="1808"/>
      <c r="E1" s="1809"/>
      <c r="F1" s="2387"/>
      <c r="G1" s="1428"/>
      <c r="H1" s="1428"/>
      <c r="I1" s="1428"/>
      <c r="J1" s="1428"/>
      <c r="K1" s="1428"/>
      <c r="L1" s="1428"/>
      <c r="M1" s="1428"/>
      <c r="N1" s="1428"/>
      <c r="O1" s="1428"/>
      <c r="P1" s="1428"/>
      <c r="Q1" s="1428"/>
      <c r="R1" s="1428"/>
      <c r="S1" s="1428"/>
    </row>
    <row r="2" spans="1:22" ht="15.6">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6">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6">
      <c r="A4" s="2392"/>
      <c r="B4" s="2389"/>
      <c r="C4" s="2389"/>
      <c r="D4" s="2389"/>
      <c r="E4" s="2391"/>
      <c r="F4" s="2387"/>
      <c r="G4" s="1428"/>
      <c r="H4" s="1428"/>
      <c r="I4" s="1428"/>
      <c r="J4" s="1428"/>
      <c r="K4" s="1428"/>
      <c r="L4" s="1428"/>
      <c r="M4" s="1428"/>
      <c r="N4" s="1428"/>
      <c r="O4" s="1428"/>
      <c r="P4" s="1428"/>
      <c r="Q4" s="1428"/>
      <c r="R4" s="1428"/>
      <c r="S4" s="1428"/>
    </row>
    <row r="5" spans="1:22" ht="14.4">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ht="14.4">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ht="14.4">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ht="14.4">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ht="14.4">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ht="14.4">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ht="14.4">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ht="14.4">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58" customWidth="1"/>
    <col min="2" max="2" width="15.77734375" style="358" customWidth="1"/>
    <col min="3" max="3" width="15.10937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1856"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4.4">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59" t="s">
        <v>1921</v>
      </c>
      <c r="S4" s="3560"/>
      <c r="T4" s="3559" t="s">
        <v>1922</v>
      </c>
      <c r="U4" s="3560"/>
      <c r="V4" s="3584" t="s">
        <v>1923</v>
      </c>
      <c r="W4" s="3584"/>
      <c r="X4" s="1294"/>
      <c r="Y4" s="3559" t="s">
        <v>1925</v>
      </c>
      <c r="Z4" s="3560"/>
      <c r="AA4" s="3554" t="s">
        <v>1921</v>
      </c>
      <c r="AB4" s="3554" t="s">
        <v>1922</v>
      </c>
      <c r="AC4" s="3554" t="s">
        <v>1923</v>
      </c>
    </row>
    <row r="5" spans="1:29">
      <c r="A5" s="359"/>
      <c r="B5" s="360"/>
      <c r="C5" s="3565" t="s">
        <v>1926</v>
      </c>
      <c r="D5" s="3566"/>
      <c r="E5" s="3563" t="s">
        <v>1927</v>
      </c>
      <c r="F5" s="3564"/>
      <c r="G5" s="3565" t="s">
        <v>1928</v>
      </c>
      <c r="H5" s="3566"/>
      <c r="I5" s="3565" t="s">
        <v>1929</v>
      </c>
      <c r="J5" s="3566"/>
      <c r="K5" s="1830"/>
      <c r="L5" s="2395"/>
      <c r="M5" s="2396"/>
      <c r="N5" s="2396"/>
      <c r="O5" s="2396"/>
      <c r="P5" s="3578"/>
      <c r="Q5" s="3579"/>
      <c r="R5" s="3561"/>
      <c r="S5" s="3562"/>
      <c r="T5" s="3561"/>
      <c r="U5" s="3562"/>
      <c r="V5" s="3584"/>
      <c r="W5" s="3584"/>
      <c r="X5" s="1294"/>
      <c r="Y5" s="3561"/>
      <c r="Z5" s="3562"/>
      <c r="AA5" s="3555"/>
      <c r="AB5" s="3555"/>
      <c r="AC5" s="3555"/>
    </row>
    <row r="6" spans="1:29" ht="15" thickBot="1">
      <c r="A6" s="361"/>
      <c r="B6" s="362"/>
      <c r="C6" s="3567" t="s">
        <v>1930</v>
      </c>
      <c r="D6" s="3568"/>
      <c r="E6" s="3569" t="s">
        <v>1930</v>
      </c>
      <c r="F6" s="3570"/>
      <c r="G6" s="3567" t="s">
        <v>1930</v>
      </c>
      <c r="H6" s="3568"/>
      <c r="I6" s="3567" t="s">
        <v>1930</v>
      </c>
      <c r="J6" s="3568"/>
      <c r="K6" s="1830" t="s">
        <v>1931</v>
      </c>
      <c r="L6" s="2395"/>
      <c r="M6" s="2396"/>
      <c r="N6" s="2396"/>
      <c r="O6" s="2396"/>
      <c r="P6" s="3580"/>
      <c r="Q6" s="3581"/>
      <c r="R6" s="3561"/>
      <c r="S6" s="3562"/>
      <c r="T6" s="3582"/>
      <c r="U6" s="3583"/>
      <c r="V6" s="3584"/>
      <c r="W6" s="3584"/>
      <c r="X6" s="1294"/>
      <c r="Y6" s="3582"/>
      <c r="Z6" s="3583"/>
      <c r="AA6" s="3556"/>
      <c r="AB6" s="3556"/>
      <c r="AC6" s="3556"/>
    </row>
    <row r="7" spans="1:29" s="112" customFormat="1" ht="15" thickBot="1">
      <c r="A7" s="363" t="s">
        <v>1932</v>
      </c>
      <c r="B7" s="364"/>
      <c r="C7" s="365">
        <f>'数据-取费表'!B2</f>
        <v>44697</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57" t="s">
        <v>1933</v>
      </c>
      <c r="Q7" s="3585"/>
      <c r="R7" s="704" t="s">
        <v>23</v>
      </c>
      <c r="S7" s="705">
        <f t="shared" ref="S7:S15" si="0">F7</f>
        <v>0</v>
      </c>
      <c r="T7" s="704" t="s">
        <v>23</v>
      </c>
      <c r="U7" s="705">
        <f t="shared" ref="U7:U15" si="1">H7</f>
        <v>0</v>
      </c>
      <c r="V7" s="704" t="s">
        <v>23</v>
      </c>
      <c r="W7" s="705">
        <f t="shared" ref="W7:W15" si="2">J7</f>
        <v>0</v>
      </c>
      <c r="X7" s="706"/>
      <c r="Y7" s="3557" t="s">
        <v>1933</v>
      </c>
      <c r="Z7" s="3558"/>
      <c r="AA7" s="707" t="e">
        <f>D7/F7</f>
        <v>#DIV/0!</v>
      </c>
      <c r="AB7" s="707" t="e">
        <f>D7/H7</f>
        <v>#DIV/0!</v>
      </c>
      <c r="AC7" s="707" t="e">
        <f>D7/J7</f>
        <v>#DIV/0!</v>
      </c>
    </row>
    <row r="8" spans="1:29" s="112" customFormat="1" ht="1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57" t="s">
        <v>1936</v>
      </c>
      <c r="Q8" s="3558"/>
      <c r="R8" s="704" t="s">
        <v>23</v>
      </c>
      <c r="S8" s="705">
        <f t="shared" si="0"/>
        <v>0</v>
      </c>
      <c r="T8" s="704" t="s">
        <v>23</v>
      </c>
      <c r="U8" s="705">
        <f t="shared" si="1"/>
        <v>0</v>
      </c>
      <c r="V8" s="704" t="s">
        <v>23</v>
      </c>
      <c r="W8" s="705">
        <f t="shared" si="2"/>
        <v>0</v>
      </c>
      <c r="X8" s="706"/>
      <c r="Y8" s="3557" t="s">
        <v>1936</v>
      </c>
      <c r="Z8" s="3558"/>
      <c r="AA8" s="707" t="e">
        <f t="shared" ref="AA8:AA19" si="3">D8/F8</f>
        <v>#DIV/0!</v>
      </c>
      <c r="AB8" s="707" t="e">
        <f t="shared" ref="AB8:AB19" si="4">D8/H8</f>
        <v>#DIV/0!</v>
      </c>
      <c r="AC8" s="707" t="e">
        <f t="shared" ref="AC8:AC19" si="5">D8/J8</f>
        <v>#DIV/0!</v>
      </c>
    </row>
    <row r="9" spans="1:29" s="112" customFormat="1" ht="14.4">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8.8">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1"/>
      <c r="Q11" s="1284" t="str">
        <f t="shared" si="6"/>
        <v>容积率</v>
      </c>
      <c r="R11" s="704" t="s">
        <v>21</v>
      </c>
      <c r="S11" s="705" t="e">
        <f t="shared" si="0"/>
        <v>#N/A</v>
      </c>
      <c r="T11" s="704" t="s">
        <v>21</v>
      </c>
      <c r="U11" s="705" t="e">
        <f t="shared" si="1"/>
        <v>#N/A</v>
      </c>
      <c r="V11" s="704" t="s">
        <v>21</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1"/>
      <c r="Q12" s="1284">
        <f t="shared" si="6"/>
        <v>111</v>
      </c>
      <c r="R12" s="704" t="s">
        <v>21</v>
      </c>
      <c r="S12" s="705">
        <f t="shared" si="0"/>
        <v>100</v>
      </c>
      <c r="T12" s="704" t="s">
        <v>21</v>
      </c>
      <c r="U12" s="705">
        <f t="shared" si="1"/>
        <v>100</v>
      </c>
      <c r="V12" s="704" t="s">
        <v>21</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1"/>
      <c r="Q13" s="1284">
        <f t="shared" si="6"/>
        <v>111</v>
      </c>
      <c r="R13" s="704" t="s">
        <v>21</v>
      </c>
      <c r="S13" s="705">
        <f t="shared" si="0"/>
        <v>100</v>
      </c>
      <c r="T13" s="704" t="s">
        <v>21</v>
      </c>
      <c r="U13" s="705">
        <f t="shared" si="1"/>
        <v>100</v>
      </c>
      <c r="V13" s="704" t="s">
        <v>21</v>
      </c>
      <c r="W13" s="705">
        <f t="shared" si="2"/>
        <v>100</v>
      </c>
      <c r="X13" s="706"/>
      <c r="Y13" s="3501"/>
      <c r="Z13" s="54">
        <f t="shared" si="7"/>
        <v>111</v>
      </c>
      <c r="AA13" s="707">
        <f t="shared" si="3"/>
        <v>1</v>
      </c>
      <c r="AB13" s="707">
        <f t="shared" si="4"/>
        <v>1</v>
      </c>
      <c r="AC13" s="707">
        <f t="shared" si="5"/>
        <v>1</v>
      </c>
    </row>
    <row r="14" spans="1:29" ht="15.6"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1"/>
      <c r="Q14" s="1284">
        <f t="shared" si="6"/>
        <v>111</v>
      </c>
      <c r="R14" s="704" t="s">
        <v>21</v>
      </c>
      <c r="S14" s="705">
        <f t="shared" si="0"/>
        <v>100</v>
      </c>
      <c r="T14" s="704" t="s">
        <v>21</v>
      </c>
      <c r="U14" s="705">
        <f t="shared" si="1"/>
        <v>100</v>
      </c>
      <c r="V14" s="704" t="s">
        <v>21</v>
      </c>
      <c r="W14" s="705">
        <f t="shared" si="2"/>
        <v>100</v>
      </c>
      <c r="X14" s="706"/>
      <c r="Y14" s="3501"/>
      <c r="Z14" s="54">
        <f t="shared" si="7"/>
        <v>111</v>
      </c>
      <c r="AA14" s="707">
        <f t="shared" si="3"/>
        <v>1</v>
      </c>
      <c r="AB14" s="707">
        <f t="shared" si="4"/>
        <v>1</v>
      </c>
      <c r="AC14" s="707">
        <f t="shared" si="5"/>
        <v>1</v>
      </c>
    </row>
    <row r="15" spans="1:29" ht="96.6">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98" t="s">
        <v>1944</v>
      </c>
      <c r="Q15" s="1291" t="str">
        <f t="shared" si="6"/>
        <v>居住社区成熟度</v>
      </c>
      <c r="R15" s="708" t="s">
        <v>21</v>
      </c>
      <c r="S15" s="709">
        <f t="shared" si="0"/>
        <v>100</v>
      </c>
      <c r="T15" s="708" t="s">
        <v>21</v>
      </c>
      <c r="U15" s="709">
        <f t="shared" si="1"/>
        <v>100</v>
      </c>
      <c r="V15" s="708" t="s">
        <v>21</v>
      </c>
      <c r="W15" s="709">
        <f t="shared" si="2"/>
        <v>100</v>
      </c>
      <c r="X15" s="1294"/>
      <c r="Y15" s="359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99"/>
      <c r="Q16" s="1291"/>
      <c r="R16" s="708"/>
      <c r="S16" s="709"/>
      <c r="T16" s="708"/>
      <c r="U16" s="709"/>
      <c r="V16" s="708"/>
      <c r="W16" s="709"/>
      <c r="X16" s="1294"/>
      <c r="Y16" s="3592"/>
      <c r="Z16" s="1295"/>
      <c r="AA16" s="1292">
        <v>1</v>
      </c>
      <c r="AB16" s="1292">
        <v>1</v>
      </c>
      <c r="AC16" s="1292">
        <v>1</v>
      </c>
    </row>
    <row r="17" spans="1:29" ht="82.8">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99"/>
      <c r="Q17" s="1291" t="str">
        <f>B17</f>
        <v>交通便捷度</v>
      </c>
      <c r="R17" s="708" t="s">
        <v>21</v>
      </c>
      <c r="S17" s="709">
        <f>F17</f>
        <v>100</v>
      </c>
      <c r="T17" s="708" t="s">
        <v>21</v>
      </c>
      <c r="U17" s="709">
        <f>H17</f>
        <v>100</v>
      </c>
      <c r="V17" s="708" t="s">
        <v>21</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99"/>
      <c r="Q18" s="1291"/>
      <c r="R18" s="708"/>
      <c r="S18" s="709"/>
      <c r="T18" s="708"/>
      <c r="U18" s="709"/>
      <c r="V18" s="708"/>
      <c r="W18" s="709"/>
      <c r="X18" s="1294"/>
      <c r="Y18" s="3592"/>
      <c r="Z18" s="1295"/>
      <c r="AA18" s="1292">
        <v>1</v>
      </c>
      <c r="AB18" s="1292">
        <v>1</v>
      </c>
      <c r="AC18" s="1292">
        <v>1</v>
      </c>
    </row>
    <row r="19" spans="1:29" ht="41.4">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99"/>
      <c r="Q19" s="1291" t="str">
        <f>B19</f>
        <v>公共配套设施</v>
      </c>
      <c r="R19" s="708" t="s">
        <v>21</v>
      </c>
      <c r="S19" s="709">
        <f>F19</f>
        <v>100</v>
      </c>
      <c r="T19" s="708" t="s">
        <v>21</v>
      </c>
      <c r="U19" s="709">
        <f>H19</f>
        <v>100</v>
      </c>
      <c r="V19" s="708" t="s">
        <v>21</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99"/>
      <c r="Q20" s="1291"/>
      <c r="R20" s="708"/>
      <c r="S20" s="709"/>
      <c r="T20" s="708"/>
      <c r="U20" s="709"/>
      <c r="V20" s="708"/>
      <c r="W20" s="709"/>
      <c r="X20" s="1294"/>
      <c r="Y20" s="3592"/>
      <c r="Z20" s="1295"/>
      <c r="AA20" s="1292">
        <v>1</v>
      </c>
      <c r="AB20" s="1292">
        <v>1</v>
      </c>
      <c r="AC20" s="1292">
        <v>1</v>
      </c>
    </row>
    <row r="21" spans="1:29" ht="27.6">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99"/>
      <c r="Q22" s="1291"/>
      <c r="R22" s="708"/>
      <c r="S22" s="709"/>
      <c r="T22" s="708"/>
      <c r="U22" s="709"/>
      <c r="V22" s="708"/>
      <c r="W22" s="709"/>
      <c r="X22" s="1294"/>
      <c r="Y22" s="3592"/>
      <c r="Z22" s="1295"/>
      <c r="AA22" s="1292">
        <v>1</v>
      </c>
      <c r="AB22" s="1292">
        <v>1</v>
      </c>
      <c r="AC22" s="1292">
        <v>1</v>
      </c>
    </row>
    <row r="23" spans="1:29" ht="55.2">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99"/>
      <c r="Q23" s="1291" t="str">
        <f>B23</f>
        <v>自然及人文环境</v>
      </c>
      <c r="R23" s="708" t="s">
        <v>21</v>
      </c>
      <c r="S23" s="709">
        <f>F23</f>
        <v>100</v>
      </c>
      <c r="T23" s="708" t="s">
        <v>21</v>
      </c>
      <c r="U23" s="709">
        <f>H23</f>
        <v>100</v>
      </c>
      <c r="V23" s="708" t="s">
        <v>21</v>
      </c>
      <c r="W23" s="709">
        <f>J23</f>
        <v>100</v>
      </c>
      <c r="X23" s="1294"/>
      <c r="Y23" s="359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9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99"/>
      <c r="Q26" s="1291" t="str">
        <f t="shared" si="11"/>
        <v>朝向</v>
      </c>
      <c r="R26" s="708" t="s">
        <v>21</v>
      </c>
      <c r="S26" s="709">
        <f t="shared" si="12"/>
        <v>100</v>
      </c>
      <c r="T26" s="708" t="s">
        <v>21</v>
      </c>
      <c r="U26" s="709">
        <f t="shared" si="13"/>
        <v>100</v>
      </c>
      <c r="V26" s="708" t="s">
        <v>21</v>
      </c>
      <c r="W26" s="709">
        <f t="shared" si="14"/>
        <v>100</v>
      </c>
      <c r="X26" s="1294"/>
      <c r="Y26" s="359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99"/>
      <c r="Q27" s="1284">
        <f t="shared" si="11"/>
        <v>111</v>
      </c>
      <c r="R27" s="704" t="s">
        <v>21</v>
      </c>
      <c r="S27" s="705">
        <f t="shared" si="12"/>
        <v>100</v>
      </c>
      <c r="T27" s="704" t="s">
        <v>21</v>
      </c>
      <c r="U27" s="705">
        <f t="shared" si="13"/>
        <v>100</v>
      </c>
      <c r="V27" s="704" t="s">
        <v>21</v>
      </c>
      <c r="W27" s="705">
        <f t="shared" si="14"/>
        <v>100</v>
      </c>
      <c r="X27" s="706"/>
      <c r="Y27" s="359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99"/>
      <c r="Q28" s="1291">
        <f t="shared" si="11"/>
        <v>111</v>
      </c>
      <c r="R28" s="708" t="s">
        <v>21</v>
      </c>
      <c r="S28" s="709">
        <f t="shared" si="12"/>
        <v>100</v>
      </c>
      <c r="T28" s="708" t="s">
        <v>21</v>
      </c>
      <c r="U28" s="709">
        <f t="shared" si="13"/>
        <v>100</v>
      </c>
      <c r="V28" s="708" t="s">
        <v>21</v>
      </c>
      <c r="W28" s="709">
        <f t="shared" si="14"/>
        <v>100</v>
      </c>
      <c r="X28" s="1294"/>
      <c r="Y28" s="359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99"/>
      <c r="Q29" s="1291">
        <f t="shared" si="11"/>
        <v>111</v>
      </c>
      <c r="R29" s="708" t="s">
        <v>21</v>
      </c>
      <c r="S29" s="709">
        <f t="shared" si="12"/>
        <v>100</v>
      </c>
      <c r="T29" s="708" t="s">
        <v>21</v>
      </c>
      <c r="U29" s="709">
        <f t="shared" si="13"/>
        <v>100</v>
      </c>
      <c r="V29" s="708" t="s">
        <v>21</v>
      </c>
      <c r="W29" s="709">
        <f t="shared" si="14"/>
        <v>100</v>
      </c>
      <c r="X29" s="1294"/>
      <c r="Y29" s="359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99"/>
      <c r="Q30" s="1291">
        <f t="shared" si="11"/>
        <v>111</v>
      </c>
      <c r="R30" s="708" t="s">
        <v>21</v>
      </c>
      <c r="S30" s="709">
        <f t="shared" si="12"/>
        <v>100</v>
      </c>
      <c r="T30" s="708" t="s">
        <v>21</v>
      </c>
      <c r="U30" s="709">
        <f t="shared" si="13"/>
        <v>100</v>
      </c>
      <c r="V30" s="708" t="s">
        <v>21</v>
      </c>
      <c r="W30" s="709">
        <f t="shared" si="14"/>
        <v>100</v>
      </c>
      <c r="X30" s="1294"/>
      <c r="Y30" s="3592"/>
      <c r="Z30" s="1295">
        <f t="shared" si="18"/>
        <v>111</v>
      </c>
      <c r="AA30" s="1292">
        <f t="shared" si="15"/>
        <v>1</v>
      </c>
      <c r="AB30" s="1292">
        <f t="shared" si="16"/>
        <v>1</v>
      </c>
      <c r="AC30" s="1292">
        <f t="shared" si="17"/>
        <v>1</v>
      </c>
    </row>
    <row r="31" spans="1:29" ht="15.6"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99"/>
      <c r="Q31" s="1291">
        <f t="shared" si="11"/>
        <v>111</v>
      </c>
      <c r="R31" s="708" t="s">
        <v>21</v>
      </c>
      <c r="S31" s="709">
        <f t="shared" si="12"/>
        <v>100</v>
      </c>
      <c r="T31" s="708" t="s">
        <v>21</v>
      </c>
      <c r="U31" s="709">
        <f t="shared" si="13"/>
        <v>100</v>
      </c>
      <c r="V31" s="708" t="s">
        <v>21</v>
      </c>
      <c r="W31" s="709">
        <f t="shared" si="14"/>
        <v>100</v>
      </c>
      <c r="X31" s="1294"/>
      <c r="Y31" s="359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93" t="s">
        <v>1949</v>
      </c>
      <c r="Q32" s="1291" t="str">
        <f t="shared" si="11"/>
        <v>建筑类型</v>
      </c>
      <c r="R32" s="708" t="s">
        <v>21</v>
      </c>
      <c r="S32" s="709">
        <f t="shared" si="12"/>
        <v>100</v>
      </c>
      <c r="T32" s="708" t="s">
        <v>21</v>
      </c>
      <c r="U32" s="709">
        <f t="shared" si="13"/>
        <v>100</v>
      </c>
      <c r="V32" s="708" t="s">
        <v>21</v>
      </c>
      <c r="W32" s="709">
        <f t="shared" si="14"/>
        <v>100</v>
      </c>
      <c r="X32" s="1294"/>
      <c r="Y32" s="359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94"/>
      <c r="Q33" s="710" t="str">
        <f t="shared" si="11"/>
        <v>项目建筑规模</v>
      </c>
      <c r="R33" s="711" t="s">
        <v>21</v>
      </c>
      <c r="S33" s="712" t="e">
        <f t="shared" si="12"/>
        <v>#N/A</v>
      </c>
      <c r="T33" s="711" t="s">
        <v>21</v>
      </c>
      <c r="U33" s="712" t="e">
        <f t="shared" si="13"/>
        <v>#N/A</v>
      </c>
      <c r="V33" s="711" t="s">
        <v>21</v>
      </c>
      <c r="W33" s="712" t="e">
        <f t="shared" si="14"/>
        <v>#N/A</v>
      </c>
      <c r="X33" s="713"/>
      <c r="Y33" s="359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94"/>
      <c r="Q34" s="1291" t="str">
        <f t="shared" si="11"/>
        <v>建筑结构</v>
      </c>
      <c r="R34" s="708" t="s">
        <v>21</v>
      </c>
      <c r="S34" s="709">
        <f t="shared" si="12"/>
        <v>100</v>
      </c>
      <c r="T34" s="708" t="s">
        <v>21</v>
      </c>
      <c r="U34" s="709">
        <f t="shared" si="13"/>
        <v>100</v>
      </c>
      <c r="V34" s="708" t="s">
        <v>21</v>
      </c>
      <c r="W34" s="709">
        <f t="shared" si="14"/>
        <v>100</v>
      </c>
      <c r="X34" s="1294"/>
      <c r="Y34" s="359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94"/>
      <c r="Q35" s="1291" t="str">
        <f t="shared" si="11"/>
        <v>建筑品质</v>
      </c>
      <c r="R35" s="708" t="s">
        <v>21</v>
      </c>
      <c r="S35" s="709">
        <f t="shared" si="12"/>
        <v>100</v>
      </c>
      <c r="T35" s="708" t="s">
        <v>21</v>
      </c>
      <c r="U35" s="709">
        <f t="shared" si="13"/>
        <v>100</v>
      </c>
      <c r="V35" s="708" t="s">
        <v>21</v>
      </c>
      <c r="W35" s="709">
        <f t="shared" si="14"/>
        <v>100</v>
      </c>
      <c r="X35" s="1294"/>
      <c r="Y35" s="359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94"/>
      <c r="Q36" s="1291" t="str">
        <f t="shared" si="11"/>
        <v>公共部分装修</v>
      </c>
      <c r="R36" s="708" t="s">
        <v>21</v>
      </c>
      <c r="S36" s="709">
        <f t="shared" si="12"/>
        <v>100</v>
      </c>
      <c r="T36" s="708" t="s">
        <v>21</v>
      </c>
      <c r="U36" s="709">
        <f t="shared" si="13"/>
        <v>100</v>
      </c>
      <c r="V36" s="708" t="s">
        <v>21</v>
      </c>
      <c r="W36" s="709">
        <f t="shared" si="14"/>
        <v>100</v>
      </c>
      <c r="X36" s="1294"/>
      <c r="Y36" s="359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94"/>
      <c r="Q37" s="1284" t="str">
        <f t="shared" si="11"/>
        <v>成新度</v>
      </c>
      <c r="R37" s="704" t="s">
        <v>21</v>
      </c>
      <c r="S37" s="705" t="e">
        <f t="shared" si="12"/>
        <v>#N/A</v>
      </c>
      <c r="T37" s="704" t="s">
        <v>21</v>
      </c>
      <c r="U37" s="705" t="e">
        <f t="shared" si="13"/>
        <v>#N/A</v>
      </c>
      <c r="V37" s="704" t="s">
        <v>21</v>
      </c>
      <c r="W37" s="705" t="e">
        <f t="shared" si="14"/>
        <v>#N/A</v>
      </c>
      <c r="X37" s="706"/>
      <c r="Y37" s="359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94" t="s">
        <v>1949</v>
      </c>
      <c r="Q38" s="1291" t="str">
        <f t="shared" si="11"/>
        <v>物业管理</v>
      </c>
      <c r="R38" s="708" t="s">
        <v>21</v>
      </c>
      <c r="S38" s="709">
        <f t="shared" si="12"/>
        <v>100</v>
      </c>
      <c r="T38" s="708" t="s">
        <v>21</v>
      </c>
      <c r="U38" s="709">
        <f t="shared" si="13"/>
        <v>100</v>
      </c>
      <c r="V38" s="708" t="s">
        <v>21</v>
      </c>
      <c r="W38" s="709">
        <f t="shared" si="14"/>
        <v>100</v>
      </c>
      <c r="X38" s="1294"/>
      <c r="Y38" s="359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94"/>
      <c r="Q39" s="1291" t="str">
        <f t="shared" si="11"/>
        <v>市政基础设施</v>
      </c>
      <c r="R39" s="708" t="s">
        <v>21</v>
      </c>
      <c r="S39" s="709">
        <f t="shared" si="12"/>
        <v>100</v>
      </c>
      <c r="T39" s="708" t="s">
        <v>21</v>
      </c>
      <c r="U39" s="709">
        <f t="shared" si="13"/>
        <v>100</v>
      </c>
      <c r="V39" s="708" t="s">
        <v>21</v>
      </c>
      <c r="W39" s="709">
        <f t="shared" si="14"/>
        <v>100</v>
      </c>
      <c r="X39" s="1294"/>
      <c r="Y39" s="359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94"/>
      <c r="Q40" s="1291" t="str">
        <f t="shared" si="11"/>
        <v>房型</v>
      </c>
      <c r="R40" s="708" t="s">
        <v>21</v>
      </c>
      <c r="S40" s="709">
        <f t="shared" si="12"/>
        <v>100</v>
      </c>
      <c r="T40" s="708" t="s">
        <v>21</v>
      </c>
      <c r="U40" s="709">
        <f t="shared" si="13"/>
        <v>100</v>
      </c>
      <c r="V40" s="708" t="s">
        <v>21</v>
      </c>
      <c r="W40" s="709">
        <f t="shared" si="14"/>
        <v>100</v>
      </c>
      <c r="X40" s="1294"/>
      <c r="Y40" s="3596"/>
      <c r="Z40" s="1295" t="str">
        <f t="shared" si="18"/>
        <v>房型</v>
      </c>
      <c r="AA40" s="1292">
        <f t="shared" si="15"/>
        <v>1</v>
      </c>
      <c r="AB40" s="1292">
        <f t="shared" si="16"/>
        <v>1</v>
      </c>
      <c r="AC40" s="1292">
        <f t="shared" si="17"/>
        <v>1</v>
      </c>
    </row>
    <row r="41" spans="1:29" s="425" customFormat="1" ht="28.8">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94"/>
      <c r="Q41" s="710" t="str">
        <f t="shared" si="11"/>
        <v>单套/主力户型建筑面积</v>
      </c>
      <c r="R41" s="711" t="s">
        <v>21</v>
      </c>
      <c r="S41" s="712">
        <f t="shared" si="12"/>
        <v>100</v>
      </c>
      <c r="T41" s="711" t="s">
        <v>21</v>
      </c>
      <c r="U41" s="712">
        <f t="shared" si="13"/>
        <v>100</v>
      </c>
      <c r="V41" s="711" t="s">
        <v>21</v>
      </c>
      <c r="W41" s="712">
        <f t="shared" si="14"/>
        <v>100</v>
      </c>
      <c r="X41" s="713"/>
      <c r="Y41" s="359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94"/>
      <c r="Q42" s="1291" t="str">
        <f t="shared" si="11"/>
        <v>内部装修</v>
      </c>
      <c r="R42" s="708" t="s">
        <v>21</v>
      </c>
      <c r="S42" s="709">
        <f t="shared" si="12"/>
        <v>100</v>
      </c>
      <c r="T42" s="708" t="s">
        <v>21</v>
      </c>
      <c r="U42" s="709">
        <f t="shared" si="13"/>
        <v>100</v>
      </c>
      <c r="V42" s="708" t="s">
        <v>21</v>
      </c>
      <c r="W42" s="709">
        <f t="shared" si="14"/>
        <v>100</v>
      </c>
      <c r="X42" s="1294"/>
      <c r="Y42" s="3596"/>
      <c r="Z42" s="1295" t="str">
        <f t="shared" si="18"/>
        <v>内部装修</v>
      </c>
      <c r="AA42" s="1292">
        <f t="shared" si="15"/>
        <v>1</v>
      </c>
      <c r="AB42" s="1292">
        <f t="shared" si="16"/>
        <v>1</v>
      </c>
      <c r="AC42" s="1292">
        <f t="shared" si="17"/>
        <v>1</v>
      </c>
    </row>
    <row r="43" spans="1:29" ht="28.8">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94"/>
      <c r="Q43" s="1291" t="str">
        <f t="shared" si="11"/>
        <v>内部装修维护情况</v>
      </c>
      <c r="R43" s="708" t="s">
        <v>21</v>
      </c>
      <c r="S43" s="709">
        <f t="shared" si="12"/>
        <v>100</v>
      </c>
      <c r="T43" s="708" t="s">
        <v>21</v>
      </c>
      <c r="U43" s="709">
        <f t="shared" si="13"/>
        <v>100</v>
      </c>
      <c r="V43" s="708" t="s">
        <v>21</v>
      </c>
      <c r="W43" s="709">
        <f t="shared" si="14"/>
        <v>100</v>
      </c>
      <c r="X43" s="1294"/>
      <c r="Y43" s="359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94"/>
      <c r="Q44" s="1284">
        <f t="shared" si="11"/>
        <v>111</v>
      </c>
      <c r="R44" s="704" t="s">
        <v>21</v>
      </c>
      <c r="S44" s="705">
        <f t="shared" si="12"/>
        <v>100</v>
      </c>
      <c r="T44" s="704" t="s">
        <v>21</v>
      </c>
      <c r="U44" s="705">
        <f t="shared" si="13"/>
        <v>100</v>
      </c>
      <c r="V44" s="704" t="s">
        <v>21</v>
      </c>
      <c r="W44" s="705">
        <f t="shared" si="14"/>
        <v>100</v>
      </c>
      <c r="X44" s="706"/>
      <c r="Y44" s="359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94"/>
      <c r="Q45" s="1291">
        <f t="shared" si="11"/>
        <v>111</v>
      </c>
      <c r="R45" s="708" t="s">
        <v>21</v>
      </c>
      <c r="S45" s="709">
        <f t="shared" si="12"/>
        <v>100</v>
      </c>
      <c r="T45" s="708" t="s">
        <v>21</v>
      </c>
      <c r="U45" s="709">
        <f t="shared" si="13"/>
        <v>100</v>
      </c>
      <c r="V45" s="708" t="s">
        <v>21</v>
      </c>
      <c r="W45" s="709">
        <f t="shared" si="14"/>
        <v>100</v>
      </c>
      <c r="X45" s="1294"/>
      <c r="Y45" s="3596"/>
      <c r="Z45" s="1295">
        <f t="shared" si="18"/>
        <v>111</v>
      </c>
      <c r="AA45" s="1292">
        <f t="shared" si="15"/>
        <v>1</v>
      </c>
      <c r="AB45" s="1292">
        <f t="shared" si="16"/>
        <v>1</v>
      </c>
      <c r="AC45" s="1292">
        <f t="shared" si="17"/>
        <v>1</v>
      </c>
    </row>
    <row r="46" spans="1:29" ht="15.6"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95"/>
      <c r="Q46" s="1291">
        <f t="shared" si="11"/>
        <v>111</v>
      </c>
      <c r="R46" s="708" t="s">
        <v>20</v>
      </c>
      <c r="S46" s="709">
        <f t="shared" si="12"/>
        <v>100</v>
      </c>
      <c r="T46" s="708" t="s">
        <v>20</v>
      </c>
      <c r="U46" s="709">
        <f t="shared" si="13"/>
        <v>100</v>
      </c>
      <c r="V46" s="708" t="s">
        <v>20</v>
      </c>
      <c r="W46" s="709">
        <f t="shared" si="14"/>
        <v>100</v>
      </c>
      <c r="X46" s="1294"/>
      <c r="Y46" s="3597"/>
      <c r="Z46" s="1295">
        <f t="shared" si="18"/>
        <v>111</v>
      </c>
      <c r="AA46" s="1292">
        <f t="shared" si="15"/>
        <v>1</v>
      </c>
      <c r="AB46" s="1292">
        <f t="shared" si="16"/>
        <v>1</v>
      </c>
      <c r="AC46" s="1292">
        <f t="shared" si="17"/>
        <v>1</v>
      </c>
    </row>
    <row r="47" spans="1:29" ht="14.4">
      <c r="A47" s="433" t="s">
        <v>1961</v>
      </c>
      <c r="B47" s="434"/>
      <c r="C47" s="1112" t="s">
        <v>19</v>
      </c>
      <c r="D47" s="1113"/>
      <c r="E47" s="1114"/>
      <c r="F47" s="1115"/>
      <c r="G47" s="1116"/>
      <c r="H47" s="1117"/>
      <c r="I47" s="1114"/>
      <c r="J47" s="1117"/>
      <c r="K47" s="1854"/>
      <c r="L47" s="2404"/>
      <c r="M47" s="2405"/>
      <c r="N47" s="2396"/>
      <c r="O47" s="2405"/>
      <c r="P47" s="3589" t="str">
        <f>A47</f>
        <v>成交单价（元/平方米）</v>
      </c>
      <c r="Q47" s="3589"/>
      <c r="R47" s="3590">
        <f>E47</f>
        <v>0</v>
      </c>
      <c r="S47" s="3590"/>
      <c r="T47" s="3590">
        <f>G47</f>
        <v>0</v>
      </c>
      <c r="U47" s="3590"/>
      <c r="V47" s="3590">
        <f>I47</f>
        <v>0</v>
      </c>
      <c r="W47" s="3590"/>
      <c r="X47" s="693"/>
      <c r="Y47" s="715"/>
      <c r="Z47" s="693"/>
      <c r="AA47" s="693"/>
      <c r="AB47" s="693"/>
      <c r="AC47" s="693"/>
    </row>
    <row r="48" spans="1:29" ht="1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 thickBot="1">
      <c r="A49" s="444" t="s">
        <v>1963</v>
      </c>
      <c r="B49" s="445"/>
      <c r="C49" s="1120" t="e">
        <f>R49</f>
        <v>#DIV/0!</v>
      </c>
      <c r="D49" s="1121"/>
      <c r="E49" s="1121"/>
      <c r="F49" s="1121"/>
      <c r="G49" s="1121"/>
      <c r="H49" s="1121"/>
      <c r="I49" s="1121"/>
      <c r="J49" s="1121"/>
      <c r="K49" s="1855"/>
      <c r="L49" s="2404"/>
      <c r="M49" s="2405"/>
      <c r="N49" s="2405"/>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2.2" thickBot="1">
      <c r="A57" s="697" t="s">
        <v>1967</v>
      </c>
      <c r="B57" s="693"/>
      <c r="C57" s="698"/>
      <c r="D57" s="698"/>
      <c r="E57" s="698"/>
      <c r="F57" s="699"/>
      <c r="G57" s="699"/>
      <c r="H57" s="698"/>
      <c r="I57" s="698"/>
      <c r="J57" s="698"/>
      <c r="K57" s="910"/>
      <c r="L57" s="911"/>
      <c r="M57" s="909"/>
      <c r="N57" s="909"/>
      <c r="O57" s="909"/>
      <c r="P57" s="1858"/>
      <c r="Q57" s="456"/>
    </row>
    <row r="58" spans="1:29" s="460" customFormat="1" ht="14.4">
      <c r="A58" s="457" t="s">
        <v>1968</v>
      </c>
      <c r="B58" s="458"/>
      <c r="C58" s="1140" t="str">
        <f>YEAR(C7)&amp;"-"&amp;MONTH(C7)</f>
        <v>2022-5</v>
      </c>
      <c r="D58" s="1139">
        <f>EDATE(C58,-1)</f>
        <v>44652</v>
      </c>
      <c r="E58" s="1139">
        <f>EDATE(D58,-1)</f>
        <v>44621</v>
      </c>
      <c r="F58" s="1139">
        <f t="shared" ref="F58:O58" si="19">EDATE(E58,-1)</f>
        <v>44593</v>
      </c>
      <c r="G58" s="1139">
        <f t="shared" si="19"/>
        <v>44562</v>
      </c>
      <c r="H58" s="1139">
        <f t="shared" si="19"/>
        <v>44531</v>
      </c>
      <c r="I58" s="1139">
        <f t="shared" si="19"/>
        <v>44501</v>
      </c>
      <c r="J58" s="1139">
        <f t="shared" si="19"/>
        <v>44470</v>
      </c>
      <c r="K58" s="1139">
        <f t="shared" si="19"/>
        <v>44440</v>
      </c>
      <c r="L58" s="1139">
        <f t="shared" si="19"/>
        <v>44409</v>
      </c>
      <c r="M58" s="1139">
        <f t="shared" si="19"/>
        <v>44378</v>
      </c>
      <c r="N58" s="1139">
        <f t="shared" si="19"/>
        <v>44348</v>
      </c>
      <c r="O58" s="1139">
        <f t="shared" si="19"/>
        <v>44317</v>
      </c>
      <c r="P58" s="1135"/>
    </row>
    <row r="59" spans="1:29" s="112" customFormat="1">
      <c r="A59" s="461"/>
      <c r="B59" s="1859"/>
      <c r="C59" s="1137">
        <v>100</v>
      </c>
      <c r="D59" s="463"/>
      <c r="E59" s="464"/>
      <c r="F59" s="464"/>
      <c r="G59" s="464"/>
      <c r="H59" s="464"/>
      <c r="I59" s="464"/>
      <c r="J59" s="464"/>
      <c r="K59" s="464"/>
      <c r="L59" s="464"/>
      <c r="M59" s="465"/>
      <c r="N59" s="464"/>
      <c r="O59" s="465"/>
      <c r="P59" s="1860"/>
    </row>
    <row r="60" spans="1:29" s="112" customFormat="1" ht="15" thickBot="1">
      <c r="A60" s="467" t="s">
        <v>1969</v>
      </c>
      <c r="B60" s="468"/>
      <c r="C60" s="469"/>
      <c r="D60" s="470"/>
      <c r="E60" s="470"/>
      <c r="F60" s="470"/>
      <c r="G60" s="470"/>
      <c r="H60" s="470"/>
      <c r="I60" s="470"/>
      <c r="J60" s="470"/>
      <c r="K60" s="470"/>
      <c r="L60" s="470"/>
      <c r="M60" s="471"/>
      <c r="N60" s="470"/>
      <c r="O60" s="471"/>
      <c r="P60" s="1860"/>
      <c r="Q60" s="456"/>
    </row>
    <row r="61" spans="1:29" s="112" customFormat="1" ht="14.4">
      <c r="A61" s="473" t="s">
        <v>1970</v>
      </c>
      <c r="B61" s="462"/>
      <c r="C61" s="474" t="s">
        <v>1971</v>
      </c>
      <c r="D61" s="475"/>
      <c r="E61" s="475"/>
      <c r="F61" s="475"/>
      <c r="G61" s="475"/>
      <c r="H61" s="475"/>
      <c r="I61" s="475"/>
      <c r="J61" s="475"/>
      <c r="K61" s="475"/>
      <c r="L61" s="476"/>
      <c r="M61" s="477"/>
      <c r="N61" s="901"/>
      <c r="O61" s="901"/>
      <c r="P61" s="1861"/>
      <c r="Q61" s="456"/>
    </row>
    <row r="62" spans="1:29" s="112" customFormat="1" ht="14.4" thickBot="1">
      <c r="A62" s="473"/>
      <c r="B62" s="462"/>
      <c r="C62" s="463">
        <v>100</v>
      </c>
      <c r="D62" s="464"/>
      <c r="E62" s="464"/>
      <c r="F62" s="464"/>
      <c r="G62" s="464"/>
      <c r="H62" s="464"/>
      <c r="I62" s="464"/>
      <c r="J62" s="464"/>
      <c r="K62" s="464"/>
      <c r="L62" s="464"/>
      <c r="M62" s="466"/>
      <c r="N62" s="901"/>
      <c r="O62" s="901"/>
      <c r="P62" s="1860"/>
      <c r="Q62" s="456"/>
    </row>
    <row r="63" spans="1:29" ht="14.4">
      <c r="A63" s="479" t="s">
        <v>1972</v>
      </c>
      <c r="B63" s="480" t="s">
        <v>1938</v>
      </c>
      <c r="C63" s="481">
        <f>C9</f>
        <v>0</v>
      </c>
      <c r="D63" s="482"/>
      <c r="E63" s="482"/>
      <c r="F63" s="482"/>
      <c r="G63" s="482"/>
      <c r="H63" s="482"/>
      <c r="I63" s="482"/>
      <c r="J63" s="482"/>
      <c r="K63" s="483"/>
      <c r="L63" s="484"/>
      <c r="M63" s="485"/>
      <c r="N63" s="902"/>
      <c r="O63" s="902"/>
      <c r="P63" s="1862"/>
      <c r="Q63" s="456"/>
    </row>
    <row r="64" spans="1:29" ht="14.4" thickBot="1">
      <c r="A64" s="486"/>
      <c r="B64" s="487"/>
      <c r="C64" s="488">
        <v>100</v>
      </c>
      <c r="D64" s="488"/>
      <c r="E64" s="488"/>
      <c r="F64" s="488"/>
      <c r="G64" s="488"/>
      <c r="H64" s="488"/>
      <c r="I64" s="488"/>
      <c r="J64" s="488"/>
      <c r="K64" s="488"/>
      <c r="L64" s="488"/>
      <c r="M64" s="489"/>
      <c r="N64" s="903"/>
      <c r="O64" s="903"/>
      <c r="P64" s="1862"/>
      <c r="Q64" s="456"/>
    </row>
    <row r="65" spans="1:17" ht="29.4"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4.4"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c r="A68" s="486"/>
      <c r="B68" s="500"/>
      <c r="C68" s="501"/>
      <c r="D68" s="501"/>
      <c r="E68" s="501"/>
      <c r="F68" s="501"/>
      <c r="G68" s="501"/>
      <c r="H68" s="501"/>
      <c r="I68" s="501"/>
      <c r="J68" s="501"/>
      <c r="K68" s="502"/>
      <c r="L68" s="503"/>
      <c r="M68" s="504"/>
      <c r="N68" s="902"/>
      <c r="O68" s="902"/>
      <c r="P68" s="1862"/>
      <c r="Q68" s="456"/>
    </row>
    <row r="69" spans="1:17" ht="14.4"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4.4" thickTop="1">
      <c r="A70" s="505"/>
      <c r="B70" s="490">
        <f>B12</f>
        <v>111</v>
      </c>
      <c r="C70" s="506"/>
      <c r="D70" s="506"/>
      <c r="E70" s="506"/>
      <c r="F70" s="506"/>
      <c r="G70" s="506"/>
      <c r="H70" s="507"/>
      <c r="I70" s="507"/>
      <c r="J70" s="507"/>
      <c r="K70" s="507"/>
      <c r="L70" s="508"/>
      <c r="M70" s="509"/>
      <c r="N70" s="904"/>
      <c r="O70" s="904"/>
      <c r="P70" s="1863"/>
      <c r="Q70" s="511"/>
    </row>
    <row r="71" spans="1:17" s="425" customFormat="1" ht="14.4" thickBot="1">
      <c r="A71" s="505"/>
      <c r="B71" s="495"/>
      <c r="C71" s="512"/>
      <c r="D71" s="488"/>
      <c r="E71" s="488"/>
      <c r="F71" s="488"/>
      <c r="G71" s="488"/>
      <c r="H71" s="488"/>
      <c r="I71" s="488"/>
      <c r="J71" s="488"/>
      <c r="K71" s="488"/>
      <c r="L71" s="488"/>
      <c r="M71" s="489"/>
      <c r="N71" s="903"/>
      <c r="O71" s="903"/>
      <c r="P71" s="1863"/>
      <c r="Q71" s="511"/>
    </row>
    <row r="72" spans="1:17" s="425" customFormat="1" ht="14.4" thickTop="1">
      <c r="A72" s="505"/>
      <c r="B72" s="490">
        <f>B13</f>
        <v>111</v>
      </c>
      <c r="C72" s="506"/>
      <c r="D72" s="506"/>
      <c r="E72" s="506"/>
      <c r="F72" s="506"/>
      <c r="G72" s="506"/>
      <c r="H72" s="507"/>
      <c r="I72" s="507"/>
      <c r="J72" s="507"/>
      <c r="K72" s="507"/>
      <c r="L72" s="508"/>
      <c r="M72" s="509"/>
      <c r="N72" s="904"/>
      <c r="O72" s="904"/>
      <c r="P72" s="1864"/>
      <c r="Q72" s="513"/>
    </row>
    <row r="73" spans="1:17" s="425" customFormat="1" ht="14.4" thickBot="1">
      <c r="A73" s="505"/>
      <c r="B73" s="495"/>
      <c r="C73" s="512"/>
      <c r="D73" s="512"/>
      <c r="E73" s="512"/>
      <c r="F73" s="512"/>
      <c r="G73" s="512"/>
      <c r="H73" s="514"/>
      <c r="I73" s="514"/>
      <c r="J73" s="514"/>
      <c r="K73" s="514"/>
      <c r="L73" s="514"/>
      <c r="M73" s="515"/>
      <c r="N73" s="904"/>
      <c r="O73" s="904"/>
      <c r="P73" s="1863"/>
      <c r="Q73" s="511"/>
    </row>
    <row r="74" spans="1:17" s="425" customFormat="1" ht="14.4" thickTop="1">
      <c r="A74" s="505"/>
      <c r="B74" s="498">
        <f>B14</f>
        <v>111</v>
      </c>
      <c r="C74" s="506"/>
      <c r="D74" s="506"/>
      <c r="E74" s="506"/>
      <c r="F74" s="506"/>
      <c r="G74" s="475"/>
      <c r="H74" s="516"/>
      <c r="I74" s="516"/>
      <c r="J74" s="516"/>
      <c r="K74" s="516"/>
      <c r="L74" s="517"/>
      <c r="M74" s="518"/>
      <c r="N74" s="904"/>
      <c r="O74" s="904"/>
      <c r="P74" s="1865"/>
      <c r="Q74" s="511"/>
    </row>
    <row r="75" spans="1:17" s="425" customFormat="1" ht="14.4" thickBot="1">
      <c r="A75" s="520"/>
      <c r="B75" s="521"/>
      <c r="C75" s="522"/>
      <c r="D75" s="522"/>
      <c r="E75" s="522"/>
      <c r="F75" s="522"/>
      <c r="G75" s="522"/>
      <c r="H75" s="523"/>
      <c r="I75" s="523"/>
      <c r="J75" s="523"/>
      <c r="K75" s="523"/>
      <c r="L75" s="523"/>
      <c r="M75" s="524"/>
      <c r="N75" s="904"/>
      <c r="O75" s="904"/>
      <c r="P75" s="1863"/>
      <c r="Q75" s="511"/>
    </row>
    <row r="76" spans="1:17" ht="14.4">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4.4"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4.4"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4.4"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4.4"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4.4"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 thickTop="1">
      <c r="A86" s="531"/>
      <c r="B86" s="490" t="s">
        <v>1994</v>
      </c>
      <c r="C86" s="506"/>
      <c r="D86" s="506"/>
      <c r="E86" s="506"/>
      <c r="F86" s="506"/>
      <c r="G86" s="506"/>
      <c r="H86" s="506"/>
      <c r="I86" s="506"/>
      <c r="J86" s="506"/>
      <c r="K86" s="506"/>
      <c r="L86" s="532"/>
      <c r="M86" s="533"/>
      <c r="N86" s="901"/>
      <c r="O86" s="901"/>
      <c r="P86" s="1862"/>
      <c r="Q86" s="456"/>
    </row>
    <row r="87" spans="1:17" s="112" customFormat="1" ht="14.4"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 thickTop="1">
      <c r="A88" s="531"/>
      <c r="B88" s="490" t="s">
        <v>1995</v>
      </c>
      <c r="C88" s="506"/>
      <c r="D88" s="506"/>
      <c r="E88" s="506"/>
      <c r="F88" s="1867"/>
      <c r="G88" s="506"/>
      <c r="H88" s="506"/>
      <c r="I88" s="506"/>
      <c r="J88" s="506"/>
      <c r="K88" s="506"/>
      <c r="L88" s="506"/>
      <c r="M88" s="533"/>
      <c r="N88" s="901"/>
      <c r="O88" s="901"/>
      <c r="P88" s="1862"/>
      <c r="Q88" s="456"/>
    </row>
    <row r="89" spans="1:17" s="112" customFormat="1" ht="14.4"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4.4" thickTop="1">
      <c r="A90" s="505"/>
      <c r="B90" s="490">
        <f>B27</f>
        <v>111</v>
      </c>
      <c r="C90" s="506"/>
      <c r="D90" s="506"/>
      <c r="E90" s="506"/>
      <c r="F90" s="506"/>
      <c r="G90" s="506"/>
      <c r="H90" s="507"/>
      <c r="I90" s="507"/>
      <c r="J90" s="507"/>
      <c r="K90" s="507"/>
      <c r="L90" s="508"/>
      <c r="M90" s="509"/>
      <c r="N90" s="904"/>
      <c r="O90" s="904"/>
      <c r="P90" s="1863"/>
      <c r="Q90" s="511"/>
    </row>
    <row r="91" spans="1:17" s="425" customFormat="1" ht="14.4" thickBot="1">
      <c r="A91" s="505"/>
      <c r="B91" s="495"/>
      <c r="C91" s="512"/>
      <c r="D91" s="512"/>
      <c r="E91" s="512"/>
      <c r="F91" s="512"/>
      <c r="G91" s="512"/>
      <c r="H91" s="514"/>
      <c r="I91" s="514"/>
      <c r="J91" s="514"/>
      <c r="K91" s="514"/>
      <c r="L91" s="514"/>
      <c r="M91" s="515"/>
      <c r="N91" s="904"/>
      <c r="O91" s="904"/>
      <c r="P91" s="1863"/>
      <c r="Q91" s="511"/>
    </row>
    <row r="92" spans="1:17" ht="14.4" thickTop="1">
      <c r="A92" s="486"/>
      <c r="B92" s="490">
        <f>B28</f>
        <v>111</v>
      </c>
      <c r="C92" s="506"/>
      <c r="D92" s="506"/>
      <c r="E92" s="506"/>
      <c r="F92" s="506"/>
      <c r="G92" s="535"/>
      <c r="H92" s="535"/>
      <c r="I92" s="535"/>
      <c r="J92" s="535"/>
      <c r="K92" s="536"/>
      <c r="L92" s="537"/>
      <c r="M92" s="538"/>
      <c r="N92" s="902"/>
      <c r="O92" s="902"/>
      <c r="P92" s="1862"/>
      <c r="Q92" s="456"/>
    </row>
    <row r="93" spans="1:17" ht="14.4" thickBot="1">
      <c r="A93" s="486"/>
      <c r="B93" s="495"/>
      <c r="C93" s="512"/>
      <c r="D93" s="488"/>
      <c r="E93" s="488"/>
      <c r="F93" s="488"/>
      <c r="G93" s="488"/>
      <c r="H93" s="488"/>
      <c r="I93" s="488"/>
      <c r="J93" s="488"/>
      <c r="K93" s="488"/>
      <c r="L93" s="488"/>
      <c r="M93" s="489"/>
      <c r="N93" s="903"/>
      <c r="O93" s="903"/>
      <c r="P93" s="1862"/>
      <c r="Q93" s="456"/>
    </row>
    <row r="94" spans="1:17" ht="14.4" thickTop="1">
      <c r="A94" s="486"/>
      <c r="B94" s="490">
        <f>B29</f>
        <v>111</v>
      </c>
      <c r="C94" s="506"/>
      <c r="D94" s="506"/>
      <c r="E94" s="506"/>
      <c r="F94" s="506"/>
      <c r="G94" s="535"/>
      <c r="H94" s="535"/>
      <c r="I94" s="535"/>
      <c r="J94" s="535"/>
      <c r="K94" s="536"/>
      <c r="L94" s="537"/>
      <c r="M94" s="538"/>
      <c r="N94" s="902"/>
      <c r="O94" s="902"/>
      <c r="P94" s="1862"/>
      <c r="Q94" s="456"/>
    </row>
    <row r="95" spans="1:17" ht="14.4" thickBot="1">
      <c r="A95" s="486"/>
      <c r="B95" s="495"/>
      <c r="C95" s="512"/>
      <c r="D95" s="512"/>
      <c r="E95" s="512"/>
      <c r="F95" s="512"/>
      <c r="G95" s="488"/>
      <c r="H95" s="488"/>
      <c r="I95" s="488"/>
      <c r="J95" s="488"/>
      <c r="K95" s="488"/>
      <c r="L95" s="488"/>
      <c r="M95" s="489"/>
      <c r="N95" s="903"/>
      <c r="O95" s="903"/>
      <c r="P95" s="1862"/>
      <c r="Q95" s="456"/>
    </row>
    <row r="96" spans="1:17" ht="14.4" thickTop="1">
      <c r="A96" s="486"/>
      <c r="B96" s="490">
        <f>B30</f>
        <v>111</v>
      </c>
      <c r="C96" s="506"/>
      <c r="D96" s="506"/>
      <c r="E96" s="506"/>
      <c r="F96" s="506"/>
      <c r="G96" s="535"/>
      <c r="H96" s="535"/>
      <c r="I96" s="535"/>
      <c r="J96" s="535"/>
      <c r="K96" s="536"/>
      <c r="L96" s="537"/>
      <c r="M96" s="538"/>
      <c r="N96" s="902"/>
      <c r="O96" s="902"/>
      <c r="P96" s="1862"/>
      <c r="Q96" s="456"/>
    </row>
    <row r="97" spans="1:17" ht="14.4" thickBot="1">
      <c r="A97" s="486"/>
      <c r="B97" s="495"/>
      <c r="C97" s="522"/>
      <c r="D97" s="522"/>
      <c r="E97" s="522"/>
      <c r="F97" s="522"/>
      <c r="G97" s="488"/>
      <c r="H97" s="488"/>
      <c r="I97" s="488"/>
      <c r="J97" s="488"/>
      <c r="K97" s="488"/>
      <c r="L97" s="488"/>
      <c r="M97" s="489"/>
      <c r="N97" s="903"/>
      <c r="O97" s="903"/>
      <c r="P97" s="1862"/>
      <c r="Q97" s="456"/>
    </row>
    <row r="98" spans="1:17" ht="14.4" thickTop="1">
      <c r="A98" s="486"/>
      <c r="B98" s="498">
        <f>B31</f>
        <v>111</v>
      </c>
      <c r="C98" s="539"/>
      <c r="D98" s="539"/>
      <c r="E98" s="539"/>
      <c r="F98" s="539"/>
      <c r="G98" s="539"/>
      <c r="H98" s="539"/>
      <c r="I98" s="539"/>
      <c r="J98" s="539"/>
      <c r="K98" s="540"/>
      <c r="L98" s="541"/>
      <c r="M98" s="542"/>
      <c r="N98" s="902"/>
      <c r="O98" s="902"/>
      <c r="P98" s="1862"/>
      <c r="Q98" s="456"/>
    </row>
    <row r="99" spans="1:17" ht="14.4" thickBot="1">
      <c r="A99" s="1868"/>
      <c r="B99" s="521"/>
      <c r="C99" s="543"/>
      <c r="D99" s="543"/>
      <c r="E99" s="543"/>
      <c r="F99" s="543"/>
      <c r="G99" s="543"/>
      <c r="H99" s="543"/>
      <c r="I99" s="543"/>
      <c r="J99" s="543"/>
      <c r="K99" s="543"/>
      <c r="L99" s="543"/>
      <c r="M99" s="544"/>
      <c r="N99" s="903"/>
      <c r="O99" s="903"/>
      <c r="P99" s="1862"/>
      <c r="Q99" s="456"/>
    </row>
    <row r="100" spans="1:17" ht="14.4">
      <c r="A100" s="479" t="s">
        <v>1947</v>
      </c>
      <c r="B100" s="480" t="s">
        <v>1996</v>
      </c>
      <c r="C100" s="482"/>
      <c r="D100" s="482"/>
      <c r="E100" s="482"/>
      <c r="F100" s="482"/>
      <c r="G100" s="482"/>
      <c r="H100" s="482"/>
      <c r="I100" s="482"/>
      <c r="J100" s="482"/>
      <c r="K100" s="483"/>
      <c r="L100" s="484"/>
      <c r="M100" s="485"/>
      <c r="N100" s="902"/>
      <c r="O100" s="902"/>
      <c r="P100" s="1862"/>
      <c r="Q100" s="456"/>
    </row>
    <row r="101" spans="1:17" ht="14.4"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4.4"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4.4"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4.4"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4.4"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4.4"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4.4"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4.4"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4.4"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9.4"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4.4"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4.4"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29.4"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4.4"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4.4"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4.4" thickBot="1">
      <c r="A127" s="505"/>
      <c r="B127" s="495"/>
      <c r="C127" s="512"/>
      <c r="D127" s="488"/>
      <c r="E127" s="488"/>
      <c r="F127" s="488"/>
      <c r="G127" s="512"/>
      <c r="H127" s="514"/>
      <c r="I127" s="514"/>
      <c r="J127" s="514"/>
      <c r="K127" s="514"/>
      <c r="L127" s="514"/>
      <c r="M127" s="515"/>
      <c r="N127" s="904"/>
      <c r="O127" s="904"/>
      <c r="P127" s="1863"/>
      <c r="Q127" s="511"/>
    </row>
    <row r="128" spans="1:17" ht="14.4" thickTop="1">
      <c r="A128" s="551"/>
      <c r="B128" s="490">
        <f>B45</f>
        <v>111</v>
      </c>
      <c r="C128" s="506"/>
      <c r="D128" s="506"/>
      <c r="E128" s="506"/>
      <c r="F128" s="506"/>
      <c r="G128" s="535"/>
      <c r="H128" s="535"/>
      <c r="I128" s="535"/>
      <c r="J128" s="535"/>
      <c r="K128" s="536"/>
      <c r="L128" s="537"/>
      <c r="M128" s="538"/>
      <c r="N128" s="902"/>
      <c r="O128" s="902"/>
      <c r="P128" s="1862"/>
      <c r="Q128" s="456"/>
    </row>
    <row r="129" spans="1:17" ht="14.4" thickBot="1">
      <c r="A129" s="486"/>
      <c r="B129" s="495"/>
      <c r="C129" s="512"/>
      <c r="D129" s="512"/>
      <c r="E129" s="512"/>
      <c r="F129" s="512"/>
      <c r="G129" s="488"/>
      <c r="H129" s="488"/>
      <c r="I129" s="488"/>
      <c r="J129" s="488"/>
      <c r="K129" s="488"/>
      <c r="L129" s="488"/>
      <c r="M129" s="489"/>
      <c r="N129" s="903"/>
      <c r="O129" s="903"/>
      <c r="P129" s="1862"/>
      <c r="Q129" s="456"/>
    </row>
    <row r="130" spans="1:17" ht="14.4" thickTop="1">
      <c r="A130" s="551"/>
      <c r="B130" s="498">
        <f>B46</f>
        <v>111</v>
      </c>
      <c r="C130" s="506"/>
      <c r="D130" s="506"/>
      <c r="E130" s="506"/>
      <c r="F130" s="506"/>
      <c r="G130" s="539"/>
      <c r="H130" s="539"/>
      <c r="I130" s="539"/>
      <c r="J130" s="539"/>
      <c r="K130" s="475"/>
      <c r="L130" s="476"/>
      <c r="M130" s="542"/>
      <c r="N130" s="902"/>
      <c r="O130" s="902"/>
      <c r="P130" s="1862"/>
      <c r="Q130" s="456"/>
    </row>
    <row r="131" spans="1:17" ht="14.4"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6.2"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ht="14.4">
      <c r="B147" s="1869" t="s">
        <v>2024</v>
      </c>
    </row>
    <row r="148" spans="2:11" ht="14.4">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58" customWidth="1"/>
    <col min="2" max="2" width="15.77734375" style="358" customWidth="1"/>
    <col min="3" max="3" width="15.10937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1856"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4.4">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84" t="s">
        <v>2032</v>
      </c>
      <c r="AC4" s="3554" t="s">
        <v>2033</v>
      </c>
    </row>
    <row r="5" spans="1:29">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84"/>
      <c r="AC5" s="3555"/>
    </row>
    <row r="6" spans="1:29" ht="1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84"/>
      <c r="AC6" s="3556"/>
    </row>
    <row r="7" spans="1:29" s="112" customFormat="1" ht="15" thickBot="1">
      <c r="A7" s="363" t="s">
        <v>1932</v>
      </c>
      <c r="B7" s="364"/>
      <c r="C7" s="365">
        <f>'数据-取费表'!B2</f>
        <v>44697</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6" si="3">D8/F8</f>
        <v>#DIV/0!</v>
      </c>
      <c r="AB8" s="707" t="e">
        <f t="shared" ref="AB8:AB46" si="4">D8/H8</f>
        <v>#DIV/0!</v>
      </c>
      <c r="AC8" s="707" t="e">
        <f t="shared" ref="AC8:AC46" si="5">D8/J8</f>
        <v>#DIV/0!</v>
      </c>
    </row>
    <row r="9" spans="1:29" s="112" customFormat="1" ht="14.4">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8.8">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6"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69">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98" t="s">
        <v>1944</v>
      </c>
      <c r="Q15" s="1291" t="str">
        <f t="shared" si="6"/>
        <v>商业繁华度</v>
      </c>
      <c r="R15" s="708" t="s">
        <v>17</v>
      </c>
      <c r="S15" s="709">
        <f t="shared" si="0"/>
        <v>100</v>
      </c>
      <c r="T15" s="708" t="s">
        <v>17</v>
      </c>
      <c r="U15" s="709">
        <f t="shared" si="1"/>
        <v>100</v>
      </c>
      <c r="V15" s="708" t="s">
        <v>17</v>
      </c>
      <c r="W15" s="709">
        <f t="shared" si="2"/>
        <v>100</v>
      </c>
      <c r="X15" s="1294"/>
      <c r="Y15" s="359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292">
        <v>1</v>
      </c>
    </row>
    <row r="17" spans="1:29" ht="82.8">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292">
        <v>1</v>
      </c>
    </row>
    <row r="19" spans="1:29" ht="41.4">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292">
        <v>1</v>
      </c>
    </row>
    <row r="21" spans="1:29" ht="27.6">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99"/>
      <c r="Q22" s="1291"/>
      <c r="R22" s="708"/>
      <c r="S22" s="709"/>
      <c r="T22" s="708"/>
      <c r="U22" s="709"/>
      <c r="V22" s="708"/>
      <c r="W22" s="709"/>
      <c r="X22" s="1294"/>
      <c r="Y22" s="3592"/>
      <c r="Z22" s="1295"/>
      <c r="AA22" s="1292">
        <v>1</v>
      </c>
      <c r="AB22" s="1292">
        <v>1</v>
      </c>
      <c r="AC22" s="1292">
        <v>1</v>
      </c>
    </row>
    <row r="23" spans="1:29" ht="55.2">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99"/>
      <c r="Q23" s="1291" t="str">
        <f>B23</f>
        <v>自然及人文环境</v>
      </c>
      <c r="R23" s="708" t="s">
        <v>17</v>
      </c>
      <c r="S23" s="709">
        <f>F23</f>
        <v>100</v>
      </c>
      <c r="T23" s="708" t="s">
        <v>17</v>
      </c>
      <c r="U23" s="709">
        <f>H23</f>
        <v>100</v>
      </c>
      <c r="V23" s="708" t="s">
        <v>17</v>
      </c>
      <c r="W23" s="709">
        <f>J23</f>
        <v>100</v>
      </c>
      <c r="X23" s="1294"/>
      <c r="Y23" s="359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99"/>
      <c r="Q25" s="1291" t="str">
        <f t="shared" ref="Q25:Q46" si="11">B25</f>
        <v>临街状况</v>
      </c>
      <c r="R25" s="708" t="s">
        <v>17</v>
      </c>
      <c r="S25" s="709">
        <f>F25</f>
        <v>100</v>
      </c>
      <c r="T25" s="708" t="s">
        <v>17</v>
      </c>
      <c r="U25" s="709">
        <f>H25</f>
        <v>100</v>
      </c>
      <c r="V25" s="708" t="s">
        <v>17</v>
      </c>
      <c r="W25" s="709">
        <f>J25</f>
        <v>100</v>
      </c>
      <c r="X25" s="1294"/>
      <c r="Y25" s="359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99"/>
      <c r="Q26" s="1291" t="str">
        <f t="shared" si="11"/>
        <v>平面位置/可视性</v>
      </c>
      <c r="R26" s="708" t="s">
        <v>17</v>
      </c>
      <c r="S26" s="709">
        <f>F26</f>
        <v>100</v>
      </c>
      <c r="T26" s="708" t="s">
        <v>17</v>
      </c>
      <c r="U26" s="709">
        <f>H26</f>
        <v>100</v>
      </c>
      <c r="V26" s="708" t="s">
        <v>17</v>
      </c>
      <c r="W26" s="709">
        <f>J26</f>
        <v>100</v>
      </c>
      <c r="X26" s="1294"/>
      <c r="Y26" s="359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99"/>
      <c r="Q27" s="1284" t="str">
        <f t="shared" si="11"/>
        <v>人流量</v>
      </c>
      <c r="R27" s="704" t="s">
        <v>17</v>
      </c>
      <c r="S27" s="705">
        <f>F27</f>
        <v>100</v>
      </c>
      <c r="T27" s="704" t="s">
        <v>17</v>
      </c>
      <c r="U27" s="705">
        <f>H27</f>
        <v>100</v>
      </c>
      <c r="V27" s="704" t="s">
        <v>17</v>
      </c>
      <c r="W27" s="705">
        <f>J27</f>
        <v>100</v>
      </c>
      <c r="X27" s="706"/>
      <c r="Y27" s="359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9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99"/>
      <c r="Q29" s="1291">
        <f t="shared" si="11"/>
        <v>111</v>
      </c>
      <c r="R29" s="708" t="s">
        <v>17</v>
      </c>
      <c r="S29" s="709">
        <f t="shared" si="12"/>
        <v>100</v>
      </c>
      <c r="T29" s="708" t="s">
        <v>17</v>
      </c>
      <c r="U29" s="709">
        <f t="shared" si="13"/>
        <v>100</v>
      </c>
      <c r="V29" s="708" t="s">
        <v>17</v>
      </c>
      <c r="W29" s="709">
        <f t="shared" si="14"/>
        <v>100</v>
      </c>
      <c r="X29" s="1294"/>
      <c r="Y29" s="359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292">
        <f t="shared" si="5"/>
        <v>1</v>
      </c>
    </row>
    <row r="31" spans="1:29" ht="15.6"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93" t="s">
        <v>1949</v>
      </c>
      <c r="Q32" s="1291" t="str">
        <f t="shared" si="11"/>
        <v>商业类型</v>
      </c>
      <c r="R32" s="708" t="s">
        <v>17</v>
      </c>
      <c r="S32" s="709">
        <f t="shared" si="12"/>
        <v>100</v>
      </c>
      <c r="T32" s="708" t="s">
        <v>17</v>
      </c>
      <c r="U32" s="709">
        <f t="shared" si="13"/>
        <v>100</v>
      </c>
      <c r="V32" s="708" t="s">
        <v>17</v>
      </c>
      <c r="W32" s="709">
        <f t="shared" si="14"/>
        <v>100</v>
      </c>
      <c r="X32" s="1294"/>
      <c r="Y32" s="359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94"/>
      <c r="Q33" s="710" t="str">
        <f t="shared" si="11"/>
        <v>项目建筑规模</v>
      </c>
      <c r="R33" s="711" t="s">
        <v>17</v>
      </c>
      <c r="S33" s="712" t="e">
        <f t="shared" si="12"/>
        <v>#N/A</v>
      </c>
      <c r="T33" s="711" t="s">
        <v>17</v>
      </c>
      <c r="U33" s="712" t="e">
        <f t="shared" si="13"/>
        <v>#N/A</v>
      </c>
      <c r="V33" s="711" t="s">
        <v>17</v>
      </c>
      <c r="W33" s="712" t="e">
        <f t="shared" si="14"/>
        <v>#N/A</v>
      </c>
      <c r="X33" s="713"/>
      <c r="Y33" s="359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94"/>
      <c r="Q34" s="1291" t="str">
        <f t="shared" si="11"/>
        <v>建筑结构</v>
      </c>
      <c r="R34" s="708" t="s">
        <v>17</v>
      </c>
      <c r="S34" s="709">
        <f t="shared" si="12"/>
        <v>100</v>
      </c>
      <c r="T34" s="708" t="s">
        <v>17</v>
      </c>
      <c r="U34" s="709">
        <f t="shared" si="13"/>
        <v>100</v>
      </c>
      <c r="V34" s="708" t="s">
        <v>17</v>
      </c>
      <c r="W34" s="709">
        <f t="shared" si="14"/>
        <v>100</v>
      </c>
      <c r="X34" s="1294"/>
      <c r="Y34" s="359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94"/>
      <c r="Q35" s="1291" t="str">
        <f t="shared" si="11"/>
        <v>公共部分装修</v>
      </c>
      <c r="R35" s="708" t="s">
        <v>17</v>
      </c>
      <c r="S35" s="709">
        <f t="shared" si="12"/>
        <v>100</v>
      </c>
      <c r="T35" s="708" t="s">
        <v>17</v>
      </c>
      <c r="U35" s="709">
        <f t="shared" si="13"/>
        <v>100</v>
      </c>
      <c r="V35" s="708" t="s">
        <v>17</v>
      </c>
      <c r="W35" s="709">
        <f t="shared" si="14"/>
        <v>100</v>
      </c>
      <c r="X35" s="1294"/>
      <c r="Y35" s="359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94"/>
      <c r="Q36" s="1291" t="str">
        <f t="shared" si="11"/>
        <v>成新度</v>
      </c>
      <c r="R36" s="708" t="s">
        <v>17</v>
      </c>
      <c r="S36" s="709" t="e">
        <f t="shared" si="12"/>
        <v>#N/A</v>
      </c>
      <c r="T36" s="708" t="s">
        <v>17</v>
      </c>
      <c r="U36" s="709" t="e">
        <f t="shared" si="13"/>
        <v>#N/A</v>
      </c>
      <c r="V36" s="708" t="s">
        <v>17</v>
      </c>
      <c r="W36" s="709" t="e">
        <f t="shared" si="14"/>
        <v>#N/A</v>
      </c>
      <c r="X36" s="1294"/>
      <c r="Y36" s="359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94"/>
      <c r="Q37" s="1284" t="str">
        <f t="shared" si="11"/>
        <v>市政基础设施</v>
      </c>
      <c r="R37" s="704" t="s">
        <v>17</v>
      </c>
      <c r="S37" s="705">
        <f t="shared" si="12"/>
        <v>100</v>
      </c>
      <c r="T37" s="704" t="s">
        <v>17</v>
      </c>
      <c r="U37" s="705">
        <f t="shared" si="13"/>
        <v>100</v>
      </c>
      <c r="V37" s="704" t="s">
        <v>17</v>
      </c>
      <c r="W37" s="705">
        <f t="shared" si="14"/>
        <v>100</v>
      </c>
      <c r="X37" s="706"/>
      <c r="Y37" s="359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94" t="s">
        <v>1949</v>
      </c>
      <c r="Q38" s="1291" t="str">
        <f t="shared" si="11"/>
        <v>业态</v>
      </c>
      <c r="R38" s="708" t="s">
        <v>17</v>
      </c>
      <c r="S38" s="709">
        <f t="shared" si="12"/>
        <v>100</v>
      </c>
      <c r="T38" s="708" t="s">
        <v>17</v>
      </c>
      <c r="U38" s="709">
        <f t="shared" si="13"/>
        <v>100</v>
      </c>
      <c r="V38" s="708" t="s">
        <v>17</v>
      </c>
      <c r="W38" s="709">
        <f t="shared" si="14"/>
        <v>100</v>
      </c>
      <c r="X38" s="1294"/>
      <c r="Y38" s="359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94"/>
      <c r="Q39" s="1291" t="str">
        <f t="shared" si="11"/>
        <v>层高</v>
      </c>
      <c r="R39" s="708" t="s">
        <v>17</v>
      </c>
      <c r="S39" s="709">
        <f t="shared" si="12"/>
        <v>100</v>
      </c>
      <c r="T39" s="708" t="s">
        <v>17</v>
      </c>
      <c r="U39" s="709">
        <f t="shared" si="13"/>
        <v>100</v>
      </c>
      <c r="V39" s="708" t="s">
        <v>17</v>
      </c>
      <c r="W39" s="709">
        <f t="shared" si="14"/>
        <v>100</v>
      </c>
      <c r="X39" s="1294"/>
      <c r="Y39" s="359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94"/>
      <c r="Q40" s="1291" t="str">
        <f t="shared" si="11"/>
        <v>单套建筑面积</v>
      </c>
      <c r="R40" s="708" t="s">
        <v>17</v>
      </c>
      <c r="S40" s="709">
        <f t="shared" si="12"/>
        <v>100</v>
      </c>
      <c r="T40" s="708" t="s">
        <v>17</v>
      </c>
      <c r="U40" s="709">
        <f t="shared" si="13"/>
        <v>100</v>
      </c>
      <c r="V40" s="708" t="s">
        <v>17</v>
      </c>
      <c r="W40" s="709">
        <f t="shared" si="14"/>
        <v>100</v>
      </c>
      <c r="X40" s="1294"/>
      <c r="Y40" s="359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94"/>
      <c r="Q41" s="710" t="str">
        <f t="shared" si="11"/>
        <v>进深比</v>
      </c>
      <c r="R41" s="711" t="s">
        <v>17</v>
      </c>
      <c r="S41" s="712">
        <f t="shared" si="12"/>
        <v>100</v>
      </c>
      <c r="T41" s="711" t="s">
        <v>17</v>
      </c>
      <c r="U41" s="712">
        <f t="shared" si="13"/>
        <v>100</v>
      </c>
      <c r="V41" s="711" t="s">
        <v>17</v>
      </c>
      <c r="W41" s="712">
        <f t="shared" si="14"/>
        <v>100</v>
      </c>
      <c r="X41" s="713"/>
      <c r="Y41" s="359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94"/>
      <c r="Q42" s="1291" t="str">
        <f t="shared" si="11"/>
        <v>内部装修</v>
      </c>
      <c r="R42" s="708" t="s">
        <v>17</v>
      </c>
      <c r="S42" s="709">
        <f t="shared" si="12"/>
        <v>100</v>
      </c>
      <c r="T42" s="708" t="s">
        <v>17</v>
      </c>
      <c r="U42" s="709">
        <f t="shared" si="13"/>
        <v>100</v>
      </c>
      <c r="V42" s="708" t="s">
        <v>17</v>
      </c>
      <c r="W42" s="709">
        <f t="shared" si="14"/>
        <v>100</v>
      </c>
      <c r="X42" s="1294"/>
      <c r="Y42" s="3596"/>
      <c r="Z42" s="1295" t="str">
        <f t="shared" si="15"/>
        <v>内部装修</v>
      </c>
      <c r="AA42" s="1292">
        <f t="shared" si="3"/>
        <v>1</v>
      </c>
      <c r="AB42" s="1292">
        <f t="shared" si="4"/>
        <v>1</v>
      </c>
      <c r="AC42" s="1292">
        <f t="shared" si="5"/>
        <v>1</v>
      </c>
    </row>
    <row r="43" spans="1:29" ht="28.8">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94"/>
      <c r="Q43" s="1291" t="str">
        <f t="shared" si="11"/>
        <v>内部装修维护情况</v>
      </c>
      <c r="R43" s="708" t="s">
        <v>17</v>
      </c>
      <c r="S43" s="709">
        <f t="shared" si="12"/>
        <v>100</v>
      </c>
      <c r="T43" s="708" t="s">
        <v>17</v>
      </c>
      <c r="U43" s="709">
        <f t="shared" si="13"/>
        <v>100</v>
      </c>
      <c r="V43" s="708" t="s">
        <v>17</v>
      </c>
      <c r="W43" s="709">
        <f t="shared" si="14"/>
        <v>100</v>
      </c>
      <c r="X43" s="1294"/>
      <c r="Y43" s="359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94"/>
      <c r="Q44" s="1284">
        <f t="shared" si="11"/>
        <v>111</v>
      </c>
      <c r="R44" s="704" t="s">
        <v>17</v>
      </c>
      <c r="S44" s="705">
        <f t="shared" si="12"/>
        <v>100</v>
      </c>
      <c r="T44" s="704" t="s">
        <v>17</v>
      </c>
      <c r="U44" s="705">
        <f t="shared" si="13"/>
        <v>100</v>
      </c>
      <c r="V44" s="704" t="s">
        <v>17</v>
      </c>
      <c r="W44" s="705">
        <f t="shared" si="14"/>
        <v>100</v>
      </c>
      <c r="X44" s="706"/>
      <c r="Y44" s="359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94"/>
      <c r="Q45" s="1291">
        <f t="shared" si="11"/>
        <v>111</v>
      </c>
      <c r="R45" s="708" t="s">
        <v>17</v>
      </c>
      <c r="S45" s="709">
        <f t="shared" si="12"/>
        <v>100</v>
      </c>
      <c r="T45" s="708" t="s">
        <v>17</v>
      </c>
      <c r="U45" s="709">
        <f t="shared" si="13"/>
        <v>100</v>
      </c>
      <c r="V45" s="708" t="s">
        <v>17</v>
      </c>
      <c r="W45" s="709">
        <f t="shared" si="14"/>
        <v>100</v>
      </c>
      <c r="X45" s="1294"/>
      <c r="Y45" s="3596"/>
      <c r="Z45" s="1295">
        <f t="shared" si="15"/>
        <v>111</v>
      </c>
      <c r="AA45" s="1292">
        <f t="shared" si="3"/>
        <v>1</v>
      </c>
      <c r="AB45" s="1292">
        <f t="shared" si="4"/>
        <v>1</v>
      </c>
      <c r="AC45" s="1292">
        <f t="shared" si="5"/>
        <v>1</v>
      </c>
    </row>
    <row r="46" spans="1:29" ht="15.6"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292">
        <f t="shared" si="5"/>
        <v>1</v>
      </c>
    </row>
    <row r="47" spans="1:29" ht="14.4">
      <c r="A47" s="433" t="s">
        <v>1961</v>
      </c>
      <c r="B47" s="434"/>
      <c r="C47" s="1112" t="s">
        <v>1</v>
      </c>
      <c r="D47" s="1113"/>
      <c r="E47" s="1114"/>
      <c r="F47" s="1115"/>
      <c r="G47" s="1116"/>
      <c r="H47" s="1117"/>
      <c r="I47" s="1114"/>
      <c r="J47" s="1117"/>
      <c r="K47" s="717"/>
      <c r="L47" s="2404"/>
      <c r="M47" s="2405"/>
      <c r="N47" s="2396"/>
      <c r="O47" s="2405"/>
      <c r="P47" s="3589" t="str">
        <f>A47</f>
        <v>成交单价（元/平方米）</v>
      </c>
      <c r="Q47" s="3589"/>
      <c r="R47" s="3584">
        <f>E47</f>
        <v>0</v>
      </c>
      <c r="S47" s="3584"/>
      <c r="T47" s="3584">
        <f>G47</f>
        <v>0</v>
      </c>
      <c r="U47" s="3584"/>
      <c r="V47" s="3584">
        <f>I47</f>
        <v>0</v>
      </c>
      <c r="W47" s="3584"/>
      <c r="X47" s="693"/>
      <c r="Y47" s="715"/>
      <c r="Z47" s="693"/>
      <c r="AA47" s="693"/>
      <c r="AB47" s="693"/>
      <c r="AC47" s="693"/>
    </row>
    <row r="48" spans="1:29" ht="1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 thickBot="1">
      <c r="A49" s="444" t="s">
        <v>2054</v>
      </c>
      <c r="B49" s="445"/>
      <c r="C49" s="1121" t="e">
        <f>R49</f>
        <v>#DIV/0!</v>
      </c>
      <c r="D49" s="1121"/>
      <c r="E49" s="1121"/>
      <c r="F49" s="1121"/>
      <c r="G49" s="1121"/>
      <c r="H49" s="1121"/>
      <c r="I49" s="1121"/>
      <c r="J49" s="1121"/>
      <c r="K49" s="718"/>
      <c r="L49" s="2404"/>
      <c r="M49" s="2405"/>
      <c r="N49" s="2396"/>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2.2"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4.4">
      <c r="A58" s="457" t="s">
        <v>1932</v>
      </c>
      <c r="B58" s="458"/>
      <c r="C58" s="1138" t="str">
        <f>YEAR(C7)&amp;"-"&amp;MONTH(C7)</f>
        <v>2022-5</v>
      </c>
      <c r="D58" s="1139">
        <f>EDATE(C58,-1)</f>
        <v>44652</v>
      </c>
      <c r="E58" s="1139">
        <f t="shared" ref="E58:N58" si="16">EDATE(D58,-1)</f>
        <v>44621</v>
      </c>
      <c r="F58" s="1139">
        <f t="shared" si="16"/>
        <v>44593</v>
      </c>
      <c r="G58" s="1139">
        <f t="shared" si="16"/>
        <v>44562</v>
      </c>
      <c r="H58" s="1139">
        <f t="shared" si="16"/>
        <v>44531</v>
      </c>
      <c r="I58" s="1139">
        <f t="shared" si="16"/>
        <v>44501</v>
      </c>
      <c r="J58" s="1139">
        <f t="shared" si="16"/>
        <v>44470</v>
      </c>
      <c r="K58" s="1139">
        <f t="shared" si="16"/>
        <v>44440</v>
      </c>
      <c r="L58" s="1139">
        <f t="shared" si="16"/>
        <v>44409</v>
      </c>
      <c r="M58" s="1139">
        <f t="shared" si="16"/>
        <v>44378</v>
      </c>
      <c r="N58" s="1139">
        <f t="shared" si="16"/>
        <v>44348</v>
      </c>
      <c r="O58" s="1139">
        <f>EDATE(N58,-1)</f>
        <v>44317</v>
      </c>
      <c r="P58" s="2420"/>
      <c r="Q58" s="2421"/>
      <c r="R58" s="2421"/>
      <c r="S58" s="2421"/>
      <c r="T58" s="2421"/>
      <c r="U58" s="2421"/>
      <c r="V58" s="2421"/>
      <c r="W58" s="2421"/>
      <c r="X58" s="2421"/>
      <c r="Y58" s="2421"/>
      <c r="Z58" s="2421"/>
      <c r="AA58" s="2421"/>
      <c r="AB58" s="2421"/>
      <c r="AC58" s="2421"/>
    </row>
    <row r="59" spans="1:29" s="112" customFormat="1">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4.4">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4.4"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ht="14.4">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4.4"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9.4"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4.4"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4.4"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4.4"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4.4"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4.4"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4.4"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4.4"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4.4"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ht="14.4">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4.4"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4.4"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4.4"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4.4"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4.4"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4.4"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4.4"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4.4"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4.4"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4.4"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4.4"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4.4"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4.4"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4.4"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4.4"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4.4"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4.4"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4.4"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ht="14.4">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4.4"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4.4"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4.4"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4.4"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4.4"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4.4"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4.4"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4.4"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4.4"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4.4"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4.4"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29.4"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4.4"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4.4"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4.4"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4.4"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4.4"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4.4"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4.4"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58" customWidth="1"/>
    <col min="2" max="2" width="15.77734375" style="358" customWidth="1"/>
    <col min="3" max="3" width="15.66406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875"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4.4">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01" t="s">
        <v>2031</v>
      </c>
      <c r="S4" s="3602"/>
      <c r="T4" s="3601" t="s">
        <v>2032</v>
      </c>
      <c r="U4" s="3602"/>
      <c r="V4" s="3610" t="s">
        <v>2033</v>
      </c>
      <c r="W4" s="3610"/>
      <c r="X4" s="1898"/>
      <c r="Y4" s="3601" t="s">
        <v>2035</v>
      </c>
      <c r="Z4" s="3602"/>
      <c r="AA4" s="3600" t="s">
        <v>2031</v>
      </c>
      <c r="AB4" s="3600" t="s">
        <v>2032</v>
      </c>
      <c r="AC4" s="3603" t="s">
        <v>2033</v>
      </c>
    </row>
    <row r="5" spans="1:29">
      <c r="A5" s="359"/>
      <c r="B5" s="360"/>
      <c r="C5" s="3565" t="s">
        <v>1926</v>
      </c>
      <c r="D5" s="3566"/>
      <c r="E5" s="3563" t="s">
        <v>1927</v>
      </c>
      <c r="F5" s="3564"/>
      <c r="G5" s="3565" t="s">
        <v>1928</v>
      </c>
      <c r="H5" s="3566"/>
      <c r="I5" s="3565" t="s">
        <v>1929</v>
      </c>
      <c r="J5" s="3566"/>
      <c r="K5" s="562"/>
      <c r="L5" s="2395"/>
      <c r="M5" s="2396"/>
      <c r="N5" s="2396"/>
      <c r="O5" s="2396"/>
      <c r="P5" s="3608"/>
      <c r="Q5" s="3579"/>
      <c r="R5" s="3561"/>
      <c r="S5" s="3562"/>
      <c r="T5" s="3561"/>
      <c r="U5" s="3562"/>
      <c r="V5" s="3584"/>
      <c r="W5" s="3584"/>
      <c r="X5" s="1294"/>
      <c r="Y5" s="3561"/>
      <c r="Z5" s="3562"/>
      <c r="AA5" s="3555"/>
      <c r="AB5" s="3555"/>
      <c r="AC5" s="3604"/>
    </row>
    <row r="6" spans="1:29" ht="15" thickBot="1">
      <c r="A6" s="361"/>
      <c r="B6" s="362"/>
      <c r="C6" s="3567" t="s">
        <v>1930</v>
      </c>
      <c r="D6" s="3568"/>
      <c r="E6" s="3569" t="s">
        <v>1930</v>
      </c>
      <c r="F6" s="3570"/>
      <c r="G6" s="3567" t="s">
        <v>1930</v>
      </c>
      <c r="H6" s="3568"/>
      <c r="I6" s="3567" t="s">
        <v>1930</v>
      </c>
      <c r="J6" s="3568"/>
      <c r="K6" s="562" t="s">
        <v>1931</v>
      </c>
      <c r="L6" s="2395"/>
      <c r="M6" s="2396"/>
      <c r="N6" s="2396"/>
      <c r="O6" s="2396"/>
      <c r="P6" s="3609"/>
      <c r="Q6" s="3581"/>
      <c r="R6" s="3561"/>
      <c r="S6" s="3562"/>
      <c r="T6" s="3582"/>
      <c r="U6" s="3583"/>
      <c r="V6" s="3584"/>
      <c r="W6" s="3584"/>
      <c r="X6" s="1294"/>
      <c r="Y6" s="3582"/>
      <c r="Z6" s="3583"/>
      <c r="AA6" s="3556"/>
      <c r="AB6" s="3556"/>
      <c r="AC6" s="3605"/>
    </row>
    <row r="7" spans="1:29" s="112" customFormat="1" ht="15" thickBot="1">
      <c r="A7" s="363" t="s">
        <v>1932</v>
      </c>
      <c r="B7" s="364"/>
      <c r="C7" s="365">
        <f>'数据-取费表'!B2</f>
        <v>44697</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1"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1899" t="e">
        <f>D7/J7</f>
        <v>#DIV/0!</v>
      </c>
    </row>
    <row r="8" spans="1:29" s="112" customFormat="1" ht="1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1" t="s">
        <v>1936</v>
      </c>
      <c r="Q8" s="3558"/>
      <c r="R8" s="704" t="s">
        <v>17</v>
      </c>
      <c r="S8" s="705">
        <f t="shared" si="0"/>
        <v>0</v>
      </c>
      <c r="T8" s="704" t="s">
        <v>17</v>
      </c>
      <c r="U8" s="705">
        <f t="shared" si="1"/>
        <v>0</v>
      </c>
      <c r="V8" s="704" t="s">
        <v>17</v>
      </c>
      <c r="W8" s="705">
        <f t="shared" si="2"/>
        <v>0</v>
      </c>
      <c r="X8" s="706"/>
      <c r="Y8" s="3557" t="s">
        <v>1936</v>
      </c>
      <c r="Z8" s="3558"/>
      <c r="AA8" s="707" t="e">
        <f t="shared" ref="AA8:AA47" si="3">D8/F8</f>
        <v>#DIV/0!</v>
      </c>
      <c r="AB8" s="707" t="e">
        <f t="shared" ref="AB8:AB47" si="4">D8/H8</f>
        <v>#DIV/0!</v>
      </c>
      <c r="AC8" s="1899" t="e">
        <f t="shared" ref="AC8:AC47" si="5">D8/J8</f>
        <v>#DIV/0!</v>
      </c>
    </row>
    <row r="9" spans="1:29" s="112" customFormat="1" ht="14.4">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1899">
        <f t="shared" si="5"/>
        <v>1</v>
      </c>
    </row>
    <row r="10" spans="1:29" s="381" customFormat="1" ht="28.8">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1899">
        <f t="shared" si="5"/>
        <v>1</v>
      </c>
    </row>
    <row r="14" spans="1:29" ht="15.6"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1899">
        <f t="shared" si="5"/>
        <v>1</v>
      </c>
    </row>
    <row r="15" spans="1:29" ht="69">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98" t="s">
        <v>1944</v>
      </c>
      <c r="Q15" s="1291" t="str">
        <f t="shared" si="6"/>
        <v>办公集聚程度</v>
      </c>
      <c r="R15" s="708" t="s">
        <v>17</v>
      </c>
      <c r="S15" s="709">
        <f t="shared" si="0"/>
        <v>100</v>
      </c>
      <c r="T15" s="708" t="s">
        <v>17</v>
      </c>
      <c r="U15" s="709">
        <f t="shared" si="1"/>
        <v>100</v>
      </c>
      <c r="V15" s="708" t="s">
        <v>17</v>
      </c>
      <c r="W15" s="709">
        <f t="shared" si="2"/>
        <v>100</v>
      </c>
      <c r="X15" s="1294"/>
      <c r="Y15" s="359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902">
        <v>1</v>
      </c>
    </row>
    <row r="17" spans="1:29" ht="82.8">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902">
        <v>1</v>
      </c>
    </row>
    <row r="19" spans="1:29" ht="41.4">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902">
        <v>1</v>
      </c>
    </row>
    <row r="21" spans="1:29" ht="27.6">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99"/>
      <c r="Q22" s="1291"/>
      <c r="R22" s="708"/>
      <c r="S22" s="709"/>
      <c r="T22" s="708"/>
      <c r="U22" s="709"/>
      <c r="V22" s="708"/>
      <c r="W22" s="709"/>
      <c r="X22" s="1294"/>
      <c r="Y22" s="3592"/>
      <c r="Z22" s="1295"/>
      <c r="AA22" s="1292">
        <v>1</v>
      </c>
      <c r="AB22" s="1292">
        <v>1</v>
      </c>
      <c r="AC22" s="1902">
        <v>1</v>
      </c>
    </row>
    <row r="23" spans="1:29" ht="55.2">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99"/>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902">
        <v>1</v>
      </c>
    </row>
    <row r="25" spans="1:29" ht="28.8">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99"/>
      <c r="Q25" s="1291" t="str">
        <f>B25</f>
        <v>毗邻道路的类型与等级</v>
      </c>
      <c r="R25" s="708" t="s">
        <v>17</v>
      </c>
      <c r="S25" s="709">
        <f>F25</f>
        <v>100</v>
      </c>
      <c r="T25" s="708" t="s">
        <v>17</v>
      </c>
      <c r="U25" s="709">
        <f>H25</f>
        <v>100</v>
      </c>
      <c r="V25" s="708" t="s">
        <v>17</v>
      </c>
      <c r="W25" s="709">
        <f>J25</f>
        <v>100</v>
      </c>
      <c r="X25" s="1294"/>
      <c r="Y25" s="359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99"/>
      <c r="Q26" s="1291"/>
      <c r="R26" s="708"/>
      <c r="S26" s="709"/>
      <c r="T26" s="708"/>
      <c r="U26" s="709"/>
      <c r="V26" s="708"/>
      <c r="W26" s="709"/>
      <c r="X26" s="1294"/>
      <c r="Y26" s="359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99"/>
      <c r="Q27" s="1291" t="str">
        <f t="shared" ref="Q27:Q47" si="11">B27</f>
        <v>楼层</v>
      </c>
      <c r="R27" s="708" t="s">
        <v>17</v>
      </c>
      <c r="S27" s="709">
        <f>F27</f>
        <v>100</v>
      </c>
      <c r="T27" s="708" t="s">
        <v>17</v>
      </c>
      <c r="U27" s="709">
        <f>H27</f>
        <v>100</v>
      </c>
      <c r="V27" s="708" t="s">
        <v>17</v>
      </c>
      <c r="W27" s="709">
        <f>J27</f>
        <v>100</v>
      </c>
      <c r="X27" s="1294"/>
      <c r="Y27" s="359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99"/>
      <c r="Q28" s="1284" t="str">
        <f t="shared" si="11"/>
        <v>朝向</v>
      </c>
      <c r="R28" s="704" t="s">
        <v>17</v>
      </c>
      <c r="S28" s="705">
        <f>F28</f>
        <v>100</v>
      </c>
      <c r="T28" s="704" t="s">
        <v>17</v>
      </c>
      <c r="U28" s="705">
        <f>H28</f>
        <v>100</v>
      </c>
      <c r="V28" s="704" t="s">
        <v>17</v>
      </c>
      <c r="W28" s="705">
        <f>J28</f>
        <v>100</v>
      </c>
      <c r="X28" s="706"/>
      <c r="Y28" s="359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99"/>
      <c r="Q29" s="1291">
        <f t="shared" si="11"/>
        <v>111</v>
      </c>
      <c r="R29" s="708" t="s">
        <v>17</v>
      </c>
      <c r="S29" s="709">
        <f t="shared" ref="S29:S47" si="12">F29</f>
        <v>100</v>
      </c>
      <c r="T29" s="708" t="s">
        <v>17</v>
      </c>
      <c r="U29" s="709">
        <f t="shared" ref="U29:U47" si="13">H29</f>
        <v>100</v>
      </c>
      <c r="V29" s="708" t="s">
        <v>17</v>
      </c>
      <c r="W29" s="709">
        <f t="shared" ref="W29:W47" si="14">J29</f>
        <v>100</v>
      </c>
      <c r="X29" s="1294"/>
      <c r="Y29" s="359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902">
        <f t="shared" si="5"/>
        <v>1</v>
      </c>
    </row>
    <row r="32" spans="1:29" ht="15.6"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99"/>
      <c r="Q32" s="1291">
        <f t="shared" si="11"/>
        <v>111</v>
      </c>
      <c r="R32" s="708" t="s">
        <v>17</v>
      </c>
      <c r="S32" s="709">
        <f t="shared" si="12"/>
        <v>100</v>
      </c>
      <c r="T32" s="708" t="s">
        <v>17</v>
      </c>
      <c r="U32" s="709">
        <f t="shared" si="13"/>
        <v>100</v>
      </c>
      <c r="V32" s="708" t="s">
        <v>17</v>
      </c>
      <c r="W32" s="709">
        <f t="shared" si="14"/>
        <v>100</v>
      </c>
      <c r="X32" s="1294"/>
      <c r="Y32" s="359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93" t="s">
        <v>1949</v>
      </c>
      <c r="Q33" s="1291" t="str">
        <f t="shared" si="11"/>
        <v>建筑类型</v>
      </c>
      <c r="R33" s="708" t="s">
        <v>17</v>
      </c>
      <c r="S33" s="709">
        <f t="shared" si="12"/>
        <v>100</v>
      </c>
      <c r="T33" s="708" t="s">
        <v>17</v>
      </c>
      <c r="U33" s="709">
        <f t="shared" si="13"/>
        <v>100</v>
      </c>
      <c r="V33" s="708" t="s">
        <v>17</v>
      </c>
      <c r="W33" s="709">
        <f t="shared" si="14"/>
        <v>100</v>
      </c>
      <c r="X33" s="1294"/>
      <c r="Y33" s="359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94"/>
      <c r="Q34" s="710" t="str">
        <f t="shared" si="11"/>
        <v>项目建筑规模</v>
      </c>
      <c r="R34" s="711" t="s">
        <v>17</v>
      </c>
      <c r="S34" s="712" t="e">
        <f t="shared" si="12"/>
        <v>#N/A</v>
      </c>
      <c r="T34" s="711" t="s">
        <v>17</v>
      </c>
      <c r="U34" s="712" t="e">
        <f t="shared" si="13"/>
        <v>#N/A</v>
      </c>
      <c r="V34" s="711" t="s">
        <v>17</v>
      </c>
      <c r="W34" s="712" t="e">
        <f t="shared" si="14"/>
        <v>#N/A</v>
      </c>
      <c r="X34" s="713"/>
      <c r="Y34" s="359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94"/>
      <c r="Q35" s="1291" t="str">
        <f t="shared" si="11"/>
        <v>建筑结构</v>
      </c>
      <c r="R35" s="708" t="s">
        <v>17</v>
      </c>
      <c r="S35" s="709">
        <f t="shared" si="12"/>
        <v>100</v>
      </c>
      <c r="T35" s="708" t="s">
        <v>17</v>
      </c>
      <c r="U35" s="709">
        <f t="shared" si="13"/>
        <v>100</v>
      </c>
      <c r="V35" s="708" t="s">
        <v>17</v>
      </c>
      <c r="W35" s="709">
        <f t="shared" si="14"/>
        <v>100</v>
      </c>
      <c r="X35" s="1294"/>
      <c r="Y35" s="359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94"/>
      <c r="Q36" s="1291" t="str">
        <f t="shared" si="11"/>
        <v>公共部分装修</v>
      </c>
      <c r="R36" s="708" t="s">
        <v>17</v>
      </c>
      <c r="S36" s="709">
        <f t="shared" si="12"/>
        <v>100</v>
      </c>
      <c r="T36" s="708" t="s">
        <v>17</v>
      </c>
      <c r="U36" s="709">
        <f t="shared" si="13"/>
        <v>100</v>
      </c>
      <c r="V36" s="708" t="s">
        <v>17</v>
      </c>
      <c r="W36" s="709">
        <f t="shared" si="14"/>
        <v>100</v>
      </c>
      <c r="X36" s="1294"/>
      <c r="Y36" s="359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94"/>
      <c r="Q37" s="1291" t="str">
        <f t="shared" si="11"/>
        <v>成新度</v>
      </c>
      <c r="R37" s="708" t="s">
        <v>17</v>
      </c>
      <c r="S37" s="709" t="e">
        <f t="shared" si="12"/>
        <v>#N/A</v>
      </c>
      <c r="T37" s="708" t="s">
        <v>17</v>
      </c>
      <c r="U37" s="709" t="e">
        <f t="shared" si="13"/>
        <v>#N/A</v>
      </c>
      <c r="V37" s="708" t="s">
        <v>17</v>
      </c>
      <c r="W37" s="709" t="e">
        <f t="shared" si="14"/>
        <v>#N/A</v>
      </c>
      <c r="X37" s="1294"/>
      <c r="Y37" s="359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94"/>
      <c r="Q38" s="1284" t="str">
        <f t="shared" si="11"/>
        <v>写字楼等级</v>
      </c>
      <c r="R38" s="704" t="s">
        <v>17</v>
      </c>
      <c r="S38" s="705">
        <f t="shared" si="12"/>
        <v>100</v>
      </c>
      <c r="T38" s="704" t="s">
        <v>17</v>
      </c>
      <c r="U38" s="705">
        <f t="shared" si="13"/>
        <v>100</v>
      </c>
      <c r="V38" s="704" t="s">
        <v>17</v>
      </c>
      <c r="W38" s="705">
        <f t="shared" si="14"/>
        <v>100</v>
      </c>
      <c r="X38" s="706"/>
      <c r="Y38" s="359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94" t="s">
        <v>1949</v>
      </c>
      <c r="Q39" s="1291" t="str">
        <f t="shared" si="11"/>
        <v>物业管理</v>
      </c>
      <c r="R39" s="708" t="s">
        <v>17</v>
      </c>
      <c r="S39" s="709">
        <f t="shared" si="12"/>
        <v>100</v>
      </c>
      <c r="T39" s="708" t="s">
        <v>17</v>
      </c>
      <c r="U39" s="709">
        <f t="shared" si="13"/>
        <v>100</v>
      </c>
      <c r="V39" s="708" t="s">
        <v>17</v>
      </c>
      <c r="W39" s="709">
        <f t="shared" si="14"/>
        <v>100</v>
      </c>
      <c r="X39" s="1294"/>
      <c r="Y39" s="359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94"/>
      <c r="Q40" s="1291" t="str">
        <f t="shared" si="11"/>
        <v>市政基础设施</v>
      </c>
      <c r="R40" s="708" t="s">
        <v>17</v>
      </c>
      <c r="S40" s="709">
        <f t="shared" si="12"/>
        <v>100</v>
      </c>
      <c r="T40" s="708" t="s">
        <v>17</v>
      </c>
      <c r="U40" s="709">
        <f t="shared" si="13"/>
        <v>100</v>
      </c>
      <c r="V40" s="708" t="s">
        <v>17</v>
      </c>
      <c r="W40" s="709">
        <f t="shared" si="14"/>
        <v>100</v>
      </c>
      <c r="X40" s="1294"/>
      <c r="Y40" s="359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94"/>
      <c r="Q41" s="1291" t="str">
        <f t="shared" si="11"/>
        <v>层高</v>
      </c>
      <c r="R41" s="708" t="s">
        <v>17</v>
      </c>
      <c r="S41" s="709">
        <f t="shared" si="12"/>
        <v>100</v>
      </c>
      <c r="T41" s="708" t="s">
        <v>17</v>
      </c>
      <c r="U41" s="709">
        <f t="shared" si="13"/>
        <v>100</v>
      </c>
      <c r="V41" s="708" t="s">
        <v>17</v>
      </c>
      <c r="W41" s="709">
        <f t="shared" si="14"/>
        <v>100</v>
      </c>
      <c r="X41" s="1294"/>
      <c r="Y41" s="359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94"/>
      <c r="Q42" s="710" t="str">
        <f t="shared" si="11"/>
        <v>单套建筑面积</v>
      </c>
      <c r="R42" s="711" t="s">
        <v>17</v>
      </c>
      <c r="S42" s="712">
        <f t="shared" si="12"/>
        <v>100</v>
      </c>
      <c r="T42" s="711" t="s">
        <v>17</v>
      </c>
      <c r="U42" s="712">
        <f t="shared" si="13"/>
        <v>100</v>
      </c>
      <c r="V42" s="711" t="s">
        <v>17</v>
      </c>
      <c r="W42" s="712">
        <f t="shared" si="14"/>
        <v>100</v>
      </c>
      <c r="X42" s="713"/>
      <c r="Y42" s="359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94"/>
      <c r="Q43" s="1291" t="str">
        <f t="shared" si="11"/>
        <v>内部装修</v>
      </c>
      <c r="R43" s="708" t="s">
        <v>17</v>
      </c>
      <c r="S43" s="709">
        <f t="shared" si="12"/>
        <v>100</v>
      </c>
      <c r="T43" s="708" t="s">
        <v>17</v>
      </c>
      <c r="U43" s="709">
        <f t="shared" si="13"/>
        <v>100</v>
      </c>
      <c r="V43" s="708" t="s">
        <v>17</v>
      </c>
      <c r="W43" s="709">
        <f t="shared" si="14"/>
        <v>100</v>
      </c>
      <c r="X43" s="1294"/>
      <c r="Y43" s="3596"/>
      <c r="Z43" s="1295" t="str">
        <f t="shared" si="15"/>
        <v>内部装修</v>
      </c>
      <c r="AA43" s="1292">
        <f t="shared" si="3"/>
        <v>1</v>
      </c>
      <c r="AB43" s="1292">
        <f t="shared" si="4"/>
        <v>1</v>
      </c>
      <c r="AC43" s="1902">
        <f t="shared" si="5"/>
        <v>1</v>
      </c>
    </row>
    <row r="44" spans="1:29" ht="28.8">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94"/>
      <c r="Q44" s="1291" t="str">
        <f t="shared" si="11"/>
        <v>内部装修维护情况</v>
      </c>
      <c r="R44" s="708" t="s">
        <v>17</v>
      </c>
      <c r="S44" s="709">
        <f t="shared" si="12"/>
        <v>100</v>
      </c>
      <c r="T44" s="708" t="s">
        <v>17</v>
      </c>
      <c r="U44" s="709">
        <f t="shared" si="13"/>
        <v>100</v>
      </c>
      <c r="V44" s="708" t="s">
        <v>17</v>
      </c>
      <c r="W44" s="709">
        <f t="shared" si="14"/>
        <v>100</v>
      </c>
      <c r="X44" s="1294"/>
      <c r="Y44" s="359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94"/>
      <c r="Q45" s="1284">
        <f t="shared" si="11"/>
        <v>111</v>
      </c>
      <c r="R45" s="704" t="s">
        <v>17</v>
      </c>
      <c r="S45" s="705">
        <f t="shared" si="12"/>
        <v>100</v>
      </c>
      <c r="T45" s="704" t="s">
        <v>17</v>
      </c>
      <c r="U45" s="705">
        <f t="shared" si="13"/>
        <v>100</v>
      </c>
      <c r="V45" s="704" t="s">
        <v>17</v>
      </c>
      <c r="W45" s="705">
        <f t="shared" si="14"/>
        <v>100</v>
      </c>
      <c r="X45" s="706"/>
      <c r="Y45" s="359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94"/>
      <c r="Q46" s="1291">
        <f t="shared" si="11"/>
        <v>111</v>
      </c>
      <c r="R46" s="708" t="s">
        <v>17</v>
      </c>
      <c r="S46" s="709">
        <f t="shared" si="12"/>
        <v>100</v>
      </c>
      <c r="T46" s="708" t="s">
        <v>17</v>
      </c>
      <c r="U46" s="709">
        <f t="shared" si="13"/>
        <v>100</v>
      </c>
      <c r="V46" s="708" t="s">
        <v>17</v>
      </c>
      <c r="W46" s="709">
        <f t="shared" si="14"/>
        <v>100</v>
      </c>
      <c r="X46" s="1294"/>
      <c r="Y46" s="3596"/>
      <c r="Z46" s="1295">
        <f t="shared" si="15"/>
        <v>111</v>
      </c>
      <c r="AA46" s="1292">
        <f t="shared" si="3"/>
        <v>1</v>
      </c>
      <c r="AB46" s="1292">
        <f t="shared" si="4"/>
        <v>1</v>
      </c>
      <c r="AC46" s="1902">
        <f t="shared" si="5"/>
        <v>1</v>
      </c>
    </row>
    <row r="47" spans="1:29" ht="15.6"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95"/>
      <c r="Q47" s="1291">
        <f t="shared" si="11"/>
        <v>111</v>
      </c>
      <c r="R47" s="708" t="s">
        <v>17</v>
      </c>
      <c r="S47" s="709">
        <f t="shared" si="12"/>
        <v>100</v>
      </c>
      <c r="T47" s="708" t="s">
        <v>17</v>
      </c>
      <c r="U47" s="709">
        <f t="shared" si="13"/>
        <v>100</v>
      </c>
      <c r="V47" s="708" t="s">
        <v>17</v>
      </c>
      <c r="W47" s="709">
        <f t="shared" si="14"/>
        <v>100</v>
      </c>
      <c r="X47" s="1294"/>
      <c r="Y47" s="3597"/>
      <c r="Z47" s="1295">
        <f t="shared" si="15"/>
        <v>111</v>
      </c>
      <c r="AA47" s="1292">
        <f t="shared" si="3"/>
        <v>1</v>
      </c>
      <c r="AB47" s="1292">
        <f t="shared" si="4"/>
        <v>1</v>
      </c>
      <c r="AC47" s="1902">
        <f t="shared" si="5"/>
        <v>1</v>
      </c>
    </row>
    <row r="48" spans="1:29" ht="14.4">
      <c r="A48" s="433" t="s">
        <v>1961</v>
      </c>
      <c r="B48" s="434"/>
      <c r="C48" s="1112" t="s">
        <v>1</v>
      </c>
      <c r="D48" s="1113"/>
      <c r="E48" s="1114"/>
      <c r="F48" s="1115"/>
      <c r="G48" s="1116"/>
      <c r="H48" s="1117"/>
      <c r="I48" s="1114"/>
      <c r="J48" s="439"/>
      <c r="K48" s="717"/>
      <c r="L48" s="2404"/>
      <c r="M48" s="2396"/>
      <c r="N48" s="2396"/>
      <c r="O48" s="2396"/>
      <c r="P48" s="3571" t="str">
        <f>A48</f>
        <v>成交单价（元/平方米）</v>
      </c>
      <c r="Q48" s="3589"/>
      <c r="R48" s="3590">
        <f>E48</f>
        <v>0</v>
      </c>
      <c r="S48" s="3590"/>
      <c r="T48" s="3590">
        <f>G48</f>
        <v>0</v>
      </c>
      <c r="U48" s="3590"/>
      <c r="V48" s="3590">
        <f>I48</f>
        <v>0</v>
      </c>
      <c r="W48" s="3590"/>
      <c r="X48" s="400"/>
      <c r="Y48" s="715"/>
      <c r="Z48" s="400"/>
      <c r="AA48" s="400"/>
      <c r="AB48" s="400"/>
      <c r="AC48" s="581"/>
    </row>
    <row r="49" spans="1:29" ht="1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0"/>
      <c r="Y49" s="400"/>
      <c r="Z49" s="400"/>
      <c r="AA49" s="400"/>
      <c r="AB49" s="400"/>
      <c r="AC49" s="581"/>
    </row>
    <row r="50" spans="1:29" ht="15" thickBot="1">
      <c r="A50" s="444" t="s">
        <v>2054</v>
      </c>
      <c r="B50" s="445"/>
      <c r="C50" s="1121" t="e">
        <f>R50</f>
        <v>#DIV/0!</v>
      </c>
      <c r="D50" s="1121"/>
      <c r="E50" s="1121"/>
      <c r="F50" s="1121"/>
      <c r="G50" s="1121"/>
      <c r="H50" s="1121"/>
      <c r="I50" s="1121"/>
      <c r="J50" s="446"/>
      <c r="K50" s="718"/>
      <c r="L50" s="2404"/>
      <c r="M50" s="2396"/>
      <c r="N50" s="2396"/>
      <c r="O50" s="2396"/>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2.2"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4.4">
      <c r="A59" s="457" t="s">
        <v>1932</v>
      </c>
      <c r="B59" s="458"/>
      <c r="C59" s="1138" t="str">
        <f>YEAR(C7)&amp;"-"&amp;MONTH(C7)</f>
        <v>2022-5</v>
      </c>
      <c r="D59" s="1139">
        <f>EDATE(C59,-1)</f>
        <v>44652</v>
      </c>
      <c r="E59" s="1139">
        <f>EDATE(D59,-1)</f>
        <v>44621</v>
      </c>
      <c r="F59" s="1139">
        <f t="shared" ref="F59:O59" si="16">EDATE(E59,-1)</f>
        <v>44593</v>
      </c>
      <c r="G59" s="1139">
        <f t="shared" si="16"/>
        <v>44562</v>
      </c>
      <c r="H59" s="1139">
        <f t="shared" si="16"/>
        <v>44531</v>
      </c>
      <c r="I59" s="1139">
        <f t="shared" si="16"/>
        <v>44501</v>
      </c>
      <c r="J59" s="1139">
        <f t="shared" si="16"/>
        <v>44470</v>
      </c>
      <c r="K59" s="1139">
        <f t="shared" si="16"/>
        <v>44440</v>
      </c>
      <c r="L59" s="1139">
        <f t="shared" si="16"/>
        <v>44409</v>
      </c>
      <c r="M59" s="1139">
        <f t="shared" si="16"/>
        <v>44378</v>
      </c>
      <c r="N59" s="1139">
        <f t="shared" si="16"/>
        <v>44348</v>
      </c>
      <c r="O59" s="1139">
        <f t="shared" si="16"/>
        <v>44317</v>
      </c>
      <c r="P59" s="2439"/>
      <c r="Q59" s="2421"/>
      <c r="R59" s="2421"/>
      <c r="S59" s="2421"/>
      <c r="T59" s="2421"/>
      <c r="U59" s="2421"/>
      <c r="V59" s="2421"/>
      <c r="W59" s="2421"/>
      <c r="X59" s="2421"/>
      <c r="Y59" s="2421"/>
      <c r="Z59" s="2421"/>
      <c r="AA59" s="2421"/>
      <c r="AB59" s="2421"/>
      <c r="AC59" s="2421"/>
    </row>
    <row r="60" spans="1:29" s="112" customFormat="1">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4.4">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4.4"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ht="14.4">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4.4"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9.4"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4.4"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4.4"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4.4"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4.4"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4.4"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4.4"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4.4"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4.4"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ht="14.4">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4.4"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4.4"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4.4"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4.4"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4.4"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9.4"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4.4"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4.4"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4.4"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4.4"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4.4"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4.4"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4.4"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4.4"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4.4"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4.4"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4.4"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4.4"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4.4"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ht="14.4">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4.4"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4.4"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4.4"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4.4"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4.4"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4.4"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4.4"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4.4"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4.4"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4.4"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4.4"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29.4"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4.4"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4.4"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4.4"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4.4"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4.4"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4.4"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4.4"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4.4">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c r="A5" s="359"/>
      <c r="B5" s="360"/>
      <c r="C5" s="3565" t="s">
        <v>1926</v>
      </c>
      <c r="D5" s="3566"/>
      <c r="E5" s="3563" t="s">
        <v>1927</v>
      </c>
      <c r="F5" s="3564"/>
      <c r="G5" s="3565" t="s">
        <v>1928</v>
      </c>
      <c r="H5" s="3566"/>
      <c r="I5" s="3565" t="s">
        <v>1929</v>
      </c>
      <c r="J5" s="3566"/>
      <c r="K5" s="562"/>
      <c r="L5" s="882"/>
      <c r="M5" s="883"/>
      <c r="N5" s="883"/>
      <c r="O5" s="883"/>
      <c r="P5" s="3578"/>
      <c r="Q5" s="3579"/>
      <c r="R5" s="3561"/>
      <c r="S5" s="3562"/>
      <c r="T5" s="3561"/>
      <c r="U5" s="3562"/>
      <c r="V5" s="3584"/>
      <c r="W5" s="3584"/>
      <c r="X5" s="1294"/>
      <c r="Y5" s="3561"/>
      <c r="Z5" s="3562"/>
      <c r="AA5" s="3555"/>
      <c r="AB5" s="3555"/>
      <c r="AC5" s="3555"/>
    </row>
    <row r="6" spans="1:29" ht="15" thickBot="1">
      <c r="A6" s="361"/>
      <c r="B6" s="362"/>
      <c r="C6" s="3567" t="s">
        <v>1930</v>
      </c>
      <c r="D6" s="3568"/>
      <c r="E6" s="3569" t="s">
        <v>1930</v>
      </c>
      <c r="F6" s="3570"/>
      <c r="G6" s="3567" t="s">
        <v>1930</v>
      </c>
      <c r="H6" s="3568"/>
      <c r="I6" s="3567" t="s">
        <v>1930</v>
      </c>
      <c r="J6" s="3568"/>
      <c r="K6" s="562" t="s">
        <v>1931</v>
      </c>
      <c r="L6" s="882"/>
      <c r="M6" s="883"/>
      <c r="N6" s="883"/>
      <c r="O6" s="883"/>
      <c r="P6" s="3580"/>
      <c r="Q6" s="3581"/>
      <c r="R6" s="3561"/>
      <c r="S6" s="3562"/>
      <c r="T6" s="3582"/>
      <c r="U6" s="3583"/>
      <c r="V6" s="3584"/>
      <c r="W6" s="3584"/>
      <c r="X6" s="1294"/>
      <c r="Y6" s="3582"/>
      <c r="Z6" s="3583"/>
      <c r="AA6" s="3556"/>
      <c r="AB6" s="3556"/>
      <c r="AC6" s="3556"/>
    </row>
    <row r="7" spans="1:29" s="112" customFormat="1" ht="15" thickBot="1">
      <c r="A7" s="363" t="s">
        <v>1932</v>
      </c>
      <c r="B7" s="364"/>
      <c r="C7" s="365">
        <f>'数据-取费表'!B2</f>
        <v>44697</v>
      </c>
      <c r="D7" s="366">
        <v>100</v>
      </c>
      <c r="E7" s="367"/>
      <c r="F7" s="368">
        <f>SUMIF(52:52,YEAR(E7)&amp;"-"&amp;MONTH(E7),53:53)</f>
        <v>0</v>
      </c>
      <c r="G7" s="367"/>
      <c r="H7" s="366">
        <f>SUMIF(52:52,YEAR(G7)&amp;"-"&amp;MONTH(G7),53:53)</f>
        <v>0</v>
      </c>
      <c r="I7" s="367"/>
      <c r="J7" s="366">
        <f>SUMIF(52:52,YEAR(I7)&amp;"-"&amp;MONTH(I7),53:53)</f>
        <v>0</v>
      </c>
      <c r="K7" s="563"/>
      <c r="L7" s="884"/>
      <c r="M7" s="885"/>
      <c r="N7" s="885"/>
      <c r="O7" s="885"/>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ht="14.4">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8.8">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6"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69">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2"/>
      <c r="Q16" s="1291"/>
      <c r="R16" s="708"/>
      <c r="S16" s="709"/>
      <c r="T16" s="708"/>
      <c r="U16" s="709"/>
      <c r="V16" s="708"/>
      <c r="W16" s="709"/>
      <c r="X16" s="1294"/>
      <c r="Y16" s="3592"/>
      <c r="Z16" s="1295"/>
      <c r="AA16" s="1292">
        <v>1</v>
      </c>
      <c r="AB16" s="1292">
        <v>1</v>
      </c>
      <c r="AC16" s="1292">
        <v>1</v>
      </c>
    </row>
    <row r="17" spans="1:29" ht="96.6">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2"/>
      <c r="Q18" s="1291"/>
      <c r="R18" s="708"/>
      <c r="S18" s="709"/>
      <c r="T18" s="708"/>
      <c r="U18" s="709"/>
      <c r="V18" s="708"/>
      <c r="W18" s="709"/>
      <c r="X18" s="1294"/>
      <c r="Y18" s="3592"/>
      <c r="Z18" s="1295"/>
      <c r="AA18" s="1292">
        <v>1</v>
      </c>
      <c r="AB18" s="1292">
        <v>1</v>
      </c>
      <c r="AC18" s="1292">
        <v>1</v>
      </c>
    </row>
    <row r="19" spans="1:29" ht="41.4">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2"/>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2"/>
      <c r="Q20" s="1291"/>
      <c r="R20" s="708"/>
      <c r="S20" s="709"/>
      <c r="T20" s="708"/>
      <c r="U20" s="709"/>
      <c r="V20" s="708"/>
      <c r="W20" s="709"/>
      <c r="X20" s="1294"/>
      <c r="Y20" s="3592"/>
      <c r="Z20" s="1295"/>
      <c r="AA20" s="1292">
        <v>1</v>
      </c>
      <c r="AB20" s="1292">
        <v>1</v>
      </c>
      <c r="AC20" s="1292">
        <v>1</v>
      </c>
    </row>
    <row r="21" spans="1:29" ht="41.4">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2"/>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2"/>
      <c r="Q22" s="1291"/>
      <c r="R22" s="708"/>
      <c r="S22" s="709"/>
      <c r="T22" s="708"/>
      <c r="U22" s="709"/>
      <c r="V22" s="708"/>
      <c r="W22" s="709"/>
      <c r="X22" s="1294"/>
      <c r="Y22" s="3592"/>
      <c r="Z22" s="1295"/>
      <c r="AA22" s="1292">
        <v>1</v>
      </c>
      <c r="AB22" s="1292">
        <v>1</v>
      </c>
      <c r="AC22" s="1292">
        <v>1</v>
      </c>
    </row>
    <row r="23" spans="1:29" ht="82.8">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2"/>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2"/>
      <c r="Q24" s="1291"/>
      <c r="R24" s="708"/>
      <c r="S24" s="709"/>
      <c r="T24" s="708"/>
      <c r="U24" s="709"/>
      <c r="V24" s="708"/>
      <c r="W24" s="709"/>
      <c r="X24" s="1294"/>
      <c r="Y24" s="359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2"/>
      <c r="Q25" s="1291">
        <f>B25</f>
        <v>111</v>
      </c>
      <c r="R25" s="708" t="s">
        <v>17</v>
      </c>
      <c r="S25" s="709">
        <f>F25</f>
        <v>100</v>
      </c>
      <c r="T25" s="708" t="s">
        <v>17</v>
      </c>
      <c r="U25" s="709">
        <f>H25</f>
        <v>100</v>
      </c>
      <c r="V25" s="708" t="s">
        <v>17</v>
      </c>
      <c r="W25" s="709">
        <f>J25</f>
        <v>100</v>
      </c>
      <c r="X25" s="1294"/>
      <c r="Y25" s="359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2"/>
      <c r="Q26" s="1291">
        <f t="shared" ref="Q26:Q40" si="11">B26</f>
        <v>111</v>
      </c>
      <c r="R26" s="708" t="s">
        <v>17</v>
      </c>
      <c r="S26" s="709">
        <f>F26</f>
        <v>100</v>
      </c>
      <c r="T26" s="708" t="s">
        <v>17</v>
      </c>
      <c r="U26" s="709">
        <f>H26</f>
        <v>100</v>
      </c>
      <c r="V26" s="708" t="s">
        <v>17</v>
      </c>
      <c r="W26" s="709">
        <f>J26</f>
        <v>100</v>
      </c>
      <c r="X26" s="1294"/>
      <c r="Y26" s="359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2"/>
      <c r="Q27" s="1284">
        <f t="shared" si="11"/>
        <v>111</v>
      </c>
      <c r="R27" s="704" t="s">
        <v>17</v>
      </c>
      <c r="S27" s="705">
        <f>F27</f>
        <v>100</v>
      </c>
      <c r="T27" s="704" t="s">
        <v>17</v>
      </c>
      <c r="U27" s="705">
        <f>H27</f>
        <v>100</v>
      </c>
      <c r="V27" s="704" t="s">
        <v>17</v>
      </c>
      <c r="W27" s="705">
        <f>J27</f>
        <v>100</v>
      </c>
      <c r="X27" s="706"/>
      <c r="Y27" s="3592"/>
      <c r="Z27" s="54">
        <f>Q27</f>
        <v>111</v>
      </c>
      <c r="AA27" s="1292">
        <f>D27/F27</f>
        <v>1</v>
      </c>
      <c r="AB27" s="1292">
        <f>D27/H27</f>
        <v>1</v>
      </c>
      <c r="AC27" s="1292">
        <f>D27/J27</f>
        <v>1</v>
      </c>
    </row>
    <row r="28" spans="1:29" ht="15.6"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2"/>
      <c r="Q28" s="1291">
        <f t="shared" si="11"/>
        <v>111</v>
      </c>
      <c r="R28" s="708" t="s">
        <v>17</v>
      </c>
      <c r="S28" s="709">
        <f t="shared" ref="S28:S40" si="12">F28</f>
        <v>100</v>
      </c>
      <c r="T28" s="708" t="s">
        <v>17</v>
      </c>
      <c r="U28" s="709">
        <f t="shared" ref="U28:U40" si="13">H28</f>
        <v>100</v>
      </c>
      <c r="V28" s="708" t="s">
        <v>17</v>
      </c>
      <c r="W28" s="709">
        <f t="shared" ref="W28:W40" si="14">J28</f>
        <v>100</v>
      </c>
      <c r="X28" s="1294"/>
      <c r="Y28" s="3592"/>
      <c r="Z28" s="1295">
        <f t="shared" ref="Z28:Z40" si="15">Q28</f>
        <v>111</v>
      </c>
      <c r="AA28" s="1292">
        <f t="shared" si="3"/>
        <v>1</v>
      </c>
      <c r="AB28" s="1292">
        <f t="shared" si="4"/>
        <v>1</v>
      </c>
      <c r="AC28" s="1292">
        <f t="shared" si="5"/>
        <v>1</v>
      </c>
    </row>
    <row r="29" spans="1:29" ht="30">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9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6"/>
      <c r="Q30" s="710" t="str">
        <f t="shared" si="11"/>
        <v>项目建筑规模</v>
      </c>
      <c r="R30" s="711" t="s">
        <v>17</v>
      </c>
      <c r="S30" s="712" t="e">
        <f t="shared" si="12"/>
        <v>#N/A</v>
      </c>
      <c r="T30" s="711" t="s">
        <v>17</v>
      </c>
      <c r="U30" s="712" t="e">
        <f t="shared" si="13"/>
        <v>#N/A</v>
      </c>
      <c r="V30" s="711" t="s">
        <v>17</v>
      </c>
      <c r="W30" s="712" t="e">
        <f t="shared" si="14"/>
        <v>#N/A</v>
      </c>
      <c r="X30" s="713"/>
      <c r="Y30" s="359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6"/>
      <c r="Q31" s="1291" t="str">
        <f t="shared" si="11"/>
        <v>建筑结构</v>
      </c>
      <c r="R31" s="708" t="s">
        <v>17</v>
      </c>
      <c r="S31" s="709">
        <f t="shared" si="12"/>
        <v>100</v>
      </c>
      <c r="T31" s="708" t="s">
        <v>17</v>
      </c>
      <c r="U31" s="709">
        <f t="shared" si="13"/>
        <v>100</v>
      </c>
      <c r="V31" s="708" t="s">
        <v>17</v>
      </c>
      <c r="W31" s="709">
        <f t="shared" si="14"/>
        <v>100</v>
      </c>
      <c r="X31" s="1294"/>
      <c r="Y31" s="359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6"/>
      <c r="Q32" s="1291" t="str">
        <f t="shared" si="11"/>
        <v>公共部分装修</v>
      </c>
      <c r="R32" s="708" t="s">
        <v>17</v>
      </c>
      <c r="S32" s="709">
        <f t="shared" si="12"/>
        <v>100</v>
      </c>
      <c r="T32" s="708" t="s">
        <v>17</v>
      </c>
      <c r="U32" s="709">
        <f t="shared" si="13"/>
        <v>100</v>
      </c>
      <c r="V32" s="708" t="s">
        <v>17</v>
      </c>
      <c r="W32" s="709">
        <f t="shared" si="14"/>
        <v>100</v>
      </c>
      <c r="X32" s="1294"/>
      <c r="Y32" s="359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6"/>
      <c r="Q33" s="1291" t="str">
        <f t="shared" si="11"/>
        <v>成新度</v>
      </c>
      <c r="R33" s="708" t="s">
        <v>17</v>
      </c>
      <c r="S33" s="709" t="e">
        <f t="shared" si="12"/>
        <v>#N/A</v>
      </c>
      <c r="T33" s="708" t="s">
        <v>17</v>
      </c>
      <c r="U33" s="709" t="e">
        <f t="shared" si="13"/>
        <v>#N/A</v>
      </c>
      <c r="V33" s="708" t="s">
        <v>17</v>
      </c>
      <c r="W33" s="709" t="e">
        <f t="shared" si="14"/>
        <v>#N/A</v>
      </c>
      <c r="X33" s="1294"/>
      <c r="Y33" s="359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6"/>
      <c r="Q34" s="1284" t="str">
        <f t="shared" si="11"/>
        <v>物业管理</v>
      </c>
      <c r="R34" s="704" t="s">
        <v>17</v>
      </c>
      <c r="S34" s="705">
        <f t="shared" si="12"/>
        <v>100</v>
      </c>
      <c r="T34" s="704" t="s">
        <v>17</v>
      </c>
      <c r="U34" s="705">
        <f t="shared" si="13"/>
        <v>100</v>
      </c>
      <c r="V34" s="704" t="s">
        <v>17</v>
      </c>
      <c r="W34" s="705">
        <f t="shared" si="14"/>
        <v>100</v>
      </c>
      <c r="X34" s="706"/>
      <c r="Y34" s="359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6" t="s">
        <v>1949</v>
      </c>
      <c r="Q35" s="1291" t="str">
        <f t="shared" si="11"/>
        <v>市政基础设施</v>
      </c>
      <c r="R35" s="708" t="s">
        <v>17</v>
      </c>
      <c r="S35" s="709">
        <f t="shared" si="12"/>
        <v>100</v>
      </c>
      <c r="T35" s="708" t="s">
        <v>17</v>
      </c>
      <c r="U35" s="709">
        <f t="shared" si="13"/>
        <v>100</v>
      </c>
      <c r="V35" s="708" t="s">
        <v>17</v>
      </c>
      <c r="W35" s="709">
        <f t="shared" si="14"/>
        <v>100</v>
      </c>
      <c r="X35" s="1294"/>
      <c r="Y35" s="359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6"/>
      <c r="Q36" s="1291" t="str">
        <f t="shared" si="11"/>
        <v>内部装修</v>
      </c>
      <c r="R36" s="708" t="s">
        <v>17</v>
      </c>
      <c r="S36" s="709">
        <f t="shared" si="12"/>
        <v>100</v>
      </c>
      <c r="T36" s="708" t="s">
        <v>17</v>
      </c>
      <c r="U36" s="709">
        <f t="shared" si="13"/>
        <v>100</v>
      </c>
      <c r="V36" s="708" t="s">
        <v>17</v>
      </c>
      <c r="W36" s="709">
        <f t="shared" si="14"/>
        <v>100</v>
      </c>
      <c r="X36" s="1294"/>
      <c r="Y36" s="359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6"/>
      <c r="Q37" s="1291" t="str">
        <f t="shared" si="11"/>
        <v>内部装修状况</v>
      </c>
      <c r="R37" s="708" t="s">
        <v>17</v>
      </c>
      <c r="S37" s="709">
        <f t="shared" si="12"/>
        <v>100</v>
      </c>
      <c r="T37" s="708" t="s">
        <v>17</v>
      </c>
      <c r="U37" s="709">
        <f t="shared" si="13"/>
        <v>100</v>
      </c>
      <c r="V37" s="708" t="s">
        <v>17</v>
      </c>
      <c r="W37" s="709">
        <f t="shared" si="14"/>
        <v>100</v>
      </c>
      <c r="X37" s="1294"/>
      <c r="Y37" s="359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6"/>
      <c r="Q38" s="710">
        <f t="shared" si="11"/>
        <v>111</v>
      </c>
      <c r="R38" s="711" t="s">
        <v>17</v>
      </c>
      <c r="S38" s="712">
        <f t="shared" si="12"/>
        <v>100</v>
      </c>
      <c r="T38" s="711" t="s">
        <v>17</v>
      </c>
      <c r="U38" s="712">
        <f t="shared" si="13"/>
        <v>100</v>
      </c>
      <c r="V38" s="711" t="s">
        <v>17</v>
      </c>
      <c r="W38" s="712">
        <f t="shared" si="14"/>
        <v>100</v>
      </c>
      <c r="X38" s="713"/>
      <c r="Y38" s="359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6"/>
      <c r="Q39" s="1291">
        <f t="shared" si="11"/>
        <v>111</v>
      </c>
      <c r="R39" s="708" t="s">
        <v>17</v>
      </c>
      <c r="S39" s="709">
        <f t="shared" si="12"/>
        <v>100</v>
      </c>
      <c r="T39" s="708" t="s">
        <v>17</v>
      </c>
      <c r="U39" s="709">
        <f t="shared" si="13"/>
        <v>100</v>
      </c>
      <c r="V39" s="708" t="s">
        <v>17</v>
      </c>
      <c r="W39" s="709">
        <f t="shared" si="14"/>
        <v>100</v>
      </c>
      <c r="X39" s="1294"/>
      <c r="Y39" s="3596"/>
      <c r="Z39" s="1295">
        <f t="shared" si="15"/>
        <v>111</v>
      </c>
      <c r="AA39" s="1292">
        <f t="shared" si="3"/>
        <v>1</v>
      </c>
      <c r="AB39" s="1292">
        <f t="shared" si="4"/>
        <v>1</v>
      </c>
      <c r="AC39" s="1292">
        <f t="shared" si="5"/>
        <v>1</v>
      </c>
    </row>
    <row r="40" spans="1:29" ht="15.6"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7"/>
      <c r="Q40" s="1291">
        <f t="shared" si="11"/>
        <v>111</v>
      </c>
      <c r="R40" s="708" t="s">
        <v>17</v>
      </c>
      <c r="S40" s="709">
        <f t="shared" si="12"/>
        <v>100</v>
      </c>
      <c r="T40" s="708" t="s">
        <v>17</v>
      </c>
      <c r="U40" s="709">
        <f t="shared" si="13"/>
        <v>100</v>
      </c>
      <c r="V40" s="708" t="s">
        <v>17</v>
      </c>
      <c r="W40" s="709">
        <f t="shared" si="14"/>
        <v>100</v>
      </c>
      <c r="X40" s="1294"/>
      <c r="Y40" s="3597"/>
      <c r="Z40" s="1295">
        <f t="shared" si="15"/>
        <v>111</v>
      </c>
      <c r="AA40" s="1292">
        <f t="shared" si="3"/>
        <v>1</v>
      </c>
      <c r="AB40" s="1292">
        <f t="shared" si="4"/>
        <v>1</v>
      </c>
      <c r="AC40" s="1292">
        <f t="shared" si="5"/>
        <v>1</v>
      </c>
    </row>
    <row r="41" spans="1:29" ht="14.4">
      <c r="A41" s="433" t="s">
        <v>1961</v>
      </c>
      <c r="B41" s="434"/>
      <c r="C41" s="1112" t="s">
        <v>1</v>
      </c>
      <c r="D41" s="1113"/>
      <c r="E41" s="1114"/>
      <c r="F41" s="1115"/>
      <c r="G41" s="1116"/>
      <c r="H41" s="1117"/>
      <c r="I41" s="1114"/>
      <c r="J41" s="1117"/>
      <c r="K41" s="717"/>
      <c r="L41" s="895"/>
      <c r="M41" s="896"/>
      <c r="N41" s="883"/>
      <c r="O41" s="896"/>
      <c r="P41" s="3589" t="str">
        <f>A41</f>
        <v>成交单价（元/平方米）</v>
      </c>
      <c r="Q41" s="3589"/>
      <c r="R41" s="3590">
        <f>E41</f>
        <v>0</v>
      </c>
      <c r="S41" s="3590"/>
      <c r="T41" s="3590">
        <f>G41</f>
        <v>0</v>
      </c>
      <c r="U41" s="3590"/>
      <c r="V41" s="3590">
        <f>I41</f>
        <v>0</v>
      </c>
      <c r="W41" s="3590"/>
      <c r="X41" s="693"/>
      <c r="Y41" s="715"/>
      <c r="Z41" s="693"/>
      <c r="AA41" s="693"/>
      <c r="AB41" s="693"/>
      <c r="AC41" s="693"/>
    </row>
    <row r="42" spans="1:29" ht="1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3"/>
      <c r="Y42" s="693"/>
      <c r="Z42" s="693"/>
      <c r="AA42" s="693"/>
      <c r="AB42" s="693"/>
      <c r="AC42" s="693"/>
    </row>
    <row r="43" spans="1:29" ht="15" thickBot="1">
      <c r="A43" s="444" t="s">
        <v>2054</v>
      </c>
      <c r="B43" s="445"/>
      <c r="C43" s="1121" t="e">
        <f>R43</f>
        <v>#DIV/0!</v>
      </c>
      <c r="D43" s="1121"/>
      <c r="E43" s="1121"/>
      <c r="F43" s="1121"/>
      <c r="G43" s="1121"/>
      <c r="H43" s="1121"/>
      <c r="I43" s="1121"/>
      <c r="J43" s="1121"/>
      <c r="K43" s="718"/>
      <c r="L43" s="895"/>
      <c r="M43" s="896"/>
      <c r="N43" s="896"/>
      <c r="O43" s="896"/>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2.2" thickBot="1">
      <c r="A51" s="697" t="s">
        <v>2058</v>
      </c>
      <c r="B51" s="693"/>
      <c r="C51" s="698"/>
      <c r="D51" s="698"/>
      <c r="E51" s="698"/>
      <c r="F51" s="699"/>
      <c r="G51" s="699"/>
      <c r="H51" s="698"/>
      <c r="I51" s="698"/>
      <c r="J51" s="698"/>
      <c r="K51" s="910"/>
      <c r="L51" s="911"/>
      <c r="M51" s="909"/>
      <c r="N51" s="909"/>
      <c r="O51" s="909"/>
      <c r="P51" s="455"/>
      <c r="Q51" s="456"/>
    </row>
    <row r="52" spans="1:17" s="460" customFormat="1" ht="14.4">
      <c r="A52" s="457" t="s">
        <v>1932</v>
      </c>
      <c r="B52" s="458"/>
      <c r="C52" s="1138" t="str">
        <f>YEAR(C7)&amp;"-"&amp;MONTH(C7)</f>
        <v>2022-5</v>
      </c>
      <c r="D52" s="1139">
        <f>EDATE(C52,-1)</f>
        <v>44652</v>
      </c>
      <c r="E52" s="1139">
        <f t="shared" ref="E52:O52" si="16">EDATE(D52,-1)</f>
        <v>44621</v>
      </c>
      <c r="F52" s="1139">
        <f t="shared" si="16"/>
        <v>44593</v>
      </c>
      <c r="G52" s="1139">
        <f t="shared" si="16"/>
        <v>44562</v>
      </c>
      <c r="H52" s="1139">
        <f t="shared" si="16"/>
        <v>44531</v>
      </c>
      <c r="I52" s="1139">
        <f t="shared" si="16"/>
        <v>44501</v>
      </c>
      <c r="J52" s="1139">
        <f t="shared" si="16"/>
        <v>44470</v>
      </c>
      <c r="K52" s="1139">
        <f t="shared" si="16"/>
        <v>44440</v>
      </c>
      <c r="L52" s="1139">
        <f t="shared" si="16"/>
        <v>44409</v>
      </c>
      <c r="M52" s="1139">
        <f t="shared" si="16"/>
        <v>44378</v>
      </c>
      <c r="N52" s="1139">
        <f t="shared" si="16"/>
        <v>44348</v>
      </c>
      <c r="O52" s="1139">
        <f t="shared" si="16"/>
        <v>44317</v>
      </c>
      <c r="P52" s="459"/>
    </row>
    <row r="53" spans="1:17" s="112" customFormat="1">
      <c r="A53" s="461"/>
      <c r="B53" s="462"/>
      <c r="C53" s="1137">
        <v>100</v>
      </c>
      <c r="D53" s="464"/>
      <c r="E53" s="464"/>
      <c r="F53" s="464"/>
      <c r="G53" s="464"/>
      <c r="H53" s="464"/>
      <c r="I53" s="464"/>
      <c r="J53" s="464"/>
      <c r="K53" s="464"/>
      <c r="L53" s="464"/>
      <c r="M53" s="465"/>
      <c r="N53" s="464"/>
      <c r="O53" s="466"/>
      <c r="P53" s="456"/>
    </row>
    <row r="54" spans="1:17" s="112" customFormat="1" ht="15" thickBot="1">
      <c r="A54" s="467" t="s">
        <v>1969</v>
      </c>
      <c r="B54" s="468"/>
      <c r="C54" s="469"/>
      <c r="D54" s="470"/>
      <c r="E54" s="470"/>
      <c r="F54" s="470"/>
      <c r="G54" s="470"/>
      <c r="H54" s="470"/>
      <c r="I54" s="470"/>
      <c r="J54" s="470"/>
      <c r="K54" s="470"/>
      <c r="L54" s="470"/>
      <c r="M54" s="471"/>
      <c r="N54" s="2450"/>
      <c r="O54" s="2451"/>
      <c r="P54" s="456"/>
      <c r="Q54" s="456"/>
    </row>
    <row r="55" spans="1:17" s="112" customFormat="1" ht="14.4">
      <c r="A55" s="473" t="s">
        <v>1934</v>
      </c>
      <c r="B55" s="462"/>
      <c r="C55" s="474" t="s">
        <v>2036</v>
      </c>
      <c r="D55" s="475"/>
      <c r="E55" s="475"/>
      <c r="F55" s="475"/>
      <c r="G55" s="475"/>
      <c r="H55" s="475"/>
      <c r="I55" s="475"/>
      <c r="J55" s="475"/>
      <c r="K55" s="475"/>
      <c r="L55" s="476"/>
      <c r="M55" s="477"/>
      <c r="N55" s="901"/>
      <c r="O55" s="901"/>
      <c r="P55" s="478"/>
      <c r="Q55" s="456"/>
    </row>
    <row r="56" spans="1:17" s="112" customFormat="1" ht="14.4" thickBot="1">
      <c r="A56" s="473"/>
      <c r="B56" s="462"/>
      <c r="C56" s="590">
        <v>100</v>
      </c>
      <c r="D56" s="464"/>
      <c r="E56" s="464"/>
      <c r="F56" s="464"/>
      <c r="G56" s="464"/>
      <c r="H56" s="464"/>
      <c r="I56" s="464"/>
      <c r="J56" s="464"/>
      <c r="K56" s="464"/>
      <c r="L56" s="464"/>
      <c r="M56" s="466"/>
      <c r="N56" s="901"/>
      <c r="O56" s="901"/>
      <c r="P56" s="456"/>
      <c r="Q56" s="456"/>
    </row>
    <row r="57" spans="1:17" ht="14.4">
      <c r="A57" s="479" t="s">
        <v>1972</v>
      </c>
      <c r="B57" s="480" t="s">
        <v>1938</v>
      </c>
      <c r="C57" s="481">
        <f>C9</f>
        <v>0</v>
      </c>
      <c r="D57" s="482"/>
      <c r="E57" s="482"/>
      <c r="F57" s="482"/>
      <c r="G57" s="482"/>
      <c r="H57" s="482"/>
      <c r="I57" s="482"/>
      <c r="J57" s="482"/>
      <c r="K57" s="483"/>
      <c r="L57" s="484"/>
      <c r="M57" s="485"/>
      <c r="N57" s="902"/>
      <c r="O57" s="902"/>
      <c r="P57" s="44"/>
      <c r="Q57" s="456"/>
    </row>
    <row r="58" spans="1:17" ht="14.4" thickBot="1">
      <c r="A58" s="486"/>
      <c r="B58" s="487"/>
      <c r="C58" s="488">
        <v>100</v>
      </c>
      <c r="D58" s="488"/>
      <c r="E58" s="488"/>
      <c r="F58" s="488"/>
      <c r="G58" s="488"/>
      <c r="H58" s="488"/>
      <c r="I58" s="488"/>
      <c r="J58" s="488"/>
      <c r="K58" s="488"/>
      <c r="L58" s="488"/>
      <c r="M58" s="489"/>
      <c r="N58" s="903"/>
      <c r="O58" s="903"/>
      <c r="P58" s="44"/>
      <c r="Q58" s="456"/>
    </row>
    <row r="59" spans="1:17" ht="29.4"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4.4"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c r="A62" s="486"/>
      <c r="B62" s="500"/>
      <c r="C62" s="501"/>
      <c r="D62" s="501"/>
      <c r="E62" s="501"/>
      <c r="F62" s="501"/>
      <c r="G62" s="501"/>
      <c r="H62" s="501"/>
      <c r="I62" s="501"/>
      <c r="J62" s="501"/>
      <c r="K62" s="502"/>
      <c r="L62" s="503"/>
      <c r="M62" s="504"/>
      <c r="N62" s="902"/>
      <c r="O62" s="902"/>
      <c r="P62" s="44"/>
      <c r="Q62" s="456"/>
    </row>
    <row r="63" spans="1:17" ht="14.4"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4.4" thickTop="1">
      <c r="A64" s="505"/>
      <c r="B64" s="490">
        <f>B12</f>
        <v>111</v>
      </c>
      <c r="C64" s="506"/>
      <c r="D64" s="506"/>
      <c r="E64" s="506"/>
      <c r="F64" s="506"/>
      <c r="G64" s="506"/>
      <c r="H64" s="507"/>
      <c r="I64" s="507"/>
      <c r="J64" s="507"/>
      <c r="K64" s="507"/>
      <c r="L64" s="508"/>
      <c r="M64" s="509"/>
      <c r="N64" s="904"/>
      <c r="O64" s="904"/>
      <c r="P64" s="510"/>
      <c r="Q64" s="511"/>
    </row>
    <row r="65" spans="1:17" s="425" customFormat="1" ht="14.4" thickBot="1">
      <c r="A65" s="505"/>
      <c r="B65" s="495"/>
      <c r="C65" s="512"/>
      <c r="D65" s="488"/>
      <c r="E65" s="488"/>
      <c r="F65" s="488"/>
      <c r="G65" s="488"/>
      <c r="H65" s="488"/>
      <c r="I65" s="488"/>
      <c r="J65" s="488"/>
      <c r="K65" s="488"/>
      <c r="L65" s="488"/>
      <c r="M65" s="489"/>
      <c r="N65" s="903"/>
      <c r="O65" s="903"/>
      <c r="P65" s="510"/>
      <c r="Q65" s="511"/>
    </row>
    <row r="66" spans="1:17" s="425" customFormat="1" ht="14.4" thickTop="1">
      <c r="A66" s="505"/>
      <c r="B66" s="490">
        <f>B13</f>
        <v>111</v>
      </c>
      <c r="C66" s="506"/>
      <c r="D66" s="506"/>
      <c r="E66" s="506"/>
      <c r="F66" s="506"/>
      <c r="G66" s="506"/>
      <c r="H66" s="507"/>
      <c r="I66" s="507"/>
      <c r="J66" s="507"/>
      <c r="K66" s="507"/>
      <c r="L66" s="508"/>
      <c r="M66" s="509"/>
      <c r="N66" s="904"/>
      <c r="O66" s="904"/>
      <c r="P66" s="424"/>
      <c r="Q66" s="513"/>
    </row>
    <row r="67" spans="1:17" s="425" customFormat="1" ht="14.4" thickBot="1">
      <c r="A67" s="505"/>
      <c r="B67" s="495"/>
      <c r="C67" s="512"/>
      <c r="D67" s="488"/>
      <c r="E67" s="488"/>
      <c r="F67" s="488"/>
      <c r="G67" s="512"/>
      <c r="H67" s="514"/>
      <c r="I67" s="514"/>
      <c r="J67" s="514"/>
      <c r="K67" s="514"/>
      <c r="L67" s="514"/>
      <c r="M67" s="515"/>
      <c r="N67" s="904"/>
      <c r="O67" s="904"/>
      <c r="P67" s="510"/>
      <c r="Q67" s="511"/>
    </row>
    <row r="68" spans="1:17" s="425" customFormat="1" ht="14.4" thickTop="1">
      <c r="A68" s="505"/>
      <c r="B68" s="498">
        <f>B14</f>
        <v>111</v>
      </c>
      <c r="C68" s="475"/>
      <c r="D68" s="475"/>
      <c r="E68" s="475"/>
      <c r="F68" s="475"/>
      <c r="G68" s="475"/>
      <c r="H68" s="516"/>
      <c r="I68" s="516"/>
      <c r="J68" s="516"/>
      <c r="K68" s="516"/>
      <c r="L68" s="517"/>
      <c r="M68" s="518"/>
      <c r="N68" s="904"/>
      <c r="O68" s="904"/>
      <c r="P68" s="519"/>
      <c r="Q68" s="511"/>
    </row>
    <row r="69" spans="1:17" s="425" customFormat="1" ht="14.4" thickBot="1">
      <c r="A69" s="520"/>
      <c r="B69" s="521"/>
      <c r="C69" s="522"/>
      <c r="D69" s="522"/>
      <c r="E69" s="522"/>
      <c r="F69" s="522"/>
      <c r="G69" s="522"/>
      <c r="H69" s="523"/>
      <c r="I69" s="523"/>
      <c r="J69" s="523"/>
      <c r="K69" s="523"/>
      <c r="L69" s="523"/>
      <c r="M69" s="524"/>
      <c r="N69" s="904"/>
      <c r="O69" s="904"/>
      <c r="P69" s="510"/>
      <c r="Q69" s="511"/>
    </row>
    <row r="70" spans="1:17" ht="14.4">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4.4"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4.4"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4.4"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4.4"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4.4"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4.4" thickTop="1">
      <c r="A80" s="531"/>
      <c r="B80" s="490">
        <f>B25</f>
        <v>111</v>
      </c>
      <c r="C80" s="506"/>
      <c r="D80" s="506"/>
      <c r="E80" s="506"/>
      <c r="F80" s="506"/>
      <c r="G80" s="506"/>
      <c r="H80" s="506"/>
      <c r="I80" s="506"/>
      <c r="J80" s="506"/>
      <c r="K80" s="506"/>
      <c r="L80" s="532"/>
      <c r="M80" s="533"/>
      <c r="N80" s="901"/>
      <c r="O80" s="901"/>
      <c r="P80" s="44"/>
      <c r="Q80" s="456"/>
    </row>
    <row r="81" spans="1:17" s="112" customFormat="1" ht="14.4" thickBot="1">
      <c r="A81" s="531"/>
      <c r="B81" s="495"/>
      <c r="C81" s="512"/>
      <c r="D81" s="488"/>
      <c r="E81" s="488"/>
      <c r="F81" s="488"/>
      <c r="G81" s="488"/>
      <c r="H81" s="488"/>
      <c r="I81" s="488"/>
      <c r="J81" s="488"/>
      <c r="K81" s="488"/>
      <c r="L81" s="488"/>
      <c r="M81" s="489"/>
      <c r="N81" s="903"/>
      <c r="O81" s="903"/>
      <c r="P81" s="44"/>
      <c r="Q81" s="456"/>
    </row>
    <row r="82" spans="1:17" s="112" customFormat="1" ht="14.4" thickTop="1">
      <c r="A82" s="531"/>
      <c r="B82" s="490">
        <f>B26</f>
        <v>111</v>
      </c>
      <c r="C82" s="506"/>
      <c r="D82" s="506"/>
      <c r="E82" s="506"/>
      <c r="F82" s="506"/>
      <c r="G82" s="506"/>
      <c r="H82" s="506"/>
      <c r="I82" s="506"/>
      <c r="J82" s="506"/>
      <c r="K82" s="506"/>
      <c r="L82" s="532"/>
      <c r="M82" s="533"/>
      <c r="N82" s="901"/>
      <c r="O82" s="901"/>
      <c r="P82" s="44"/>
      <c r="Q82" s="456"/>
    </row>
    <row r="83" spans="1:17" s="112" customFormat="1" ht="14.4" thickBot="1">
      <c r="A83" s="531"/>
      <c r="B83" s="495"/>
      <c r="C83" s="512"/>
      <c r="D83" s="488"/>
      <c r="E83" s="488"/>
      <c r="F83" s="488"/>
      <c r="G83" s="488"/>
      <c r="H83" s="488"/>
      <c r="I83" s="488"/>
      <c r="J83" s="488"/>
      <c r="K83" s="488"/>
      <c r="L83" s="488"/>
      <c r="M83" s="489"/>
      <c r="N83" s="903"/>
      <c r="O83" s="903"/>
      <c r="P83" s="44"/>
      <c r="Q83" s="456"/>
    </row>
    <row r="84" spans="1:17" s="425" customFormat="1" ht="14.4" thickTop="1">
      <c r="A84" s="505"/>
      <c r="B84" s="490">
        <f>B27</f>
        <v>111</v>
      </c>
      <c r="C84" s="506"/>
      <c r="D84" s="506"/>
      <c r="E84" s="506"/>
      <c r="F84" s="506"/>
      <c r="G84" s="506"/>
      <c r="H84" s="506"/>
      <c r="I84" s="506"/>
      <c r="J84" s="506"/>
      <c r="K84" s="506"/>
      <c r="L84" s="532"/>
      <c r="M84" s="533"/>
      <c r="N84" s="904"/>
      <c r="O84" s="904"/>
      <c r="P84" s="510"/>
      <c r="Q84" s="511"/>
    </row>
    <row r="85" spans="1:17" s="425" customFormat="1" ht="14.4" thickBot="1">
      <c r="A85" s="505"/>
      <c r="B85" s="495"/>
      <c r="C85" s="512"/>
      <c r="D85" s="488"/>
      <c r="E85" s="488"/>
      <c r="F85" s="488"/>
      <c r="G85" s="488"/>
      <c r="H85" s="488"/>
      <c r="I85" s="488"/>
      <c r="J85" s="488"/>
      <c r="K85" s="488"/>
      <c r="L85" s="488"/>
      <c r="M85" s="489"/>
      <c r="N85" s="904"/>
      <c r="O85" s="904"/>
      <c r="P85" s="510"/>
      <c r="Q85" s="511"/>
    </row>
    <row r="86" spans="1:17" ht="14.4" thickTop="1">
      <c r="A86" s="486"/>
      <c r="B86" s="498">
        <f>B28</f>
        <v>111</v>
      </c>
      <c r="C86" s="475"/>
      <c r="D86" s="475"/>
      <c r="E86" s="475"/>
      <c r="F86" s="475"/>
      <c r="G86" s="539"/>
      <c r="H86" s="539"/>
      <c r="I86" s="539"/>
      <c r="J86" s="539"/>
      <c r="K86" s="540"/>
      <c r="L86" s="541"/>
      <c r="M86" s="542"/>
      <c r="N86" s="902"/>
      <c r="O86" s="902"/>
      <c r="P86" s="44"/>
      <c r="Q86" s="456"/>
    </row>
    <row r="87" spans="1:17" ht="14.4" thickBot="1">
      <c r="A87" s="1868"/>
      <c r="B87" s="521"/>
      <c r="C87" s="522"/>
      <c r="D87" s="522"/>
      <c r="E87" s="522"/>
      <c r="F87" s="522"/>
      <c r="G87" s="543"/>
      <c r="H87" s="543"/>
      <c r="I87" s="543"/>
      <c r="J87" s="543"/>
      <c r="K87" s="543"/>
      <c r="L87" s="543"/>
      <c r="M87" s="544"/>
      <c r="N87" s="903"/>
      <c r="O87" s="903"/>
      <c r="P87" s="44"/>
      <c r="Q87" s="456"/>
    </row>
    <row r="88" spans="1:17" ht="14.4">
      <c r="A88" s="479" t="s">
        <v>1947</v>
      </c>
      <c r="B88" s="480" t="s">
        <v>1996</v>
      </c>
      <c r="C88" s="482"/>
      <c r="D88" s="482"/>
      <c r="E88" s="482"/>
      <c r="F88" s="482"/>
      <c r="G88" s="482"/>
      <c r="H88" s="482"/>
      <c r="I88" s="482"/>
      <c r="J88" s="482"/>
      <c r="K88" s="483"/>
      <c r="L88" s="484"/>
      <c r="M88" s="485"/>
      <c r="N88" s="902"/>
      <c r="O88" s="902"/>
      <c r="P88" s="44"/>
      <c r="Q88" s="456"/>
    </row>
    <row r="89" spans="1:17" ht="14.4"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4.4"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4.4"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4.4"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4.4"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4.4"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4.4"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4.4"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29.4"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4.4"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4.4"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4.4" thickBot="1">
      <c r="A109" s="505"/>
      <c r="B109" s="487"/>
      <c r="C109" s="512"/>
      <c r="D109" s="488"/>
      <c r="E109" s="488"/>
      <c r="F109" s="488"/>
      <c r="G109" s="512"/>
      <c r="H109" s="514"/>
      <c r="I109" s="514"/>
      <c r="J109" s="514"/>
      <c r="K109" s="514"/>
      <c r="L109" s="514"/>
      <c r="M109" s="515"/>
      <c r="N109" s="904"/>
      <c r="O109" s="904"/>
      <c r="P109" s="510"/>
      <c r="Q109" s="511"/>
    </row>
    <row r="110" spans="1:17" ht="14.4" thickTop="1">
      <c r="A110" s="551"/>
      <c r="B110" s="490">
        <f>B39</f>
        <v>111</v>
      </c>
      <c r="C110" s="506"/>
      <c r="D110" s="506"/>
      <c r="E110" s="506"/>
      <c r="F110" s="506"/>
      <c r="G110" s="506"/>
      <c r="H110" s="507"/>
      <c r="I110" s="507"/>
      <c r="J110" s="507"/>
      <c r="K110" s="507"/>
      <c r="L110" s="508"/>
      <c r="M110" s="509"/>
      <c r="N110" s="902"/>
      <c r="O110" s="902"/>
      <c r="P110" s="44"/>
      <c r="Q110" s="456"/>
    </row>
    <row r="111" spans="1:17" ht="14.4" thickBot="1">
      <c r="A111" s="486"/>
      <c r="B111" s="495"/>
      <c r="C111" s="512"/>
      <c r="D111" s="488"/>
      <c r="E111" s="488"/>
      <c r="F111" s="488"/>
      <c r="G111" s="512"/>
      <c r="H111" s="514"/>
      <c r="I111" s="514"/>
      <c r="J111" s="514"/>
      <c r="K111" s="514"/>
      <c r="L111" s="514"/>
      <c r="M111" s="515"/>
      <c r="N111" s="903"/>
      <c r="O111" s="903"/>
      <c r="P111" s="44"/>
      <c r="Q111" s="456"/>
    </row>
    <row r="112" spans="1:17" ht="14.4" thickTop="1">
      <c r="A112" s="551"/>
      <c r="B112" s="498">
        <f>B40</f>
        <v>111</v>
      </c>
      <c r="C112" s="475"/>
      <c r="D112" s="475"/>
      <c r="E112" s="475"/>
      <c r="F112" s="475"/>
      <c r="G112" s="539"/>
      <c r="H112" s="539"/>
      <c r="I112" s="539"/>
      <c r="J112" s="539"/>
      <c r="K112" s="475"/>
      <c r="L112" s="476"/>
      <c r="M112" s="542"/>
      <c r="N112" s="902"/>
      <c r="O112" s="902"/>
      <c r="P112" s="44"/>
      <c r="Q112" s="456"/>
    </row>
    <row r="113" spans="1:17" ht="14.4"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16" customWidth="1"/>
    <col min="2" max="16384" width="9" style="1416"/>
  </cols>
  <sheetData>
    <row r="1" spans="1:1" ht="22.8">
      <c r="A1" s="1415" t="s">
        <v>1139</v>
      </c>
    </row>
    <row r="2" spans="1:1">
      <c r="A2" s="1417"/>
    </row>
    <row r="3" spans="1:1" ht="17.399999999999999">
      <c r="A3" s="1418" t="str">
        <f>项目基本情况!B5&amp;"："</f>
        <v>：</v>
      </c>
    </row>
    <row r="4" spans="1:1" ht="17.399999999999999">
      <c r="A4" s="1419" t="str">
        <f>"受贵公司委托，我公司对"&amp;项目基本情况!S1&amp;"进行了预评估。"</f>
        <v>受贵公司委托，我公司对北京市房地产市场价值进行了预评估。</v>
      </c>
    </row>
    <row r="5" spans="1:1" ht="17.399999999999999">
      <c r="A5" s="1420" t="s">
        <v>1140</v>
      </c>
    </row>
    <row r="6" spans="1:1" ht="17.399999999999999">
      <c r="A6" s="1421" t="s">
        <v>1141</v>
      </c>
    </row>
    <row r="7" spans="1:1" ht="17.399999999999999">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22" t="s">
        <v>1142</v>
      </c>
    </row>
    <row r="9" spans="1:1" ht="17.399999999999999">
      <c r="A9" s="1421" t="s">
        <v>1143</v>
      </c>
    </row>
    <row r="10" spans="1:1" ht="17.399999999999999">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22" t="s">
        <v>1144</v>
      </c>
    </row>
    <row r="12" spans="1:1" ht="17.399999999999999">
      <c r="A12" s="1420" t="s">
        <v>1145</v>
      </c>
    </row>
    <row r="13" spans="1:1" ht="38.25" customHeight="1">
      <c r="A13" s="1423" t="str">
        <f>IF(项目基本情况!B8="抵押",IF(项目基本情况!B5=项目基本情况!B6,定义!C51,定义!B51),定义!D51)</f>
        <v>为估价委托人了解估价对象房地产市场价值提供参考依据。</v>
      </c>
    </row>
    <row r="14" spans="1:1" ht="17.399999999999999">
      <c r="A14" s="1424" t="s">
        <v>1146</v>
      </c>
    </row>
    <row r="15" spans="1:1" ht="17.399999999999999">
      <c r="A15" s="1425" t="str">
        <f>TEXT(项目基本情况!D3,"yyyy年m月d日;;")&amp;IF(项目基本情况!D3=项目基本情况!B3,"（评估专业人员实地查勘之日）","")</f>
        <v>2022年5月16日</v>
      </c>
    </row>
    <row r="16" spans="1:1" ht="17.399999999999999">
      <c r="A16" s="1424" t="s">
        <v>1147</v>
      </c>
    </row>
    <row r="17" spans="1:1" ht="69.599999999999994">
      <c r="A17" s="1419" t="s">
        <v>1148</v>
      </c>
    </row>
    <row r="18" spans="1:1" ht="52.2">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16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19" t="str">
        <f>IF(项目基本情况!B9="房地产市场价值","——",IF(项目基本情况!E8="房地产抵押价值",定义!C54,IF(项目基本情况!E8="已注销",定义!C55,定义!C56)))</f>
        <v>——</v>
      </c>
    </row>
    <row r="21" spans="1:1" ht="52.2">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419" t="str">
        <f>IF(项目基本情况!B9="房地产市场价值","——",IF(项目基本情况!E9="——","",定义!C57))</f>
        <v>——</v>
      </c>
    </row>
    <row r="23" spans="1:1" ht="17.399999999999999">
      <c r="A23" s="1424" t="s">
        <v>1137</v>
      </c>
    </row>
    <row r="24" spans="1:1" ht="17.399999999999999">
      <c r="A24" s="1426" t="str">
        <f>"本次评估采用的主估价方法为"&amp;结果表!K4&amp;"和"&amp;结果表!L4&amp;"。"</f>
        <v>本次评估采用的主估价方法为基准地价系数修正法和基准地价系数修正法。</v>
      </c>
    </row>
    <row r="25" spans="1:1" ht="17.399999999999999">
      <c r="A25" s="1426"/>
    </row>
    <row r="26" spans="1:1" ht="17.399999999999999">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5.44140625" style="358" customWidth="1"/>
    <col min="10" max="10" width="12.21875" style="358" customWidth="1"/>
    <col min="11" max="11" width="12.21875" style="447" customWidth="1"/>
    <col min="12" max="12" width="12.21875" style="448" customWidth="1"/>
    <col min="13" max="15" width="12.21875" style="358" customWidth="1"/>
    <col min="16" max="16" width="4.77734375" style="875"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4.4">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 thickBot="1">
      <c r="A7" s="363" t="s">
        <v>1932</v>
      </c>
      <c r="B7" s="364"/>
      <c r="C7" s="365">
        <f>'数据-取费表'!B2</f>
        <v>44697</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6" si="3">D8/F8</f>
        <v>#DIV/0!</v>
      </c>
      <c r="AB8" s="707" t="e">
        <f t="shared" ref="AB8:AB36" si="4">D8/H8</f>
        <v>#DIV/0!</v>
      </c>
      <c r="AC8" s="707" t="e">
        <f t="shared" ref="AC8:AC36" si="5">D8/J8</f>
        <v>#DIV/0!</v>
      </c>
    </row>
    <row r="9" spans="1:29" s="112" customFormat="1" ht="14.4">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8.8">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6"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96.6">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92"/>
      <c r="Q15" s="1291"/>
      <c r="R15" s="708"/>
      <c r="S15" s="709"/>
      <c r="T15" s="708"/>
      <c r="U15" s="709"/>
      <c r="V15" s="708"/>
      <c r="W15" s="709"/>
      <c r="X15" s="1294"/>
      <c r="Y15" s="3592"/>
      <c r="Z15" s="1295"/>
      <c r="AA15" s="1292">
        <v>1</v>
      </c>
      <c r="AB15" s="1292">
        <v>1</v>
      </c>
      <c r="AC15" s="1292">
        <v>1</v>
      </c>
    </row>
    <row r="16" spans="1:29" ht="41.4">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92"/>
      <c r="Q17" s="1291"/>
      <c r="R17" s="708"/>
      <c r="S17" s="709"/>
      <c r="T17" s="708"/>
      <c r="U17" s="709"/>
      <c r="V17" s="708"/>
      <c r="W17" s="709"/>
      <c r="X17" s="1294"/>
      <c r="Y17" s="3592"/>
      <c r="Z17" s="1295"/>
      <c r="AA17" s="1292">
        <v>1</v>
      </c>
      <c r="AB17" s="1292">
        <v>1</v>
      </c>
      <c r="AC17" s="1292">
        <v>1</v>
      </c>
    </row>
    <row r="18" spans="1:29" ht="41.4">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92"/>
      <c r="Q19" s="1291"/>
      <c r="R19" s="708"/>
      <c r="S19" s="709"/>
      <c r="T19" s="708"/>
      <c r="U19" s="709"/>
      <c r="V19" s="708"/>
      <c r="W19" s="709"/>
      <c r="X19" s="1294"/>
      <c r="Y19" s="3592"/>
      <c r="Z19" s="1295"/>
      <c r="AA19" s="1292">
        <v>1</v>
      </c>
      <c r="AB19" s="1292">
        <v>1</v>
      </c>
      <c r="AC19" s="1292">
        <v>1</v>
      </c>
    </row>
    <row r="20" spans="1:29" ht="55.2">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92"/>
      <c r="Q21" s="1291"/>
      <c r="R21" s="708"/>
      <c r="S21" s="709"/>
      <c r="T21" s="708"/>
      <c r="U21" s="709"/>
      <c r="V21" s="708"/>
      <c r="W21" s="709"/>
      <c r="X21" s="1294"/>
      <c r="Y21" s="359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92"/>
      <c r="Q24" s="1291">
        <f t="shared" ref="Q24:Q36"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6"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30">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96"/>
      <c r="Q27" s="710" t="str">
        <f t="shared" si="11"/>
        <v>项目停车位配比</v>
      </c>
      <c r="R27" s="711" t="s">
        <v>17</v>
      </c>
      <c r="S27" s="712">
        <f t="shared" si="12"/>
        <v>100</v>
      </c>
      <c r="T27" s="711" t="s">
        <v>17</v>
      </c>
      <c r="U27" s="712">
        <f t="shared" si="13"/>
        <v>100</v>
      </c>
      <c r="V27" s="711" t="s">
        <v>17</v>
      </c>
      <c r="W27" s="712">
        <f t="shared" si="14"/>
        <v>100</v>
      </c>
      <c r="X27" s="713"/>
      <c r="Y27" s="359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96"/>
      <c r="Q28" s="1291" t="str">
        <f t="shared" si="11"/>
        <v>公共部分装修</v>
      </c>
      <c r="R28" s="708" t="s">
        <v>17</v>
      </c>
      <c r="S28" s="709">
        <f t="shared" si="12"/>
        <v>100</v>
      </c>
      <c r="T28" s="708" t="s">
        <v>17</v>
      </c>
      <c r="U28" s="709">
        <f t="shared" si="13"/>
        <v>100</v>
      </c>
      <c r="V28" s="708" t="s">
        <v>17</v>
      </c>
      <c r="W28" s="709">
        <f t="shared" si="14"/>
        <v>100</v>
      </c>
      <c r="X28" s="1294"/>
      <c r="Y28" s="359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96"/>
      <c r="Q29" s="1291" t="str">
        <f t="shared" si="11"/>
        <v>成新率</v>
      </c>
      <c r="R29" s="708" t="s">
        <v>17</v>
      </c>
      <c r="S29" s="709" t="e">
        <f t="shared" si="12"/>
        <v>#N/A</v>
      </c>
      <c r="T29" s="708" t="s">
        <v>17</v>
      </c>
      <c r="U29" s="709" t="e">
        <f t="shared" si="13"/>
        <v>#N/A</v>
      </c>
      <c r="V29" s="708" t="s">
        <v>17</v>
      </c>
      <c r="W29" s="709" t="e">
        <f t="shared" si="14"/>
        <v>#N/A</v>
      </c>
      <c r="X29" s="1294"/>
      <c r="Y29" s="359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96"/>
      <c r="Q30" s="1291" t="str">
        <f t="shared" si="11"/>
        <v>物业等级</v>
      </c>
      <c r="R30" s="708" t="s">
        <v>17</v>
      </c>
      <c r="S30" s="709">
        <f t="shared" si="12"/>
        <v>100</v>
      </c>
      <c r="T30" s="708" t="s">
        <v>17</v>
      </c>
      <c r="U30" s="709">
        <f t="shared" si="13"/>
        <v>100</v>
      </c>
      <c r="V30" s="708" t="s">
        <v>17</v>
      </c>
      <c r="W30" s="709">
        <f t="shared" si="14"/>
        <v>100</v>
      </c>
      <c r="X30" s="1294"/>
      <c r="Y30" s="359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96"/>
      <c r="Q31" s="1284" t="str">
        <f t="shared" si="11"/>
        <v>停车位面积</v>
      </c>
      <c r="R31" s="704" t="s">
        <v>17</v>
      </c>
      <c r="S31" s="705" t="e">
        <f t="shared" si="12"/>
        <v>#N/A</v>
      </c>
      <c r="T31" s="704" t="s">
        <v>17</v>
      </c>
      <c r="U31" s="705" t="e">
        <f t="shared" si="13"/>
        <v>#N/A</v>
      </c>
      <c r="V31" s="704" t="s">
        <v>17</v>
      </c>
      <c r="W31" s="705" t="e">
        <f t="shared" si="14"/>
        <v>#N/A</v>
      </c>
      <c r="X31" s="706"/>
      <c r="Y31" s="359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96" t="s">
        <v>1949</v>
      </c>
      <c r="Q32" s="1291" t="str">
        <f t="shared" si="11"/>
        <v>车位类型</v>
      </c>
      <c r="R32" s="708" t="s">
        <v>17</v>
      </c>
      <c r="S32" s="709">
        <f t="shared" si="12"/>
        <v>100</v>
      </c>
      <c r="T32" s="708" t="s">
        <v>17</v>
      </c>
      <c r="U32" s="709">
        <f t="shared" si="13"/>
        <v>100</v>
      </c>
      <c r="V32" s="708" t="s">
        <v>17</v>
      </c>
      <c r="W32" s="709">
        <f t="shared" si="14"/>
        <v>100</v>
      </c>
      <c r="X32" s="1294"/>
      <c r="Y32" s="359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96"/>
      <c r="Q33" s="1291" t="str">
        <f t="shared" si="11"/>
        <v>是否直接入户</v>
      </c>
      <c r="R33" s="708" t="s">
        <v>17</v>
      </c>
      <c r="S33" s="709">
        <f t="shared" si="12"/>
        <v>100</v>
      </c>
      <c r="T33" s="708" t="s">
        <v>17</v>
      </c>
      <c r="U33" s="709">
        <f t="shared" si="13"/>
        <v>100</v>
      </c>
      <c r="V33" s="708" t="s">
        <v>17</v>
      </c>
      <c r="W33" s="709">
        <f t="shared" si="14"/>
        <v>100</v>
      </c>
      <c r="X33" s="1294"/>
      <c r="Y33" s="359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96"/>
      <c r="Q35" s="710">
        <f t="shared" si="11"/>
        <v>111</v>
      </c>
      <c r="R35" s="711" t="s">
        <v>17</v>
      </c>
      <c r="S35" s="712">
        <f t="shared" si="12"/>
        <v>100</v>
      </c>
      <c r="T35" s="711" t="s">
        <v>17</v>
      </c>
      <c r="U35" s="712">
        <f t="shared" si="13"/>
        <v>100</v>
      </c>
      <c r="V35" s="711" t="s">
        <v>17</v>
      </c>
      <c r="W35" s="712">
        <f t="shared" si="14"/>
        <v>100</v>
      </c>
      <c r="X35" s="713"/>
      <c r="Y35" s="3596"/>
      <c r="Z35" s="714">
        <f t="shared" si="15"/>
        <v>111</v>
      </c>
      <c r="AA35" s="1292">
        <f t="shared" si="3"/>
        <v>1</v>
      </c>
      <c r="AB35" s="1292">
        <f t="shared" si="4"/>
        <v>1</v>
      </c>
      <c r="AC35" s="1292">
        <f t="shared" si="5"/>
        <v>1</v>
      </c>
    </row>
    <row r="36" spans="1:29" ht="15.6"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96"/>
      <c r="Q36" s="1291">
        <f t="shared" si="11"/>
        <v>111</v>
      </c>
      <c r="R36" s="708" t="s">
        <v>17</v>
      </c>
      <c r="S36" s="709">
        <f t="shared" si="12"/>
        <v>100</v>
      </c>
      <c r="T36" s="708" t="s">
        <v>17</v>
      </c>
      <c r="U36" s="709">
        <f t="shared" si="13"/>
        <v>100</v>
      </c>
      <c r="V36" s="708" t="s">
        <v>17</v>
      </c>
      <c r="W36" s="709">
        <f t="shared" si="14"/>
        <v>100</v>
      </c>
      <c r="X36" s="1294"/>
      <c r="Y36" s="3596"/>
      <c r="Z36" s="1295">
        <f t="shared" si="15"/>
        <v>111</v>
      </c>
      <c r="AA36" s="1292">
        <f t="shared" si="3"/>
        <v>1</v>
      </c>
      <c r="AB36" s="1292">
        <f t="shared" si="4"/>
        <v>1</v>
      </c>
      <c r="AC36" s="1292">
        <f t="shared" si="5"/>
        <v>1</v>
      </c>
    </row>
    <row r="37" spans="1:29" ht="14.4">
      <c r="A37" s="433" t="s">
        <v>2104</v>
      </c>
      <c r="B37" s="1913" t="s">
        <v>2105</v>
      </c>
      <c r="C37" s="1112" t="s">
        <v>1</v>
      </c>
      <c r="D37" s="1113"/>
      <c r="E37" s="1114"/>
      <c r="F37" s="1115"/>
      <c r="G37" s="1116"/>
      <c r="H37" s="1117"/>
      <c r="I37" s="1114"/>
      <c r="J37" s="1117"/>
      <c r="K37" s="571"/>
      <c r="L37" s="2404"/>
      <c r="M37" s="2405"/>
      <c r="N37" s="2396"/>
      <c r="O37" s="2405"/>
      <c r="P37" s="3589" t="str">
        <f>A37</f>
        <v>成交单价</v>
      </c>
      <c r="Q37" s="3589"/>
      <c r="R37" s="3590">
        <f>E37</f>
        <v>0</v>
      </c>
      <c r="S37" s="3590"/>
      <c r="T37" s="3590">
        <f>G37</f>
        <v>0</v>
      </c>
      <c r="U37" s="3590"/>
      <c r="V37" s="3590">
        <f>I37</f>
        <v>0</v>
      </c>
      <c r="W37" s="3590"/>
      <c r="X37" s="693"/>
      <c r="Y37" s="715"/>
      <c r="Z37" s="693"/>
      <c r="AA37" s="693"/>
      <c r="AB37" s="693"/>
      <c r="AC37" s="693"/>
    </row>
    <row r="38" spans="1:29" ht="1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3"/>
      <c r="Y38" s="693"/>
      <c r="Z38" s="693"/>
      <c r="AA38" s="693"/>
      <c r="AB38" s="693"/>
      <c r="AC38" s="693"/>
    </row>
    <row r="39" spans="1:29" ht="15" thickBot="1">
      <c r="A39" s="444" t="s">
        <v>2107</v>
      </c>
      <c r="B39" s="445"/>
      <c r="C39" s="1121" t="e">
        <f>R39</f>
        <v>#DIV/0!</v>
      </c>
      <c r="D39" s="1121"/>
      <c r="E39" s="1121"/>
      <c r="F39" s="1121"/>
      <c r="G39" s="1121"/>
      <c r="H39" s="1121"/>
      <c r="I39" s="1121"/>
      <c r="J39" s="1121"/>
      <c r="K39" s="572"/>
      <c r="L39" s="2404"/>
      <c r="M39" s="2405"/>
      <c r="N39" s="2405"/>
      <c r="O39" s="2405"/>
      <c r="P39" s="3586" t="str">
        <f>A39</f>
        <v>估价对象XX用房的比较价值（楼面单价，元/平方米）</v>
      </c>
      <c r="Q39" s="3587"/>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2.2"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4.4">
      <c r="A48" s="457" t="s">
        <v>2112</v>
      </c>
      <c r="B48" s="458"/>
      <c r="C48" s="1138" t="str">
        <f>YEAR(C7)&amp;"-"&amp;MONTH(C7)</f>
        <v>2022-5</v>
      </c>
      <c r="D48" s="1139">
        <f>EDATE(C48,-1)</f>
        <v>44652</v>
      </c>
      <c r="E48" s="1139">
        <f t="shared" ref="E48:O48" si="16">EDATE(D48,-1)</f>
        <v>44621</v>
      </c>
      <c r="F48" s="1139">
        <f t="shared" si="16"/>
        <v>44593</v>
      </c>
      <c r="G48" s="1139">
        <f t="shared" si="16"/>
        <v>44562</v>
      </c>
      <c r="H48" s="1139">
        <f t="shared" si="16"/>
        <v>44531</v>
      </c>
      <c r="I48" s="1139">
        <f t="shared" si="16"/>
        <v>44501</v>
      </c>
      <c r="J48" s="1139">
        <f t="shared" si="16"/>
        <v>44470</v>
      </c>
      <c r="K48" s="1139">
        <f t="shared" si="16"/>
        <v>44440</v>
      </c>
      <c r="L48" s="1139">
        <f t="shared" si="16"/>
        <v>44409</v>
      </c>
      <c r="M48" s="1139">
        <f t="shared" si="16"/>
        <v>44378</v>
      </c>
      <c r="N48" s="1139">
        <f t="shared" si="16"/>
        <v>44348</v>
      </c>
      <c r="O48" s="1139">
        <f t="shared" si="16"/>
        <v>44317</v>
      </c>
      <c r="P48" s="2439"/>
      <c r="Q48" s="2421"/>
      <c r="R48" s="2421"/>
      <c r="S48" s="2421"/>
      <c r="T48" s="2421"/>
      <c r="U48" s="2421"/>
      <c r="V48" s="2421"/>
      <c r="W48" s="2421"/>
      <c r="X48" s="2421"/>
      <c r="Y48" s="2421"/>
      <c r="Z48" s="2421"/>
      <c r="AA48" s="2421"/>
      <c r="AB48" s="2421"/>
      <c r="AC48" s="2421"/>
    </row>
    <row r="49" spans="1:29" s="112" customFormat="1">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4.4">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4.4"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ht="14.4">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4.4"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9.4"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4.4"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4.4"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4.4"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4.4"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4.4"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4.4"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4.4"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4.4"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4.4"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4.4"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4.4"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4.4"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4.4"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4.4"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4.4"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4.4"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4.4"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4.4"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9.4"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4.4"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4.4"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4.4"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4.4"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4.4"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4.4"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4.4"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4.4"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4.4"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4.4"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4.4"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4.4"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4.4"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4.4"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4.4"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4.4">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 thickBot="1">
      <c r="A7" s="363" t="s">
        <v>1932</v>
      </c>
      <c r="B7" s="364"/>
      <c r="C7" s="365">
        <f>'数据-取费表'!B2</f>
        <v>44697</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4" si="3">D8/F8</f>
        <v>#DIV/0!</v>
      </c>
      <c r="AB8" s="707" t="e">
        <f t="shared" ref="AB8:AB34" si="4">D8/H8</f>
        <v>#DIV/0!</v>
      </c>
      <c r="AC8" s="707" t="e">
        <f t="shared" ref="AC8:AC34" si="5">D8/J8</f>
        <v>#DIV/0!</v>
      </c>
    </row>
    <row r="9" spans="1:29" s="112" customFormat="1" ht="14.4">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8.8">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6"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96.6">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92"/>
      <c r="Q15" s="1291"/>
      <c r="R15" s="708"/>
      <c r="S15" s="709"/>
      <c r="T15" s="708"/>
      <c r="U15" s="709"/>
      <c r="V15" s="708"/>
      <c r="W15" s="709"/>
      <c r="X15" s="1294"/>
      <c r="Y15" s="3592"/>
      <c r="Z15" s="1295"/>
      <c r="AA15" s="1292">
        <v>1</v>
      </c>
      <c r="AB15" s="1292">
        <v>1</v>
      </c>
      <c r="AC15" s="1292">
        <v>1</v>
      </c>
    </row>
    <row r="16" spans="1:29" ht="41.4">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92"/>
      <c r="Q17" s="1291"/>
      <c r="R17" s="708"/>
      <c r="S17" s="709"/>
      <c r="T17" s="708"/>
      <c r="U17" s="709"/>
      <c r="V17" s="708"/>
      <c r="W17" s="709"/>
      <c r="X17" s="1294"/>
      <c r="Y17" s="3592"/>
      <c r="Z17" s="1295"/>
      <c r="AA17" s="1292">
        <v>1</v>
      </c>
      <c r="AB17" s="1292">
        <v>1</v>
      </c>
      <c r="AC17" s="1292">
        <v>1</v>
      </c>
    </row>
    <row r="18" spans="1:29" ht="41.4">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92"/>
      <c r="Q19" s="1291"/>
      <c r="R19" s="708"/>
      <c r="S19" s="709"/>
      <c r="T19" s="708"/>
      <c r="U19" s="709"/>
      <c r="V19" s="708"/>
      <c r="W19" s="709"/>
      <c r="X19" s="1294"/>
      <c r="Y19" s="3592"/>
      <c r="Z19" s="1295"/>
      <c r="AA19" s="1292">
        <v>1</v>
      </c>
      <c r="AB19" s="1292">
        <v>1</v>
      </c>
      <c r="AC19" s="1292">
        <v>1</v>
      </c>
    </row>
    <row r="20" spans="1:29" ht="55.2">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92"/>
      <c r="Q21" s="1291"/>
      <c r="R21" s="708"/>
      <c r="S21" s="709"/>
      <c r="T21" s="708"/>
      <c r="U21" s="709"/>
      <c r="V21" s="708"/>
      <c r="W21" s="709"/>
      <c r="X21" s="1294"/>
      <c r="Y21" s="359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92"/>
      <c r="Q24" s="1291">
        <f t="shared" ref="Q24:Q34"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6"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30">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96"/>
      <c r="Q27" s="710" t="str">
        <f t="shared" si="11"/>
        <v>成新率</v>
      </c>
      <c r="R27" s="711" t="s">
        <v>17</v>
      </c>
      <c r="S27" s="712" t="e">
        <f t="shared" si="12"/>
        <v>#N/A</v>
      </c>
      <c r="T27" s="711" t="s">
        <v>17</v>
      </c>
      <c r="U27" s="712" t="e">
        <f t="shared" si="13"/>
        <v>#N/A</v>
      </c>
      <c r="V27" s="711" t="s">
        <v>17</v>
      </c>
      <c r="W27" s="712" t="e">
        <f t="shared" si="14"/>
        <v>#N/A</v>
      </c>
      <c r="X27" s="713"/>
      <c r="Y27" s="359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96"/>
      <c r="Q28" s="1291" t="str">
        <f t="shared" si="11"/>
        <v>物业等级</v>
      </c>
      <c r="R28" s="708" t="s">
        <v>17</v>
      </c>
      <c r="S28" s="709">
        <f t="shared" si="12"/>
        <v>100</v>
      </c>
      <c r="T28" s="708" t="s">
        <v>17</v>
      </c>
      <c r="U28" s="709">
        <f t="shared" si="13"/>
        <v>100</v>
      </c>
      <c r="V28" s="708" t="s">
        <v>17</v>
      </c>
      <c r="W28" s="709">
        <f t="shared" si="14"/>
        <v>100</v>
      </c>
      <c r="X28" s="1294"/>
      <c r="Y28" s="359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96"/>
      <c r="Q29" s="1291" t="str">
        <f t="shared" si="11"/>
        <v>有无电梯</v>
      </c>
      <c r="R29" s="708" t="s">
        <v>17</v>
      </c>
      <c r="S29" s="709">
        <f t="shared" si="12"/>
        <v>100</v>
      </c>
      <c r="T29" s="708" t="s">
        <v>17</v>
      </c>
      <c r="U29" s="709">
        <f t="shared" si="13"/>
        <v>100</v>
      </c>
      <c r="V29" s="708" t="s">
        <v>17</v>
      </c>
      <c r="W29" s="709">
        <f t="shared" si="14"/>
        <v>100</v>
      </c>
      <c r="X29" s="1294"/>
      <c r="Y29" s="359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96"/>
      <c r="Q30" s="1291" t="str">
        <f t="shared" si="11"/>
        <v>建筑面积</v>
      </c>
      <c r="R30" s="708" t="s">
        <v>17</v>
      </c>
      <c r="S30" s="709" t="e">
        <f t="shared" si="12"/>
        <v>#N/A</v>
      </c>
      <c r="T30" s="708" t="s">
        <v>17</v>
      </c>
      <c r="U30" s="709" t="e">
        <f t="shared" si="13"/>
        <v>#N/A</v>
      </c>
      <c r="V30" s="708" t="s">
        <v>17</v>
      </c>
      <c r="W30" s="709" t="e">
        <f t="shared" si="14"/>
        <v>#N/A</v>
      </c>
      <c r="X30" s="1294"/>
      <c r="Y30" s="359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96"/>
      <c r="Q31" s="1284" t="str">
        <f t="shared" si="11"/>
        <v>是否封闭</v>
      </c>
      <c r="R31" s="704" t="s">
        <v>17</v>
      </c>
      <c r="S31" s="705">
        <f t="shared" si="12"/>
        <v>100</v>
      </c>
      <c r="T31" s="704" t="s">
        <v>17</v>
      </c>
      <c r="U31" s="705">
        <f t="shared" si="13"/>
        <v>100</v>
      </c>
      <c r="V31" s="704" t="s">
        <v>17</v>
      </c>
      <c r="W31" s="705">
        <f t="shared" si="14"/>
        <v>100</v>
      </c>
      <c r="X31" s="706"/>
      <c r="Y31" s="359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96" t="s">
        <v>1949</v>
      </c>
      <c r="Q32" s="1291">
        <f t="shared" si="11"/>
        <v>111</v>
      </c>
      <c r="R32" s="708" t="s">
        <v>17</v>
      </c>
      <c r="S32" s="709">
        <f t="shared" si="12"/>
        <v>100</v>
      </c>
      <c r="T32" s="708" t="s">
        <v>17</v>
      </c>
      <c r="U32" s="709">
        <f t="shared" si="13"/>
        <v>100</v>
      </c>
      <c r="V32" s="708" t="s">
        <v>17</v>
      </c>
      <c r="W32" s="709">
        <f t="shared" si="14"/>
        <v>100</v>
      </c>
      <c r="X32" s="1294"/>
      <c r="Y32" s="359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96"/>
      <c r="Q33" s="1291">
        <f t="shared" si="11"/>
        <v>111</v>
      </c>
      <c r="R33" s="708" t="s">
        <v>17</v>
      </c>
      <c r="S33" s="709">
        <f t="shared" si="12"/>
        <v>100</v>
      </c>
      <c r="T33" s="708" t="s">
        <v>17</v>
      </c>
      <c r="U33" s="709">
        <f t="shared" si="13"/>
        <v>100</v>
      </c>
      <c r="V33" s="708" t="s">
        <v>17</v>
      </c>
      <c r="W33" s="709">
        <f t="shared" si="14"/>
        <v>100</v>
      </c>
      <c r="X33" s="1294"/>
      <c r="Y33" s="3596"/>
      <c r="Z33" s="1295">
        <f t="shared" si="15"/>
        <v>111</v>
      </c>
      <c r="AA33" s="1292">
        <f t="shared" si="3"/>
        <v>1</v>
      </c>
      <c r="AB33" s="1292">
        <f t="shared" si="4"/>
        <v>1</v>
      </c>
      <c r="AC33" s="1292">
        <f t="shared" si="5"/>
        <v>1</v>
      </c>
    </row>
    <row r="34" spans="1:30" ht="15.6"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30" ht="14.4">
      <c r="A35" s="433" t="s">
        <v>1961</v>
      </c>
      <c r="B35" s="434"/>
      <c r="C35" s="1112" t="s">
        <v>1</v>
      </c>
      <c r="D35" s="1113"/>
      <c r="E35" s="1114"/>
      <c r="F35" s="1115"/>
      <c r="G35" s="1116"/>
      <c r="H35" s="1117"/>
      <c r="I35" s="1114"/>
      <c r="J35" s="1117"/>
      <c r="K35" s="717"/>
      <c r="L35" s="2404"/>
      <c r="M35" s="2405"/>
      <c r="N35" s="2396"/>
      <c r="O35" s="2405"/>
      <c r="P35" s="3589" t="str">
        <f>A35</f>
        <v>成交单价（元/平方米）</v>
      </c>
      <c r="Q35" s="3589"/>
      <c r="R35" s="3590">
        <f>E35</f>
        <v>0</v>
      </c>
      <c r="S35" s="3590"/>
      <c r="T35" s="3590">
        <f>G35</f>
        <v>0</v>
      </c>
      <c r="U35" s="3590"/>
      <c r="V35" s="3590">
        <f>I35</f>
        <v>0</v>
      </c>
      <c r="W35" s="3590"/>
      <c r="X35" s="693"/>
      <c r="Y35" s="715"/>
      <c r="Z35" s="693"/>
      <c r="AA35" s="693"/>
      <c r="AB35" s="693"/>
      <c r="AC35" s="693"/>
    </row>
    <row r="36" spans="1:30" ht="1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3"/>
      <c r="Y36" s="693"/>
      <c r="Z36" s="693"/>
      <c r="AA36" s="693"/>
      <c r="AB36" s="693"/>
      <c r="AC36" s="693"/>
    </row>
    <row r="37" spans="1:30" ht="15" thickBot="1">
      <c r="A37" s="444" t="s">
        <v>2054</v>
      </c>
      <c r="B37" s="445"/>
      <c r="C37" s="1121" t="e">
        <f>R37</f>
        <v>#DIV/0!</v>
      </c>
      <c r="D37" s="1121"/>
      <c r="E37" s="1121"/>
      <c r="F37" s="1121"/>
      <c r="G37" s="1121"/>
      <c r="H37" s="1121"/>
      <c r="I37" s="1121"/>
      <c r="J37" s="1121"/>
      <c r="K37" s="718"/>
      <c r="L37" s="2404"/>
      <c r="M37" s="2405"/>
      <c r="N37" s="2405"/>
      <c r="O37" s="2405"/>
      <c r="P37" s="3586" t="str">
        <f>A37</f>
        <v>估价对象XX用房的比较价值（楼面单价，元/平方米）</v>
      </c>
      <c r="Q37" s="3587"/>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2.2"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4.4">
      <c r="A46" s="457" t="s">
        <v>1932</v>
      </c>
      <c r="B46" s="458"/>
      <c r="C46" s="1138" t="str">
        <f>YEAR(C7)&amp;"-"&amp;MONTH(C7)</f>
        <v>2022-5</v>
      </c>
      <c r="D46" s="1139">
        <f>EDATE(C46,-1)</f>
        <v>44652</v>
      </c>
      <c r="E46" s="1139">
        <f t="shared" ref="E46:O46" si="16">EDATE(D46,-1)</f>
        <v>44621</v>
      </c>
      <c r="F46" s="1139">
        <f t="shared" si="16"/>
        <v>44593</v>
      </c>
      <c r="G46" s="1139">
        <f t="shared" si="16"/>
        <v>44562</v>
      </c>
      <c r="H46" s="1139">
        <f t="shared" si="16"/>
        <v>44531</v>
      </c>
      <c r="I46" s="1139">
        <f t="shared" si="16"/>
        <v>44501</v>
      </c>
      <c r="J46" s="1139">
        <f t="shared" si="16"/>
        <v>44470</v>
      </c>
      <c r="K46" s="1139">
        <f t="shared" si="16"/>
        <v>44440</v>
      </c>
      <c r="L46" s="1139">
        <f t="shared" si="16"/>
        <v>44409</v>
      </c>
      <c r="M46" s="1139">
        <f t="shared" si="16"/>
        <v>44378</v>
      </c>
      <c r="N46" s="1139">
        <f t="shared" si="16"/>
        <v>44348</v>
      </c>
      <c r="O46" s="1139">
        <f t="shared" si="16"/>
        <v>44317</v>
      </c>
      <c r="P46" s="2456"/>
      <c r="Q46" s="2421"/>
      <c r="R46" s="2421"/>
      <c r="S46" s="2421"/>
      <c r="T46" s="2421"/>
      <c r="U46" s="2421"/>
      <c r="V46" s="2421"/>
      <c r="W46" s="2421"/>
      <c r="X46" s="2421"/>
      <c r="Y46" s="2421"/>
      <c r="Z46" s="2421"/>
      <c r="AA46" s="2421"/>
      <c r="AB46" s="2421"/>
      <c r="AC46" s="2421"/>
      <c r="AD46" s="2421"/>
    </row>
    <row r="47" spans="1:30" s="112" customFormat="1">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4.4">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4.4"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ht="14.4">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4.4"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9.4"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4.4"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4.4"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4.4"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4.4"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4.4"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4.4"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4.4"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4.4"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9.4"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4.4"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4.4"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4.4"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4.4"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4.4"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4.4"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4.4"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4.4"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4.4"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4.4"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4.4"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4.4"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4.4"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4.4"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4.4"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4.4"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4.4"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4.4"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4.4"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4.4"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4.4"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4.4"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4.4"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58" customWidth="1"/>
    <col min="2" max="2" width="15.77734375" style="358" customWidth="1"/>
    <col min="3" max="3" width="14.33203125" style="358" customWidth="1"/>
    <col min="4" max="4" width="14.1093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4.4">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30">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30" ht="1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30" s="112" customFormat="1" ht="15" thickBot="1">
      <c r="A7" s="363" t="s">
        <v>1932</v>
      </c>
      <c r="B7" s="364"/>
      <c r="C7" s="365">
        <f>'数据-取费表'!B2</f>
        <v>44697</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30" s="112" customFormat="1" ht="1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5" si="3">D8/F8</f>
        <v>#DIV/0!</v>
      </c>
      <c r="AB8" s="707" t="e">
        <f t="shared" ref="AB8:AB45" si="4">D8/H8</f>
        <v>#DIV/0!</v>
      </c>
      <c r="AC8" s="707" t="e">
        <f t="shared" ref="AC8:AC45" si="5">D8/J8</f>
        <v>#DIV/0!</v>
      </c>
    </row>
    <row r="9" spans="1:30" s="112" customFormat="1" ht="14.4">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30" s="381" customFormat="1" ht="28.8">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89"/>
      <c r="Q12" s="1284" t="str">
        <f t="shared" si="6"/>
        <v>配建</v>
      </c>
      <c r="R12" s="704" t="s">
        <v>17</v>
      </c>
      <c r="S12" s="705">
        <f t="shared" si="0"/>
        <v>100</v>
      </c>
      <c r="T12" s="704" t="s">
        <v>17</v>
      </c>
      <c r="U12" s="705">
        <f t="shared" si="1"/>
        <v>100</v>
      </c>
      <c r="V12" s="704" t="s">
        <v>17</v>
      </c>
      <c r="W12" s="705">
        <f t="shared" si="2"/>
        <v>100</v>
      </c>
      <c r="X12" s="706"/>
      <c r="Y12" s="350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D13/F13</f>
        <v>1</v>
      </c>
      <c r="AB13" s="707">
        <f>D13/H13</f>
        <v>1</v>
      </c>
      <c r="AC13" s="707">
        <f>D13/J13</f>
        <v>1</v>
      </c>
    </row>
    <row r="14" spans="1:30" ht="15.6"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D14/F14</f>
        <v>1</v>
      </c>
      <c r="AB14" s="707">
        <f>D14/H14</f>
        <v>1</v>
      </c>
      <c r="AC14" s="707">
        <f>D14/J14</f>
        <v>1</v>
      </c>
    </row>
    <row r="15" spans="1:30" ht="96.6">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91" t="s">
        <v>1944</v>
      </c>
      <c r="Q15" s="1291" t="str">
        <f t="shared" si="6"/>
        <v>居住社区成熟度</v>
      </c>
      <c r="R15" s="708" t="s">
        <v>17</v>
      </c>
      <c r="S15" s="709">
        <f t="shared" si="0"/>
        <v>100</v>
      </c>
      <c r="T15" s="708" t="s">
        <v>17</v>
      </c>
      <c r="U15" s="709">
        <f t="shared" si="1"/>
        <v>100</v>
      </c>
      <c r="V15" s="708" t="s">
        <v>17</v>
      </c>
      <c r="W15" s="709">
        <f t="shared" si="2"/>
        <v>100</v>
      </c>
      <c r="X15" s="1294"/>
      <c r="Y15" s="359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82.8">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92"/>
      <c r="Q17" s="1291" t="str">
        <f>B17</f>
        <v>商业繁华度</v>
      </c>
      <c r="R17" s="708" t="s">
        <v>17</v>
      </c>
      <c r="S17" s="709">
        <f>F17</f>
        <v>100</v>
      </c>
      <c r="T17" s="708" t="s">
        <v>17</v>
      </c>
      <c r="U17" s="709">
        <f>H17</f>
        <v>100</v>
      </c>
      <c r="V17" s="708" t="s">
        <v>17</v>
      </c>
      <c r="W17" s="709">
        <f>J17</f>
        <v>100</v>
      </c>
      <c r="X17" s="1294"/>
      <c r="Y17" s="359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82.8">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92"/>
      <c r="Q19" s="1291" t="str">
        <f>B19</f>
        <v>办公集聚程度</v>
      </c>
      <c r="R19" s="708" t="s">
        <v>17</v>
      </c>
      <c r="S19" s="709">
        <f>F19</f>
        <v>100</v>
      </c>
      <c r="T19" s="708" t="s">
        <v>17</v>
      </c>
      <c r="U19" s="709">
        <f>H19</f>
        <v>100</v>
      </c>
      <c r="V19" s="708" t="s">
        <v>17</v>
      </c>
      <c r="W19" s="709">
        <f>J19</f>
        <v>100</v>
      </c>
      <c r="X19" s="1294"/>
      <c r="Y19" s="359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92"/>
      <c r="Q20" s="1291"/>
      <c r="R20" s="708"/>
      <c r="S20" s="709"/>
      <c r="T20" s="708"/>
      <c r="U20" s="709"/>
      <c r="V20" s="708"/>
      <c r="W20" s="709"/>
      <c r="X20" s="1294"/>
      <c r="Y20" s="3592"/>
      <c r="Z20" s="1295"/>
      <c r="AA20" s="1292">
        <v>1</v>
      </c>
      <c r="AB20" s="1292">
        <v>1</v>
      </c>
      <c r="AC20" s="1292">
        <v>1</v>
      </c>
    </row>
    <row r="21" spans="1:29" ht="96.6">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92"/>
      <c r="Q21" s="1291" t="str">
        <f>B21</f>
        <v>交通便捷度</v>
      </c>
      <c r="R21" s="708" t="s">
        <v>17</v>
      </c>
      <c r="S21" s="709">
        <f>F21</f>
        <v>100</v>
      </c>
      <c r="T21" s="708" t="s">
        <v>17</v>
      </c>
      <c r="U21" s="709">
        <f>H21</f>
        <v>100</v>
      </c>
      <c r="V21" s="708" t="s">
        <v>17</v>
      </c>
      <c r="W21" s="709">
        <f>J21</f>
        <v>100</v>
      </c>
      <c r="X21" s="1294"/>
      <c r="Y21" s="359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ht="28.8">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92"/>
      <c r="Q23" s="1291" t="str">
        <f t="shared" ref="Q23:Q37" si="8">B23</f>
        <v>区域土地利用方向</v>
      </c>
      <c r="R23" s="708" t="s">
        <v>17</v>
      </c>
      <c r="S23" s="709">
        <f>F23</f>
        <v>100</v>
      </c>
      <c r="T23" s="708" t="s">
        <v>17</v>
      </c>
      <c r="U23" s="709">
        <f>H23</f>
        <v>100</v>
      </c>
      <c r="V23" s="708" t="s">
        <v>17</v>
      </c>
      <c r="W23" s="709">
        <f>J23</f>
        <v>100</v>
      </c>
      <c r="X23" s="1294"/>
      <c r="Y23" s="359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92"/>
      <c r="Q24" s="1291"/>
      <c r="R24" s="708"/>
      <c r="S24" s="709"/>
      <c r="T24" s="708"/>
      <c r="U24" s="709"/>
      <c r="V24" s="708"/>
      <c r="W24" s="709"/>
      <c r="X24" s="1294"/>
      <c r="Y24" s="3592"/>
      <c r="Z24" s="1295"/>
      <c r="AA24" s="1292"/>
      <c r="AB24" s="1292"/>
      <c r="AC24" s="1292"/>
    </row>
    <row r="25" spans="1:29" ht="55.2">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92"/>
      <c r="Q25" s="1291" t="str">
        <f t="shared" si="8"/>
        <v>自然及人文环境状况</v>
      </c>
      <c r="R25" s="708" t="s">
        <v>17</v>
      </c>
      <c r="S25" s="709">
        <f>F25</f>
        <v>100</v>
      </c>
      <c r="T25" s="708" t="s">
        <v>17</v>
      </c>
      <c r="U25" s="709">
        <f>H25</f>
        <v>100</v>
      </c>
      <c r="V25" s="708" t="s">
        <v>17</v>
      </c>
      <c r="W25" s="709">
        <f>J25</f>
        <v>100</v>
      </c>
      <c r="X25" s="1294"/>
      <c r="Y25" s="359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92"/>
      <c r="Q26" s="1291"/>
      <c r="R26" s="708"/>
      <c r="S26" s="709"/>
      <c r="T26" s="708"/>
      <c r="U26" s="709"/>
      <c r="V26" s="708"/>
      <c r="W26" s="709"/>
      <c r="X26" s="1294"/>
      <c r="Y26" s="3592"/>
      <c r="Z26" s="1295"/>
      <c r="AA26" s="1292">
        <v>1</v>
      </c>
      <c r="AB26" s="1292">
        <v>1</v>
      </c>
      <c r="AC26" s="1292">
        <v>1</v>
      </c>
    </row>
    <row r="27" spans="1:29" s="112" customFormat="1" ht="41.4">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92"/>
      <c r="Q27" s="1284" t="str">
        <f t="shared" si="8"/>
        <v>公共配套设施</v>
      </c>
      <c r="R27" s="704" t="s">
        <v>17</v>
      </c>
      <c r="S27" s="705">
        <f>F27</f>
        <v>100</v>
      </c>
      <c r="T27" s="704" t="s">
        <v>17</v>
      </c>
      <c r="U27" s="705">
        <f>H27</f>
        <v>100</v>
      </c>
      <c r="V27" s="704" t="s">
        <v>17</v>
      </c>
      <c r="W27" s="705">
        <f>J27</f>
        <v>100</v>
      </c>
      <c r="X27" s="706"/>
      <c r="Y27" s="359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92"/>
      <c r="Q28" s="1284"/>
      <c r="R28" s="704"/>
      <c r="S28" s="705"/>
      <c r="T28" s="704"/>
      <c r="U28" s="705"/>
      <c r="V28" s="704"/>
      <c r="W28" s="705"/>
      <c r="X28" s="706"/>
      <c r="Y28" s="3592"/>
      <c r="Z28" s="54"/>
      <c r="AA28" s="1292">
        <v>1</v>
      </c>
      <c r="AB28" s="1292">
        <v>1</v>
      </c>
      <c r="AC28" s="1292">
        <v>1</v>
      </c>
    </row>
    <row r="29" spans="1:29" s="112" customFormat="1" ht="41.4">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92"/>
      <c r="Q29" s="1284" t="str">
        <f t="shared" ref="Q29" si="9">B29</f>
        <v>基础设施水平</v>
      </c>
      <c r="R29" s="704" t="s">
        <v>17</v>
      </c>
      <c r="S29" s="705">
        <f>F29</f>
        <v>100</v>
      </c>
      <c r="T29" s="704" t="s">
        <v>17</v>
      </c>
      <c r="U29" s="705">
        <f>H29</f>
        <v>100</v>
      </c>
      <c r="V29" s="704" t="s">
        <v>17</v>
      </c>
      <c r="W29" s="705">
        <f>J29</f>
        <v>100</v>
      </c>
      <c r="X29" s="706"/>
      <c r="Y29" s="359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92"/>
      <c r="Q30" s="1284"/>
      <c r="R30" s="704"/>
      <c r="S30" s="705"/>
      <c r="T30" s="704"/>
      <c r="U30" s="705"/>
      <c r="V30" s="704"/>
      <c r="W30" s="705"/>
      <c r="X30" s="706"/>
      <c r="Y30" s="359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9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2"/>
      <c r="Z31" s="1295" t="str">
        <f t="shared" ref="Z31:Z45" si="13">Q31</f>
        <v>临街状况</v>
      </c>
      <c r="AA31" s="1292">
        <f t="shared" si="3"/>
        <v>1</v>
      </c>
      <c r="AB31" s="1292">
        <f t="shared" si="4"/>
        <v>1</v>
      </c>
      <c r="AC31" s="1292">
        <f t="shared" si="5"/>
        <v>1</v>
      </c>
    </row>
    <row r="32" spans="1:29" ht="28.8">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92"/>
      <c r="Q32" s="1291" t="str">
        <f t="shared" si="8"/>
        <v>毗邻道路的类型与等级</v>
      </c>
      <c r="R32" s="708" t="s">
        <v>17</v>
      </c>
      <c r="S32" s="709">
        <f t="shared" si="10"/>
        <v>100</v>
      </c>
      <c r="T32" s="708" t="s">
        <v>17</v>
      </c>
      <c r="U32" s="709">
        <f t="shared" si="11"/>
        <v>100</v>
      </c>
      <c r="V32" s="708" t="s">
        <v>17</v>
      </c>
      <c r="W32" s="709">
        <f t="shared" si="12"/>
        <v>100</v>
      </c>
      <c r="X32" s="1294"/>
      <c r="Y32" s="359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92"/>
      <c r="Q33" s="1291"/>
      <c r="R33" s="708"/>
      <c r="S33" s="709"/>
      <c r="T33" s="708"/>
      <c r="U33" s="709"/>
      <c r="V33" s="708"/>
      <c r="W33" s="709"/>
      <c r="X33" s="1294"/>
      <c r="Y33" s="359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92"/>
      <c r="Q34" s="1291" t="str">
        <f t="shared" si="8"/>
        <v>土地级别</v>
      </c>
      <c r="R34" s="708" t="s">
        <v>17</v>
      </c>
      <c r="S34" s="709">
        <f t="shared" si="10"/>
        <v>100</v>
      </c>
      <c r="T34" s="708" t="s">
        <v>17</v>
      </c>
      <c r="U34" s="709">
        <f t="shared" si="11"/>
        <v>100</v>
      </c>
      <c r="V34" s="708" t="s">
        <v>17</v>
      </c>
      <c r="W34" s="709">
        <f t="shared" si="12"/>
        <v>100</v>
      </c>
      <c r="X34" s="1294"/>
      <c r="Y34" s="359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92"/>
      <c r="Q35" s="1291">
        <f t="shared" si="8"/>
        <v>111</v>
      </c>
      <c r="R35" s="708" t="s">
        <v>17</v>
      </c>
      <c r="S35" s="709">
        <f t="shared" si="10"/>
        <v>100</v>
      </c>
      <c r="T35" s="708" t="s">
        <v>17</v>
      </c>
      <c r="U35" s="709">
        <f t="shared" si="11"/>
        <v>100</v>
      </c>
      <c r="V35" s="708" t="s">
        <v>17</v>
      </c>
      <c r="W35" s="709">
        <f t="shared" si="12"/>
        <v>100</v>
      </c>
      <c r="X35" s="1294"/>
      <c r="Y35" s="359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96" t="s">
        <v>1949</v>
      </c>
      <c r="Z36" s="1295">
        <f t="shared" si="13"/>
        <v>111</v>
      </c>
      <c r="AA36" s="1292">
        <f t="shared" si="3"/>
        <v>1</v>
      </c>
      <c r="AB36" s="1292">
        <f t="shared" si="4"/>
        <v>1</v>
      </c>
      <c r="AC36" s="1292">
        <f t="shared" si="5"/>
        <v>1</v>
      </c>
    </row>
    <row r="37" spans="1:29" s="425" customFormat="1" ht="15.6"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96"/>
      <c r="Q37" s="1291">
        <f t="shared" si="8"/>
        <v>111</v>
      </c>
      <c r="R37" s="711" t="s">
        <v>17</v>
      </c>
      <c r="S37" s="712">
        <f t="shared" si="10"/>
        <v>100</v>
      </c>
      <c r="T37" s="711" t="s">
        <v>17</v>
      </c>
      <c r="U37" s="712">
        <f t="shared" si="11"/>
        <v>100</v>
      </c>
      <c r="V37" s="711" t="s">
        <v>17</v>
      </c>
      <c r="W37" s="712">
        <f t="shared" si="12"/>
        <v>100</v>
      </c>
      <c r="X37" s="713"/>
      <c r="Y37" s="3596"/>
      <c r="Z37" s="714">
        <f t="shared" si="13"/>
        <v>111</v>
      </c>
      <c r="AA37" s="1292">
        <f t="shared" si="3"/>
        <v>1</v>
      </c>
      <c r="AB37" s="1292">
        <f t="shared" si="4"/>
        <v>1</v>
      </c>
      <c r="AC37" s="1292">
        <f t="shared" si="5"/>
        <v>1</v>
      </c>
    </row>
    <row r="38" spans="1:29" ht="15.6">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96"/>
      <c r="Q38" s="1291" t="str">
        <f>B38</f>
        <v>宗地面积</v>
      </c>
      <c r="R38" s="708" t="s">
        <v>17</v>
      </c>
      <c r="S38" s="709" t="e">
        <f t="shared" si="10"/>
        <v>#N/A</v>
      </c>
      <c r="T38" s="708" t="s">
        <v>17</v>
      </c>
      <c r="U38" s="709" t="e">
        <f t="shared" si="11"/>
        <v>#N/A</v>
      </c>
      <c r="V38" s="708" t="s">
        <v>17</v>
      </c>
      <c r="W38" s="709" t="e">
        <f t="shared" si="12"/>
        <v>#N/A</v>
      </c>
      <c r="X38" s="1294"/>
      <c r="Y38" s="359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96"/>
      <c r="Q39" s="1291" t="str">
        <f t="shared" ref="Q39:Q45" si="14">B39</f>
        <v>宗地形状</v>
      </c>
      <c r="R39" s="708" t="s">
        <v>17</v>
      </c>
      <c r="S39" s="709">
        <f t="shared" si="10"/>
        <v>100</v>
      </c>
      <c r="T39" s="708" t="s">
        <v>17</v>
      </c>
      <c r="U39" s="709">
        <f t="shared" si="11"/>
        <v>100</v>
      </c>
      <c r="V39" s="708" t="s">
        <v>17</v>
      </c>
      <c r="W39" s="709">
        <f t="shared" si="12"/>
        <v>100</v>
      </c>
      <c r="X39" s="1294"/>
      <c r="Y39" s="359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96"/>
      <c r="Q40" s="1291" t="str">
        <f t="shared" si="14"/>
        <v>临街宽度及深度</v>
      </c>
      <c r="R40" s="708" t="s">
        <v>17</v>
      </c>
      <c r="S40" s="709">
        <f t="shared" si="10"/>
        <v>100</v>
      </c>
      <c r="T40" s="708" t="s">
        <v>17</v>
      </c>
      <c r="U40" s="709">
        <f t="shared" si="11"/>
        <v>100</v>
      </c>
      <c r="V40" s="708" t="s">
        <v>17</v>
      </c>
      <c r="W40" s="709">
        <f t="shared" si="12"/>
        <v>100</v>
      </c>
      <c r="X40" s="1294"/>
      <c r="Y40" s="359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96"/>
      <c r="Q41" s="1291" t="str">
        <f t="shared" si="14"/>
        <v>宗地开发程度</v>
      </c>
      <c r="R41" s="704" t="s">
        <v>17</v>
      </c>
      <c r="S41" s="705">
        <f t="shared" si="10"/>
        <v>100</v>
      </c>
      <c r="T41" s="704" t="s">
        <v>17</v>
      </c>
      <c r="U41" s="705">
        <f t="shared" si="11"/>
        <v>100</v>
      </c>
      <c r="V41" s="704" t="s">
        <v>17</v>
      </c>
      <c r="W41" s="705">
        <f t="shared" si="12"/>
        <v>100</v>
      </c>
      <c r="X41" s="706"/>
      <c r="Y41" s="359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96" t="s">
        <v>1949</v>
      </c>
      <c r="Q42" s="1291" t="str">
        <f t="shared" si="14"/>
        <v>工程地质条件</v>
      </c>
      <c r="R42" s="708" t="s">
        <v>17</v>
      </c>
      <c r="S42" s="709">
        <f t="shared" si="10"/>
        <v>100</v>
      </c>
      <c r="T42" s="708" t="s">
        <v>17</v>
      </c>
      <c r="U42" s="709">
        <f t="shared" si="11"/>
        <v>100</v>
      </c>
      <c r="V42" s="708" t="s">
        <v>17</v>
      </c>
      <c r="W42" s="709">
        <f t="shared" si="12"/>
        <v>100</v>
      </c>
      <c r="X42" s="1294"/>
      <c r="Y42" s="359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96"/>
      <c r="Q43" s="1291">
        <f t="shared" si="14"/>
        <v>111</v>
      </c>
      <c r="R43" s="708" t="s">
        <v>17</v>
      </c>
      <c r="S43" s="709">
        <f t="shared" si="10"/>
        <v>100</v>
      </c>
      <c r="T43" s="708" t="s">
        <v>17</v>
      </c>
      <c r="U43" s="709">
        <f t="shared" si="11"/>
        <v>100</v>
      </c>
      <c r="V43" s="708" t="s">
        <v>17</v>
      </c>
      <c r="W43" s="709">
        <f t="shared" si="12"/>
        <v>100</v>
      </c>
      <c r="X43" s="1294"/>
      <c r="Y43" s="359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96"/>
      <c r="Q44" s="1291">
        <f t="shared" si="14"/>
        <v>111</v>
      </c>
      <c r="R44" s="708" t="s">
        <v>17</v>
      </c>
      <c r="S44" s="709">
        <f t="shared" si="10"/>
        <v>100</v>
      </c>
      <c r="T44" s="708" t="s">
        <v>17</v>
      </c>
      <c r="U44" s="709">
        <f t="shared" si="11"/>
        <v>100</v>
      </c>
      <c r="V44" s="708" t="s">
        <v>17</v>
      </c>
      <c r="W44" s="709">
        <f t="shared" si="12"/>
        <v>100</v>
      </c>
      <c r="X44" s="1294"/>
      <c r="Y44" s="3596"/>
      <c r="Z44" s="1295">
        <f t="shared" si="13"/>
        <v>111</v>
      </c>
      <c r="AA44" s="1292">
        <f t="shared" si="3"/>
        <v>1</v>
      </c>
      <c r="AB44" s="1292">
        <f t="shared" si="4"/>
        <v>1</v>
      </c>
      <c r="AC44" s="1292">
        <f t="shared" si="5"/>
        <v>1</v>
      </c>
    </row>
    <row r="45" spans="1:29" s="425" customFormat="1" ht="15.6"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96"/>
      <c r="Q45" s="1291">
        <f t="shared" si="14"/>
        <v>111</v>
      </c>
      <c r="R45" s="711" t="s">
        <v>17</v>
      </c>
      <c r="S45" s="712">
        <f t="shared" si="10"/>
        <v>100</v>
      </c>
      <c r="T45" s="711" t="s">
        <v>17</v>
      </c>
      <c r="U45" s="712">
        <f t="shared" si="11"/>
        <v>100</v>
      </c>
      <c r="V45" s="711" t="s">
        <v>17</v>
      </c>
      <c r="W45" s="712">
        <f t="shared" si="12"/>
        <v>100</v>
      </c>
      <c r="X45" s="713"/>
      <c r="Y45" s="3596"/>
      <c r="Z45" s="714">
        <f t="shared" si="13"/>
        <v>111</v>
      </c>
      <c r="AA45" s="1292">
        <f t="shared" si="3"/>
        <v>1</v>
      </c>
      <c r="AB45" s="1292">
        <f t="shared" si="4"/>
        <v>1</v>
      </c>
      <c r="AC45" s="1292">
        <f t="shared" si="5"/>
        <v>1</v>
      </c>
    </row>
    <row r="46" spans="1:29" ht="14.4">
      <c r="A46" s="433" t="s">
        <v>2104</v>
      </c>
      <c r="B46" s="1922" t="s">
        <v>2140</v>
      </c>
      <c r="C46" s="633" t="s">
        <v>1</v>
      </c>
      <c r="D46" s="435"/>
      <c r="E46" s="436"/>
      <c r="F46" s="437"/>
      <c r="G46" s="438"/>
      <c r="H46" s="439"/>
      <c r="I46" s="436"/>
      <c r="J46" s="439"/>
      <c r="K46" s="717"/>
      <c r="L46" s="2404"/>
      <c r="M46" s="2405"/>
      <c r="N46" s="2396"/>
      <c r="O46" s="2405"/>
      <c r="P46" s="3589" t="str">
        <f>A46</f>
        <v>成交单价</v>
      </c>
      <c r="Q46" s="3589"/>
      <c r="R46" s="3584">
        <f>E46</f>
        <v>0</v>
      </c>
      <c r="S46" s="3584"/>
      <c r="T46" s="3584">
        <f>G46</f>
        <v>0</v>
      </c>
      <c r="U46" s="3584"/>
      <c r="V46" s="3584">
        <f>I46</f>
        <v>0</v>
      </c>
      <c r="W46" s="3584"/>
      <c r="X46" s="693"/>
      <c r="Y46" s="715"/>
      <c r="Z46" s="693"/>
      <c r="AA46" s="693"/>
      <c r="AB46" s="693"/>
      <c r="AC46" s="693"/>
    </row>
    <row r="47" spans="1:29" ht="1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89" t="str">
        <f>A47</f>
        <v>比较价值（元/平方米）</v>
      </c>
      <c r="Q47" s="3589"/>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 thickBot="1">
      <c r="A48" s="444" t="s">
        <v>2141</v>
      </c>
      <c r="B48" s="445"/>
      <c r="C48" s="446" t="e">
        <f>R48</f>
        <v>#DIV/0!</v>
      </c>
      <c r="D48" s="446"/>
      <c r="E48" s="446"/>
      <c r="F48" s="446"/>
      <c r="G48" s="446"/>
      <c r="H48" s="446"/>
      <c r="I48" s="446"/>
      <c r="J48" s="446"/>
      <c r="K48" s="718"/>
      <c r="L48" s="2404"/>
      <c r="M48" s="2405"/>
      <c r="N48" s="2405"/>
      <c r="O48" s="2405"/>
      <c r="P48" s="3586" t="str">
        <f>A48</f>
        <v>估价对象XX用房的比较价值（楼面单价，元/平方米）</v>
      </c>
      <c r="Q48" s="3587"/>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4.4"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1"/>
      <c r="H56" s="358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0"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0"/>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0"/>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4.4"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2022-5-1</v>
      </c>
      <c r="D68" s="695">
        <f>EDATE(C68,-3)</f>
        <v>44593</v>
      </c>
      <c r="E68" s="695">
        <f>EDATE(D68,-3)</f>
        <v>44501</v>
      </c>
      <c r="F68" s="695">
        <f t="shared" ref="F68:O68" si="18">EDATE(E68,-3)</f>
        <v>44409</v>
      </c>
      <c r="G68" s="695">
        <f t="shared" si="18"/>
        <v>44317</v>
      </c>
      <c r="H68" s="695">
        <f t="shared" si="18"/>
        <v>44228</v>
      </c>
      <c r="I68" s="695">
        <f t="shared" si="18"/>
        <v>44136</v>
      </c>
      <c r="J68" s="695">
        <f t="shared" si="18"/>
        <v>44044</v>
      </c>
      <c r="K68" s="695">
        <f t="shared" si="18"/>
        <v>43952</v>
      </c>
      <c r="L68" s="695">
        <f t="shared" si="18"/>
        <v>43862</v>
      </c>
      <c r="M68" s="695">
        <f t="shared" si="18"/>
        <v>43770</v>
      </c>
      <c r="N68" s="695">
        <f t="shared" si="18"/>
        <v>43678</v>
      </c>
      <c r="O68" s="695">
        <f t="shared" si="18"/>
        <v>43586</v>
      </c>
      <c r="P68" s="2405"/>
      <c r="Q68" s="2405"/>
      <c r="R68" s="2405"/>
      <c r="S68" s="2405"/>
      <c r="T68" s="2405"/>
      <c r="U68" s="2405"/>
      <c r="V68" s="2405"/>
      <c r="W68" s="2405"/>
      <c r="X68" s="2405"/>
      <c r="Y68" s="2405"/>
      <c r="Z68" s="2405"/>
      <c r="AA68" s="2405"/>
      <c r="AB68" s="2405"/>
      <c r="AC68" s="2405"/>
    </row>
    <row r="69" spans="1:29" ht="22.2"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4.4">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4.4">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4.4"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ht="14.4">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4.4"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9.4"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4.4"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4.4"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4.4"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4.4"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4.4"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4.4"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4.4"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4.4"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ht="14.4">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4.4"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4.4"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4.4"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4.4"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29.4"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4.4"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9.4"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4.4"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4.4"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4.4"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4.4"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9.4"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4.4"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4.4"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4.4"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4.4"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4.4"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4.4"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4.4"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4.4"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ht="14.4">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4.4"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4.4"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4.4"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4.4"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4.4"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4.4"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4.4"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4.4"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4.4"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4.4"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4.4"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4.4">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 thickBot="1">
      <c r="A7" s="363" t="s">
        <v>1932</v>
      </c>
      <c r="B7" s="364"/>
      <c r="C7" s="365">
        <f>'数据-取费表'!B2</f>
        <v>44697</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ht="14.4">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8.8">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6"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69">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96.6">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28.8">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92"/>
      <c r="Q19" s="1291" t="str">
        <f t="shared" ref="Q19:Q33" si="8">B19</f>
        <v>区域土地利用方向</v>
      </c>
      <c r="R19" s="708" t="s">
        <v>17</v>
      </c>
      <c r="S19" s="709">
        <f>F19</f>
        <v>100</v>
      </c>
      <c r="T19" s="708" t="s">
        <v>17</v>
      </c>
      <c r="U19" s="709">
        <f>H19</f>
        <v>100</v>
      </c>
      <c r="V19" s="708" t="s">
        <v>17</v>
      </c>
      <c r="W19" s="709">
        <f>J19</f>
        <v>100</v>
      </c>
      <c r="X19" s="1294"/>
      <c r="Y19" s="359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92"/>
      <c r="Q20" s="1291"/>
      <c r="R20" s="708"/>
      <c r="S20" s="709"/>
      <c r="T20" s="708"/>
      <c r="U20" s="709"/>
      <c r="V20" s="708"/>
      <c r="W20" s="709"/>
      <c r="X20" s="1294"/>
      <c r="Y20" s="3592"/>
      <c r="Z20" s="1295"/>
      <c r="AA20" s="1292"/>
      <c r="AB20" s="1292"/>
      <c r="AC20" s="1292"/>
    </row>
    <row r="21" spans="1:29" ht="82.8">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92"/>
      <c r="Q21" s="1291" t="str">
        <f t="shared" si="8"/>
        <v>环境状况</v>
      </c>
      <c r="R21" s="708" t="s">
        <v>17</v>
      </c>
      <c r="S21" s="709">
        <f>F21</f>
        <v>100</v>
      </c>
      <c r="T21" s="708" t="s">
        <v>17</v>
      </c>
      <c r="U21" s="709">
        <f>H21</f>
        <v>100</v>
      </c>
      <c r="V21" s="708" t="s">
        <v>17</v>
      </c>
      <c r="W21" s="709">
        <f>J21</f>
        <v>100</v>
      </c>
      <c r="X21" s="1294"/>
      <c r="Y21" s="359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s="112" customFormat="1" ht="41.4">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92"/>
      <c r="Q23" s="1284" t="str">
        <f t="shared" si="8"/>
        <v>公共配套设施</v>
      </c>
      <c r="R23" s="704" t="s">
        <v>17</v>
      </c>
      <c r="S23" s="705">
        <f>F23</f>
        <v>100</v>
      </c>
      <c r="T23" s="704" t="s">
        <v>17</v>
      </c>
      <c r="U23" s="705">
        <f>H23</f>
        <v>100</v>
      </c>
      <c r="V23" s="704" t="s">
        <v>17</v>
      </c>
      <c r="W23" s="705">
        <f>J23</f>
        <v>100</v>
      </c>
      <c r="X23" s="706"/>
      <c r="Y23" s="359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92"/>
      <c r="Q24" s="1284"/>
      <c r="R24" s="704"/>
      <c r="S24" s="705"/>
      <c r="T24" s="704"/>
      <c r="U24" s="705"/>
      <c r="V24" s="704"/>
      <c r="W24" s="705"/>
      <c r="X24" s="706"/>
      <c r="Y24" s="3592"/>
      <c r="Z24" s="54"/>
      <c r="AA24" s="707">
        <v>1</v>
      </c>
      <c r="AB24" s="707">
        <v>1</v>
      </c>
      <c r="AC24" s="707">
        <v>1</v>
      </c>
    </row>
    <row r="25" spans="1:29" s="112" customFormat="1" ht="41.4">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92"/>
      <c r="Q25" s="1284" t="str">
        <f t="shared" ref="Q25" si="9">B25</f>
        <v>基础设施水平</v>
      </c>
      <c r="R25" s="704" t="s">
        <v>17</v>
      </c>
      <c r="S25" s="705">
        <f>F25</f>
        <v>100</v>
      </c>
      <c r="T25" s="704" t="s">
        <v>17</v>
      </c>
      <c r="U25" s="705">
        <f>H25</f>
        <v>100</v>
      </c>
      <c r="V25" s="704" t="s">
        <v>17</v>
      </c>
      <c r="W25" s="705">
        <f>J25</f>
        <v>100</v>
      </c>
      <c r="X25" s="706"/>
      <c r="Y25" s="359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92"/>
      <c r="Q26" s="1284"/>
      <c r="R26" s="704"/>
      <c r="S26" s="705"/>
      <c r="T26" s="704"/>
      <c r="U26" s="705"/>
      <c r="V26" s="704"/>
      <c r="W26" s="705"/>
      <c r="X26" s="706"/>
      <c r="Y26" s="359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9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2"/>
      <c r="Z27" s="1295" t="str">
        <f t="shared" ref="Z27:Z40" si="13">Q27</f>
        <v>临街状况</v>
      </c>
      <c r="AA27" s="1292">
        <f t="shared" si="3"/>
        <v>1</v>
      </c>
      <c r="AB27" s="1292">
        <f t="shared" si="4"/>
        <v>1</v>
      </c>
      <c r="AC27" s="1292">
        <f t="shared" si="5"/>
        <v>1</v>
      </c>
    </row>
    <row r="28" spans="1:29" ht="28.8">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92"/>
      <c r="Q28" s="1291" t="str">
        <f t="shared" si="8"/>
        <v>毗邻道路的类型与等级</v>
      </c>
      <c r="R28" s="708" t="s">
        <v>17</v>
      </c>
      <c r="S28" s="709">
        <f t="shared" si="10"/>
        <v>100</v>
      </c>
      <c r="T28" s="708" t="s">
        <v>17</v>
      </c>
      <c r="U28" s="709">
        <f t="shared" si="11"/>
        <v>100</v>
      </c>
      <c r="V28" s="708" t="s">
        <v>17</v>
      </c>
      <c r="W28" s="709">
        <f t="shared" si="12"/>
        <v>100</v>
      </c>
      <c r="X28" s="1294"/>
      <c r="Y28" s="359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92"/>
      <c r="Q29" s="1291"/>
      <c r="R29" s="708"/>
      <c r="S29" s="709"/>
      <c r="T29" s="708"/>
      <c r="U29" s="709"/>
      <c r="V29" s="708"/>
      <c r="W29" s="709"/>
      <c r="X29" s="1294"/>
      <c r="Y29" s="359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92"/>
      <c r="Q30" s="1291" t="str">
        <f t="shared" si="8"/>
        <v>土地级别</v>
      </c>
      <c r="R30" s="708" t="s">
        <v>17</v>
      </c>
      <c r="S30" s="709">
        <f t="shared" si="10"/>
        <v>100</v>
      </c>
      <c r="T30" s="708" t="s">
        <v>17</v>
      </c>
      <c r="U30" s="709">
        <f t="shared" si="11"/>
        <v>100</v>
      </c>
      <c r="V30" s="708" t="s">
        <v>17</v>
      </c>
      <c r="W30" s="709">
        <f t="shared" si="12"/>
        <v>100</v>
      </c>
      <c r="X30" s="1294"/>
      <c r="Y30" s="359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92"/>
      <c r="Q31" s="1291">
        <f t="shared" si="8"/>
        <v>111</v>
      </c>
      <c r="R31" s="708" t="s">
        <v>17</v>
      </c>
      <c r="S31" s="709">
        <f t="shared" si="10"/>
        <v>100</v>
      </c>
      <c r="T31" s="708" t="s">
        <v>17</v>
      </c>
      <c r="U31" s="709">
        <f t="shared" si="11"/>
        <v>100</v>
      </c>
      <c r="V31" s="708" t="s">
        <v>17</v>
      </c>
      <c r="W31" s="709">
        <f t="shared" si="12"/>
        <v>100</v>
      </c>
      <c r="X31" s="1294"/>
      <c r="Y31" s="359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96" t="s">
        <v>1949</v>
      </c>
      <c r="Z32" s="1295">
        <f t="shared" si="13"/>
        <v>111</v>
      </c>
      <c r="AA32" s="1292">
        <f t="shared" si="3"/>
        <v>1</v>
      </c>
      <c r="AB32" s="1292">
        <f t="shared" si="4"/>
        <v>1</v>
      </c>
      <c r="AC32" s="1292">
        <f t="shared" si="5"/>
        <v>1</v>
      </c>
    </row>
    <row r="33" spans="1:31" s="425" customFormat="1" ht="15.6"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96"/>
      <c r="Q33" s="1291">
        <f t="shared" si="8"/>
        <v>111</v>
      </c>
      <c r="R33" s="711" t="s">
        <v>17</v>
      </c>
      <c r="S33" s="712">
        <f t="shared" si="10"/>
        <v>100</v>
      </c>
      <c r="T33" s="711" t="s">
        <v>17</v>
      </c>
      <c r="U33" s="712">
        <f t="shared" si="11"/>
        <v>100</v>
      </c>
      <c r="V33" s="711" t="s">
        <v>17</v>
      </c>
      <c r="W33" s="712">
        <f t="shared" si="12"/>
        <v>100</v>
      </c>
      <c r="X33" s="713"/>
      <c r="Y33" s="359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96"/>
      <c r="Q34" s="1291" t="str">
        <f>B34</f>
        <v>宗地面积</v>
      </c>
      <c r="R34" s="708" t="s">
        <v>17</v>
      </c>
      <c r="S34" s="709" t="e">
        <f t="shared" si="10"/>
        <v>#N/A</v>
      </c>
      <c r="T34" s="708" t="s">
        <v>17</v>
      </c>
      <c r="U34" s="709" t="e">
        <f t="shared" si="11"/>
        <v>#N/A</v>
      </c>
      <c r="V34" s="708" t="s">
        <v>17</v>
      </c>
      <c r="W34" s="709" t="e">
        <f t="shared" si="12"/>
        <v>#N/A</v>
      </c>
      <c r="X34" s="1294"/>
      <c r="Y34" s="359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96"/>
      <c r="Q35" s="1291" t="str">
        <f t="shared" ref="Q35:Q40" si="14">B35</f>
        <v>宗地形状</v>
      </c>
      <c r="R35" s="708" t="s">
        <v>17</v>
      </c>
      <c r="S35" s="709">
        <f t="shared" si="10"/>
        <v>100</v>
      </c>
      <c r="T35" s="708" t="s">
        <v>17</v>
      </c>
      <c r="U35" s="709">
        <f t="shared" si="11"/>
        <v>100</v>
      </c>
      <c r="V35" s="708" t="s">
        <v>17</v>
      </c>
      <c r="W35" s="709">
        <f t="shared" si="12"/>
        <v>100</v>
      </c>
      <c r="X35" s="1294"/>
      <c r="Y35" s="359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96"/>
      <c r="Q36" s="1291" t="str">
        <f t="shared" si="14"/>
        <v>宗地开发程度</v>
      </c>
      <c r="R36" s="704" t="s">
        <v>17</v>
      </c>
      <c r="S36" s="705">
        <f t="shared" si="10"/>
        <v>100</v>
      </c>
      <c r="T36" s="704" t="s">
        <v>17</v>
      </c>
      <c r="U36" s="705">
        <f t="shared" si="11"/>
        <v>100</v>
      </c>
      <c r="V36" s="704" t="s">
        <v>17</v>
      </c>
      <c r="W36" s="705">
        <f t="shared" si="12"/>
        <v>100</v>
      </c>
      <c r="X36" s="706"/>
      <c r="Y36" s="359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96" t="s">
        <v>1949</v>
      </c>
      <c r="Q37" s="1291" t="str">
        <f t="shared" si="14"/>
        <v>工程地质条件</v>
      </c>
      <c r="R37" s="708" t="s">
        <v>17</v>
      </c>
      <c r="S37" s="709">
        <f t="shared" si="10"/>
        <v>100</v>
      </c>
      <c r="T37" s="708" t="s">
        <v>17</v>
      </c>
      <c r="U37" s="709">
        <f t="shared" si="11"/>
        <v>100</v>
      </c>
      <c r="V37" s="708" t="s">
        <v>17</v>
      </c>
      <c r="W37" s="709">
        <f t="shared" si="12"/>
        <v>100</v>
      </c>
      <c r="X37" s="1294"/>
      <c r="Y37" s="359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96"/>
      <c r="Q38" s="1291">
        <f t="shared" si="14"/>
        <v>111</v>
      </c>
      <c r="R38" s="708" t="s">
        <v>17</v>
      </c>
      <c r="S38" s="709">
        <f t="shared" si="10"/>
        <v>100</v>
      </c>
      <c r="T38" s="708" t="s">
        <v>17</v>
      </c>
      <c r="U38" s="709">
        <f t="shared" si="11"/>
        <v>100</v>
      </c>
      <c r="V38" s="708" t="s">
        <v>17</v>
      </c>
      <c r="W38" s="709">
        <f t="shared" si="12"/>
        <v>100</v>
      </c>
      <c r="X38" s="1294"/>
      <c r="Y38" s="359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96"/>
      <c r="Q39" s="1291">
        <f t="shared" si="14"/>
        <v>111</v>
      </c>
      <c r="R39" s="708" t="s">
        <v>17</v>
      </c>
      <c r="S39" s="709">
        <f t="shared" si="10"/>
        <v>100</v>
      </c>
      <c r="T39" s="708" t="s">
        <v>17</v>
      </c>
      <c r="U39" s="709">
        <f t="shared" si="11"/>
        <v>100</v>
      </c>
      <c r="V39" s="708" t="s">
        <v>17</v>
      </c>
      <c r="W39" s="709">
        <f t="shared" si="12"/>
        <v>100</v>
      </c>
      <c r="X39" s="1294"/>
      <c r="Y39" s="3596"/>
      <c r="Z39" s="1295">
        <f t="shared" si="13"/>
        <v>111</v>
      </c>
      <c r="AA39" s="1292">
        <f t="shared" si="3"/>
        <v>1</v>
      </c>
      <c r="AB39" s="1292">
        <f t="shared" si="4"/>
        <v>1</v>
      </c>
      <c r="AC39" s="1292">
        <f t="shared" si="5"/>
        <v>1</v>
      </c>
    </row>
    <row r="40" spans="1:31" s="425" customFormat="1" ht="15.6"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96"/>
      <c r="Q40" s="1291">
        <f t="shared" si="14"/>
        <v>111</v>
      </c>
      <c r="R40" s="711" t="s">
        <v>17</v>
      </c>
      <c r="S40" s="712">
        <f t="shared" si="10"/>
        <v>100</v>
      </c>
      <c r="T40" s="711" t="s">
        <v>17</v>
      </c>
      <c r="U40" s="712">
        <f t="shared" si="11"/>
        <v>100</v>
      </c>
      <c r="V40" s="711" t="s">
        <v>17</v>
      </c>
      <c r="W40" s="712">
        <f t="shared" si="12"/>
        <v>100</v>
      </c>
      <c r="X40" s="713"/>
      <c r="Y40" s="3596"/>
      <c r="Z40" s="714">
        <f t="shared" si="13"/>
        <v>111</v>
      </c>
      <c r="AA40" s="1292">
        <f t="shared" si="3"/>
        <v>1</v>
      </c>
      <c r="AB40" s="1292">
        <f t="shared" si="4"/>
        <v>1</v>
      </c>
      <c r="AC40" s="1292">
        <f t="shared" si="5"/>
        <v>1</v>
      </c>
    </row>
    <row r="41" spans="1:31" ht="14.4">
      <c r="A41" s="433" t="s">
        <v>2104</v>
      </c>
      <c r="B41" s="1922" t="s">
        <v>2184</v>
      </c>
      <c r="C41" s="633" t="s">
        <v>1</v>
      </c>
      <c r="D41" s="435"/>
      <c r="E41" s="436"/>
      <c r="F41" s="437"/>
      <c r="G41" s="438"/>
      <c r="H41" s="439"/>
      <c r="I41" s="436"/>
      <c r="J41" s="439"/>
      <c r="K41" s="717"/>
      <c r="L41" s="2404"/>
      <c r="M41" s="2396"/>
      <c r="N41" s="2396"/>
      <c r="O41" s="2405"/>
      <c r="P41" s="3589" t="str">
        <f>A41</f>
        <v>成交单价</v>
      </c>
      <c r="Q41" s="3589"/>
      <c r="R41" s="3584">
        <f>E41</f>
        <v>0</v>
      </c>
      <c r="S41" s="3584"/>
      <c r="T41" s="3584">
        <f>G41</f>
        <v>0</v>
      </c>
      <c r="U41" s="3584"/>
      <c r="V41" s="3584">
        <f>I41</f>
        <v>0</v>
      </c>
      <c r="W41" s="3584"/>
      <c r="X41" s="693"/>
      <c r="Y41" s="715"/>
      <c r="Z41" s="693"/>
      <c r="AA41" s="693"/>
      <c r="AB41" s="693"/>
      <c r="AC41" s="693"/>
    </row>
    <row r="42" spans="1:31" ht="1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89" t="str">
        <f>A42</f>
        <v>比较价值（元/平方米）</v>
      </c>
      <c r="Q42" s="3589"/>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 thickBot="1">
      <c r="A43" s="444" t="s">
        <v>2054</v>
      </c>
      <c r="B43" s="445"/>
      <c r="C43" s="446" t="e">
        <f>R43</f>
        <v>#DIV/0!</v>
      </c>
      <c r="D43" s="446"/>
      <c r="E43" s="446"/>
      <c r="F43" s="446"/>
      <c r="G43" s="446"/>
      <c r="H43" s="446"/>
      <c r="I43" s="446"/>
      <c r="J43" s="446"/>
      <c r="K43" s="718"/>
      <c r="L43" s="2404"/>
      <c r="M43" s="2396"/>
      <c r="N43" s="2396"/>
      <c r="O43" s="2405"/>
      <c r="P43" s="3586" t="str">
        <f>A43</f>
        <v>估价对象XX用房的比较价值（楼面单价，元/平方米）</v>
      </c>
      <c r="Q43" s="3587"/>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4.4"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8.8">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1"/>
      <c r="H51" s="358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0"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0"/>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0"/>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4.4"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4.4"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2022-5-1</v>
      </c>
      <c r="D63" s="695">
        <f>EDATE(C63,-3)</f>
        <v>44593</v>
      </c>
      <c r="E63" s="695">
        <f>EDATE(D63,-3)</f>
        <v>44501</v>
      </c>
      <c r="F63" s="695">
        <f t="shared" ref="F63:O63" si="18">EDATE(E63,-3)</f>
        <v>44409</v>
      </c>
      <c r="G63" s="695">
        <f t="shared" si="18"/>
        <v>44317</v>
      </c>
      <c r="H63" s="695">
        <f t="shared" si="18"/>
        <v>44228</v>
      </c>
      <c r="I63" s="695">
        <f t="shared" si="18"/>
        <v>44136</v>
      </c>
      <c r="J63" s="695">
        <f t="shared" si="18"/>
        <v>44044</v>
      </c>
      <c r="K63" s="695">
        <f t="shared" si="18"/>
        <v>43952</v>
      </c>
      <c r="L63" s="695">
        <f t="shared" si="18"/>
        <v>43862</v>
      </c>
      <c r="M63" s="695">
        <f t="shared" si="18"/>
        <v>43770</v>
      </c>
      <c r="N63" s="695">
        <f t="shared" si="18"/>
        <v>43678</v>
      </c>
      <c r="O63" s="695">
        <f t="shared" si="18"/>
        <v>43586</v>
      </c>
      <c r="P63" s="2405"/>
      <c r="Q63" s="2405"/>
      <c r="R63" s="2405"/>
      <c r="S63" s="2405"/>
      <c r="T63" s="2405"/>
      <c r="U63" s="2405"/>
      <c r="V63" s="2405"/>
      <c r="W63" s="2405"/>
      <c r="X63" s="2405"/>
      <c r="Y63" s="2405"/>
      <c r="Z63" s="2405"/>
      <c r="AA63" s="2405"/>
      <c r="AB63" s="2405"/>
      <c r="AC63" s="2405"/>
      <c r="AD63" s="2405"/>
      <c r="AE63" s="2405"/>
    </row>
    <row r="64" spans="1:31" ht="22.2"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4.4">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4.4">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4.4"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ht="14.4">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4.4"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9.4"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4.4"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4.4"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4.4"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4.4"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4.4"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4.4"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4.4"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4.4"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ht="14.4">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4.4"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4.4"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29.4"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4.4"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9.4"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4.4"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4.4"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4.4"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4.4"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9.4"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4.4"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4.4"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4.4"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4.4"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4.4"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4.4"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4.4"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4.4"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ht="14.4">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4.4"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4.4"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4.4"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4.4"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4.4"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4.4"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4.4"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4.4"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4.4"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4.4"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tabSelected="1" view="pageBreakPreview" zoomScale="70" zoomScaleNormal="80" zoomScaleSheetLayoutView="70" workbookViewId="0">
      <selection activeCell="F86" sqref="F86"/>
    </sheetView>
  </sheetViews>
  <sheetFormatPr defaultColWidth="12" defaultRowHeight="13.2"/>
  <cols>
    <col min="1" max="1" width="9.77734375" style="2674" customWidth="1"/>
    <col min="2" max="2" width="23.88671875" style="2674" customWidth="1"/>
    <col min="3" max="4" width="12" style="2674"/>
    <col min="5" max="5" width="14.6640625" style="2674" customWidth="1"/>
    <col min="6" max="6" width="12.77734375" style="2674" customWidth="1"/>
    <col min="7" max="8" width="12" style="2674"/>
    <col min="9" max="9" width="12.21875" style="2674" bestFit="1" customWidth="1"/>
    <col min="10" max="10" width="12" style="2674"/>
    <col min="11" max="11" width="8.109375" style="1939" customWidth="1"/>
    <col min="12" max="12" width="16.88671875" style="2674" customWidth="1"/>
    <col min="13" max="13" width="8.44140625" style="2674" customWidth="1"/>
    <col min="14" max="14" width="9.77734375" style="2674" customWidth="1"/>
    <col min="15" max="25" width="12" style="2674"/>
    <col min="26" max="26" width="9.33203125" style="2674" customWidth="1"/>
    <col min="27" max="32" width="9.33203125" style="1939" customWidth="1"/>
    <col min="33" max="38" width="9.33203125" style="2674" customWidth="1"/>
    <col min="39" max="16384" width="12" style="2674"/>
  </cols>
  <sheetData>
    <row r="1" spans="1:36" ht="31.2">
      <c r="A1" s="3127" t="s">
        <v>2188</v>
      </c>
      <c r="B1" s="3128"/>
      <c r="C1" s="3129" t="s">
        <v>2189</v>
      </c>
      <c r="D1" s="174">
        <f>SUM(D33:D34,D37:D42)</f>
        <v>10083.39</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6">
      <c r="A2" s="3129" t="s">
        <v>2196</v>
      </c>
      <c r="B2" s="3137">
        <f>C30</f>
        <v>1646</v>
      </c>
      <c r="C2" s="3138" t="s">
        <v>2197</v>
      </c>
      <c r="D2" s="2695" t="s">
        <v>2198</v>
      </c>
      <c r="E2" s="3139" t="s">
        <v>6</v>
      </c>
      <c r="F2" s="2695" t="s">
        <v>2199</v>
      </c>
      <c r="G2" s="2695" t="str">
        <f>IF(E2="商业",项目基本情况!B37,IF(E2="办公",项目基本情况!C37,IF(E2="住宅",项目基本情况!D37,IF(E2="工业",项目基本情况!E37,项目基本情况!F37))))</f>
        <v>七级</v>
      </c>
      <c r="H2" s="2695" t="s">
        <v>2200</v>
      </c>
      <c r="I2" s="2695" t="str">
        <f>IF(E2="商业",项目基本情况!B38,IF(E2="办公",项目基本情况!C38,IF(E2="住宅",项目基本情况!D38,IF(E2="工业",项目基本情况!E38,项目基本情况!F38))))</f>
        <v>Ⅶ-顺1</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2317</v>
      </c>
      <c r="U2" s="3143"/>
      <c r="V2" s="3133">
        <f>ROUND(T2*U2/10000,0)</f>
        <v>0</v>
      </c>
      <c r="W2" s="3134"/>
      <c r="X2" s="3134"/>
      <c r="Y2" s="3134"/>
      <c r="Z2" s="3134"/>
      <c r="AA2" s="3134"/>
      <c r="AB2" s="3134"/>
      <c r="AC2" s="3134"/>
      <c r="AD2" s="3135"/>
      <c r="AE2" s="3135"/>
      <c r="AF2" s="3135"/>
      <c r="AG2" s="3135"/>
      <c r="AH2" s="3135"/>
      <c r="AI2" s="3135"/>
      <c r="AJ2" s="3136"/>
    </row>
    <row r="3" spans="1:36" ht="15.6">
      <c r="A3" s="3137" t="s">
        <v>2202</v>
      </c>
      <c r="B3" s="3137">
        <f>ROUND(B2*10000/D1,0)</f>
        <v>1632</v>
      </c>
      <c r="C3" s="3138" t="s">
        <v>2203</v>
      </c>
      <c r="D3" s="2695" t="s">
        <v>2204</v>
      </c>
      <c r="E3" s="3139" t="s">
        <v>2891</v>
      </c>
      <c r="F3" s="1935" t="s">
        <v>3109</v>
      </c>
      <c r="G3" s="3144">
        <v>1</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1826</v>
      </c>
      <c r="U3" s="3143"/>
      <c r="V3" s="3133">
        <f t="shared" ref="V3:V16" si="1">ROUND(T3*U3/10000,0)</f>
        <v>0</v>
      </c>
      <c r="W3" s="3134"/>
      <c r="X3" s="3134"/>
      <c r="Y3" s="3134"/>
      <c r="Z3" s="3134"/>
      <c r="AA3" s="3134"/>
      <c r="AB3" s="3134"/>
      <c r="AC3" s="3134"/>
      <c r="AD3" s="3135"/>
      <c r="AE3" s="3135"/>
      <c r="AF3" s="3135"/>
      <c r="AG3" s="3135"/>
      <c r="AH3" s="3135"/>
      <c r="AI3" s="3135"/>
      <c r="AJ3" s="3136"/>
    </row>
    <row r="4" spans="1:36" ht="15.6">
      <c r="A4" s="3636"/>
      <c r="B4" s="3637"/>
      <c r="C4" s="3637"/>
      <c r="D4" s="3638"/>
      <c r="E4" s="3638"/>
      <c r="F4" s="3638"/>
      <c r="G4" s="3638"/>
      <c r="H4" s="3638"/>
      <c r="I4" s="3638"/>
      <c r="J4" s="3639"/>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1.0004999999999999</v>
      </c>
      <c r="T4" s="3133">
        <f t="shared" si="0"/>
        <v>1543</v>
      </c>
      <c r="U4" s="3143"/>
      <c r="V4" s="3133">
        <f t="shared" si="1"/>
        <v>0</v>
      </c>
      <c r="W4" s="3134"/>
      <c r="X4" s="3134"/>
      <c r="Y4" s="3134"/>
      <c r="Z4" s="3134"/>
      <c r="AA4" s="3134"/>
      <c r="AB4" s="3134"/>
      <c r="AC4" s="3134"/>
      <c r="AD4" s="3135"/>
      <c r="AE4" s="3135"/>
      <c r="AF4" s="3135"/>
      <c r="AG4" s="3135"/>
      <c r="AH4" s="3135"/>
      <c r="AI4" s="3135"/>
      <c r="AJ4" s="3136"/>
    </row>
    <row r="5" spans="1:36" s="3156" customFormat="1" ht="15.6" thickBot="1">
      <c r="A5" s="2696" t="s">
        <v>594</v>
      </c>
      <c r="B5" s="2697" t="s">
        <v>2209</v>
      </c>
      <c r="C5" s="3146">
        <f>ROUND(IF(E2="商业",C6*C7*C17+C20,(IF(E2="住宅",C6*C13*C17+C20,IF(E2="办公",C6*C12*C17+C20,C6+C20)))),0)</f>
        <v>1695</v>
      </c>
      <c r="D5" s="3147">
        <f>ROUND(C6+C20,0)</f>
        <v>1695</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1361</v>
      </c>
      <c r="U5" s="3143"/>
      <c r="V5" s="3133">
        <f t="shared" si="1"/>
        <v>0</v>
      </c>
      <c r="W5" s="3134"/>
      <c r="X5" s="3134"/>
      <c r="Y5" s="3134"/>
      <c r="Z5" s="3134"/>
      <c r="AA5" s="3134"/>
      <c r="AB5" s="3134"/>
      <c r="AC5" s="3153"/>
      <c r="AD5" s="3154"/>
      <c r="AE5" s="3154"/>
      <c r="AF5" s="3154"/>
      <c r="AG5" s="3154"/>
      <c r="AH5" s="3154"/>
      <c r="AI5" s="3154"/>
      <c r="AJ5" s="3155"/>
    </row>
    <row r="6" spans="1:36" ht="15.6" thickBot="1">
      <c r="A6" s="2698" t="s">
        <v>2211</v>
      </c>
      <c r="B6" s="2699" t="s">
        <v>2212</v>
      </c>
      <c r="C6" s="3157">
        <f>SUMIF(L1:L12,G2,M1:M12)</f>
        <v>1770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0.84799999999999998</v>
      </c>
      <c r="T6" s="3133">
        <f t="shared" si="0"/>
        <v>1308</v>
      </c>
      <c r="U6" s="3143"/>
      <c r="V6" s="3133">
        <f t="shared" si="1"/>
        <v>0</v>
      </c>
      <c r="W6" s="3134"/>
      <c r="X6" s="3134"/>
      <c r="Y6" s="3134"/>
      <c r="Z6" s="3134"/>
      <c r="AA6" s="3134"/>
      <c r="AB6" s="3134"/>
      <c r="AC6" s="3153"/>
      <c r="AD6" s="3154"/>
      <c r="AE6" s="3154"/>
      <c r="AF6" s="3154"/>
      <c r="AG6" s="3154"/>
      <c r="AH6" s="3154"/>
      <c r="AI6" s="3154"/>
      <c r="AJ6" s="3155"/>
    </row>
    <row r="7" spans="1:36" ht="24.6" thickBot="1">
      <c r="A7" s="3122" t="s">
        <v>3101</v>
      </c>
      <c r="B7" s="3043" t="s">
        <v>2215</v>
      </c>
      <c r="C7" s="3161" t="e">
        <f>IF(C8="不临65条商业街",1,ROUND(1+(1.6*E8+1.2*E9+0.8*E10+0.4*E11)*C9,4))</f>
        <v>#DIV/0!</v>
      </c>
      <c r="D7" s="3162" t="s">
        <v>2216</v>
      </c>
      <c r="E7" s="3163"/>
      <c r="F7" s="3164"/>
      <c r="G7" s="3164"/>
      <c r="H7" s="3164"/>
      <c r="I7" s="3164"/>
      <c r="J7" s="3165"/>
      <c r="K7" s="1340"/>
      <c r="L7" s="3141" t="s">
        <v>2217</v>
      </c>
      <c r="M7" s="3142">
        <f>SUMPRODUCT((区片价!B190:B233=I2)*(区片价!C3:G3=E2)*(区片价!C190:G233))</f>
        <v>1770</v>
      </c>
      <c r="N7" s="2254">
        <f>SUMPRODUCT((因素修正幅度!B190:B233=I2)*(因素修正幅度!C3:G3=E2)*(因素修正幅度!C190:G233))</f>
        <v>0.13</v>
      </c>
      <c r="O7" s="1939"/>
      <c r="P7" s="1939"/>
      <c r="Q7" s="1939"/>
      <c r="R7" s="3133">
        <v>6</v>
      </c>
      <c r="S7" s="3143"/>
      <c r="T7" s="3133">
        <f t="shared" si="0"/>
        <v>0</v>
      </c>
      <c r="U7" s="3143"/>
      <c r="V7" s="3133">
        <f t="shared" si="1"/>
        <v>0</v>
      </c>
      <c r="W7" s="3166" t="s">
        <v>2218</v>
      </c>
      <c r="X7" s="3167" t="str">
        <f>G2</f>
        <v>七级</v>
      </c>
      <c r="Y7" s="3167" t="s">
        <v>2219</v>
      </c>
      <c r="Z7" s="3168">
        <f>G3</f>
        <v>1</v>
      </c>
      <c r="AA7" s="3134"/>
      <c r="AB7" s="3134"/>
      <c r="AC7" s="3134"/>
      <c r="AD7" s="3135"/>
      <c r="AE7" s="3135"/>
      <c r="AF7" s="3135"/>
      <c r="AG7" s="3135"/>
      <c r="AH7" s="3135"/>
      <c r="AI7" s="3135"/>
      <c r="AJ7" s="3136"/>
    </row>
    <row r="8" spans="1:36" ht="15">
      <c r="A8" s="3169"/>
      <c r="B8" s="174" t="s">
        <v>2220</v>
      </c>
      <c r="C8" s="3170"/>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34" t="s">
        <v>2223</v>
      </c>
      <c r="X8" s="3635"/>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35"/>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35"/>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6"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8" thickBot="1">
      <c r="A12" s="3122" t="s">
        <v>2738</v>
      </c>
      <c r="B12" s="3123" t="s">
        <v>3103</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24">
      <c r="A13" s="3124" t="s">
        <v>3102</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24">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6"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3.8">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4.4"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3.8">
      <c r="A20" s="3124" t="s">
        <v>3104</v>
      </c>
      <c r="B20" s="171" t="s">
        <v>2258</v>
      </c>
      <c r="C20" s="171">
        <f>ROUND(IF(F21="与级别开发程度一致",0,(G21-E21)/C21),0)</f>
        <v>-75</v>
      </c>
      <c r="D20" s="3640" t="s">
        <v>2262</v>
      </c>
      <c r="E20" s="3641"/>
      <c r="F20" s="3640" t="s">
        <v>2259</v>
      </c>
      <c r="G20" s="3641"/>
      <c r="H20" s="3227" t="s">
        <v>3120</v>
      </c>
      <c r="I20" s="3227" t="s">
        <v>3121</v>
      </c>
      <c r="J20" s="3228" t="s">
        <v>3122</v>
      </c>
      <c r="K20" s="3229" t="s">
        <v>3123</v>
      </c>
      <c r="L20" s="3229" t="s">
        <v>3124</v>
      </c>
      <c r="M20" s="3229" t="s">
        <v>3125</v>
      </c>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7" thickBot="1">
      <c r="A21" s="3125"/>
      <c r="B21" s="2705" t="s">
        <v>2261</v>
      </c>
      <c r="C21" s="3231">
        <f>SUMPRODUCT((修正!A2:A7=E2)*(修正!B1:M1=G2)*(修正!B2:M7))</f>
        <v>1.2</v>
      </c>
      <c r="D21" s="2259" t="str">
        <f>IF(OR(G2="八级",G2="九级",G2="十级",G2="十一级",G2="十二级"),"五通一平","七通一平")</f>
        <v>七通一平</v>
      </c>
      <c r="E21" s="3232">
        <f>SUMPRODUCT((修正!B1:M1=G2)*(修正!B17:M17))</f>
        <v>315</v>
      </c>
      <c r="F21" s="3233" t="s">
        <v>3127</v>
      </c>
      <c r="G21" s="2717">
        <f>SUM(H21:O21)</f>
        <v>225</v>
      </c>
      <c r="H21" s="3231">
        <f>SUMPRODUCT((七通一平=H20)*(修正!B1:M1=G2)*(修正!B8:M16))</f>
        <v>70</v>
      </c>
      <c r="I21" s="3231">
        <f>SUMPRODUCT((七通一平=I20)*(修正!B1:M1=G2)*(修正!B8:M16))</f>
        <v>60</v>
      </c>
      <c r="J21" s="3234">
        <f>SUMPRODUCT((七通一平=J20)*(修正!B1:M1=G2)*(修正!B8:M16))</f>
        <v>15</v>
      </c>
      <c r="K21" s="3231">
        <f>SUMPRODUCT((七通一平=K20)*(修正!B1:M1=G2)*(修正!B8:M16))</f>
        <v>25</v>
      </c>
      <c r="L21" s="3231">
        <f>SUMPRODUCT((七通一平=L20)*(修正!B1:M1=G2)*(修正!B8:M16))</f>
        <v>40</v>
      </c>
      <c r="M21" s="3231">
        <f>SUMPRODUCT((七通一平=M20)*(修正!B1:M1=G2)*(修正!B8:M16))</f>
        <v>15</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8.2" thickBot="1">
      <c r="A23" s="2708" t="s">
        <v>596</v>
      </c>
      <c r="B23" s="2709" t="s">
        <v>2265</v>
      </c>
      <c r="C23" s="3241">
        <f>ROUND(IF(H23="按公示增长率计算",SUMPRODUCT((地价!A3:A13=YEAR(G23)&amp;"-"&amp;ROUNDUP(MONTH(G23)/3,0))*(地价!Y2:AD2=E2)*(地价!Y3:AD13)),IF(H23="地价指数",M24/M23,(1+I23)^O23)),4)</f>
        <v>1.0270999999999999</v>
      </c>
      <c r="D23" s="3242" t="s">
        <v>2266</v>
      </c>
      <c r="E23" s="3243">
        <v>44197</v>
      </c>
      <c r="F23" s="3242" t="s">
        <v>2267</v>
      </c>
      <c r="G23" s="3244">
        <f>项目基本情况!D3</f>
        <v>44697</v>
      </c>
      <c r="H23" s="3245" t="s">
        <v>3100</v>
      </c>
      <c r="I23" s="3246" t="str">
        <f>IF(H23="季度增幅（自定义）",SUMIF(N25:N28,E2,O25:O28),"")</f>
        <v/>
      </c>
      <c r="J23" s="3247"/>
      <c r="K23" s="3218"/>
      <c r="L23" s="3248" t="s">
        <v>2268</v>
      </c>
      <c r="M23" s="3249">
        <f>ROUND(SUMIF(地价!B2:G2,E2,地价!B13:G13),0)</f>
        <v>329</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6" thickBot="1">
      <c r="A24" s="2710" t="s">
        <v>597</v>
      </c>
      <c r="B24" s="2711" t="s">
        <v>2270</v>
      </c>
      <c r="C24" s="3251">
        <f>ROUND(POWER(1+G24,J24-I24)*(POWER(1+G24,I24)-1)/(POWER(1+G24,J24)-1),4)</f>
        <v>0.86629999999999996</v>
      </c>
      <c r="D24" s="3252" t="s">
        <v>2271</v>
      </c>
      <c r="E24" s="3253">
        <f>存贷款利率!E20/100</f>
        <v>4.3499999999999997E-2</v>
      </c>
      <c r="F24" s="3252" t="s">
        <v>2263</v>
      </c>
      <c r="G24" s="3254">
        <f>SUMIF(M30:Q30,E2,M33:Q33)</f>
        <v>0.05</v>
      </c>
      <c r="H24" s="3252" t="s">
        <v>2272</v>
      </c>
      <c r="I24" s="3255">
        <f>项目基本情况!I15</f>
        <v>32.06</v>
      </c>
      <c r="J24" s="3256">
        <f>IF(E2="住宅",70,IF(E2="商业",40,50))</f>
        <v>50</v>
      </c>
      <c r="K24" s="3218"/>
      <c r="L24" s="3257" t="s">
        <v>2273</v>
      </c>
      <c r="M24" s="3258">
        <f>ROUND(SUMPRODUCT((地价!A4:A13=YEAR(G23)&amp;"-"&amp;ROUNDUP(MONTH(G23)/3,0))*(地价!B2:G2=E2)*(地价!B4:G13)),0)</f>
        <v>338</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4.4">
      <c r="A25" s="2719" t="s">
        <v>598</v>
      </c>
      <c r="B25" s="2693" t="s">
        <v>3126</v>
      </c>
      <c r="C25" s="3262">
        <f>IF(B25="容积率修正",IF(G3&lt;10,D26,J26),C27)</f>
        <v>1.0583</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4">
      <c r="A26" s="3268" t="s">
        <v>2278</v>
      </c>
      <c r="B26" s="2712" t="s">
        <v>2279</v>
      </c>
      <c r="C26" s="2712" t="s">
        <v>2924</v>
      </c>
      <c r="D26" s="2712">
        <f>IF(E26=G26,F26,IF(G3&lt;10,ROUND(F26+(H26-F26)*(G3-E26)/(G26-E26),4),"——"))</f>
        <v>1.0583</v>
      </c>
      <c r="E26" s="3269">
        <f>ROUNDDOWN(G3,1)</f>
        <v>1</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3269">
        <f>ROUNDUP(G3,1)</f>
        <v>1</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 thickBot="1">
      <c r="A28" s="2710" t="s">
        <v>599</v>
      </c>
      <c r="B28" s="2709" t="s">
        <v>2284</v>
      </c>
      <c r="C28" s="3241">
        <f>SUMIF(A48:A102,E2,B48:B102)</f>
        <v>1.0227999999999999</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4.4">
      <c r="A30" s="3288"/>
      <c r="B30" s="2712" t="s">
        <v>2287</v>
      </c>
      <c r="C30" s="3289">
        <f>IF(B25="容积率修正",E33+SUM(E37:E42),SUM(V2:V16)+SUM(E37:E42))</f>
        <v>1646</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3.8">
      <c r="A33" s="3308"/>
      <c r="B33" s="2716" t="s">
        <v>2293</v>
      </c>
      <c r="C33" s="178">
        <f>ROUND(C5*C22*C23*C24*C25*C28,0)</f>
        <v>1632</v>
      </c>
      <c r="D33" s="3309">
        <f>'[2]数据-基础表'!$B$3</f>
        <v>10083.39</v>
      </c>
      <c r="E33" s="3047">
        <f>ROUND(C33*D33/10000,0)</f>
        <v>1646</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25.8" thickBot="1">
      <c r="A34" s="3314"/>
      <c r="B34" s="2717" t="s">
        <v>2295</v>
      </c>
      <c r="C34" s="2259">
        <f>ROUND(IF(E2="工业",C33*M42,IF(B25="楼层修正",SUM(V2:V16)*M41*10000/D34,C33*M41)),0)</f>
        <v>245</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3106</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6"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6" thickBot="1">
      <c r="A37" s="3628"/>
      <c r="B37" s="2959" t="s">
        <v>2300</v>
      </c>
      <c r="C37" s="178">
        <f>ROUND(C5*C22*C23*C24*C28*F37,0)</f>
        <v>926</v>
      </c>
      <c r="D37" s="3309"/>
      <c r="E37" s="174">
        <f>ROUND(C37*D37/10000,0)</f>
        <v>0</v>
      </c>
      <c r="F37" s="174">
        <f>SUMIF(修正!A57:A68,G2,修正!B57:B68)</f>
        <v>0.6</v>
      </c>
      <c r="G37" s="174">
        <f>ROUND(IF(E2="工业",C37*$M$42,C37*$M$41),0)</f>
        <v>139</v>
      </c>
      <c r="H37" s="174">
        <f>D37</f>
        <v>0</v>
      </c>
      <c r="I37" s="174">
        <f>ROUND(G37*H37/10000,0)</f>
        <v>0</v>
      </c>
      <c r="J37" s="363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29"/>
      <c r="B38" s="2960" t="s">
        <v>2301</v>
      </c>
      <c r="C38" s="178">
        <f>ROUND(C5*C22*C23*C24*C28*F38,0)</f>
        <v>463</v>
      </c>
      <c r="D38" s="3309"/>
      <c r="E38" s="174">
        <f t="shared" ref="E38:E42" si="4">ROUND(C38*D38/10000,0)</f>
        <v>0</v>
      </c>
      <c r="F38" s="174">
        <f>SUMIF(修正!A57:A68,G2,修正!C57:C68)</f>
        <v>0.3</v>
      </c>
      <c r="G38" s="174">
        <f>ROUND(IF(E2="工业",C38*$M$42,C38*$M$41),0)</f>
        <v>69</v>
      </c>
      <c r="H38" s="174">
        <f t="shared" ref="H38:H42" si="5">D38</f>
        <v>0</v>
      </c>
      <c r="I38" s="174">
        <f t="shared" ref="I38:I42" si="6">ROUND(G38*H38/10000,0)</f>
        <v>0</v>
      </c>
      <c r="J38" s="3629"/>
      <c r="K38" s="3225">
        <v>5.0000000000000001E-3</v>
      </c>
      <c r="L38" s="1939"/>
      <c r="M38" s="1939"/>
      <c r="N38" s="1939"/>
      <c r="O38" s="3240"/>
      <c r="P38" s="3240"/>
      <c r="Q38" s="3225"/>
      <c r="R38" s="1939"/>
      <c r="S38" s="1939"/>
      <c r="T38" s="1939"/>
      <c r="U38" s="1939"/>
      <c r="V38" s="1939"/>
      <c r="W38" s="1939"/>
      <c r="X38" s="1939"/>
      <c r="Y38" s="1939"/>
      <c r="Z38" s="1939"/>
    </row>
    <row r="39" spans="1:30" ht="13.8" thickBot="1">
      <c r="A39" s="3629"/>
      <c r="B39" s="2960" t="s">
        <v>2965</v>
      </c>
      <c r="C39" s="178">
        <f>ROUND(C5*C22*C23*C24*C28*F39,0)</f>
        <v>386</v>
      </c>
      <c r="D39" s="3309"/>
      <c r="E39" s="174">
        <f t="shared" si="4"/>
        <v>0</v>
      </c>
      <c r="F39" s="174">
        <f>SUMIF(修正!A57:A68,G2,修正!D57:D68)</f>
        <v>0.25</v>
      </c>
      <c r="G39" s="174">
        <f>ROUND(IF(E2="工业",C39*$M$42,C39*$M$41),0)</f>
        <v>58</v>
      </c>
      <c r="H39" s="174">
        <f t="shared" si="5"/>
        <v>0</v>
      </c>
      <c r="I39" s="174">
        <f t="shared" si="6"/>
        <v>0</v>
      </c>
      <c r="J39" s="362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386</v>
      </c>
      <c r="D40" s="3309"/>
      <c r="E40" s="174">
        <f t="shared" si="4"/>
        <v>0</v>
      </c>
      <c r="F40" s="178">
        <f>SUMIF(修正!A57:A68,G2,修正!E57:E68)</f>
        <v>0.25</v>
      </c>
      <c r="G40" s="174">
        <f>ROUND(IF(E2="工业",C40*$M$42,C40*$M$41),0)</f>
        <v>58</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0.25</v>
      </c>
      <c r="G41" s="174">
        <f>ROUND(IF(E2="工业",C41*$M$42,C41*$M$41),0)</f>
        <v>0</v>
      </c>
      <c r="H41" s="174">
        <f t="shared" si="5"/>
        <v>0</v>
      </c>
      <c r="I41" s="174">
        <f t="shared" si="6"/>
        <v>0</v>
      </c>
      <c r="J41" s="3328"/>
      <c r="L41" s="3330" t="s">
        <v>3074</v>
      </c>
      <c r="M41" s="3331">
        <v>0.25</v>
      </c>
    </row>
    <row r="42" spans="1:30" s="1939" customFormat="1" ht="13.8" thickBot="1">
      <c r="A42" s="3314"/>
      <c r="B42" s="2961" t="s">
        <v>2305</v>
      </c>
      <c r="C42" s="3220">
        <f>ROUND(C5*C22*C23*C44*C28*F42,0)</f>
        <v>0</v>
      </c>
      <c r="D42" s="3315"/>
      <c r="E42" s="2259">
        <f t="shared" si="4"/>
        <v>0</v>
      </c>
      <c r="F42" s="180">
        <f>SUMIF(修正!A57:A68,G2,修正!G57:G68)</f>
        <v>0.15</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0.05</v>
      </c>
      <c r="F44" s="174" t="s">
        <v>2272</v>
      </c>
      <c r="G44" s="2250"/>
      <c r="H44" s="174">
        <v>50</v>
      </c>
    </row>
    <row r="45" spans="1:30" s="1939" customFormat="1"/>
    <row r="46" spans="1:30" s="1939" customFormat="1"/>
    <row r="47" spans="1:30" s="1939" customFormat="1"/>
    <row r="48" spans="1:30" s="1939" customFormat="1" ht="15" thickBot="1">
      <c r="A48" s="2962" t="s">
        <v>2306</v>
      </c>
      <c r="B48" s="2963"/>
      <c r="C48" s="684"/>
      <c r="D48" s="684"/>
      <c r="E48" s="684"/>
      <c r="F48" s="2964"/>
      <c r="G48" s="2964"/>
      <c r="H48" s="2964"/>
      <c r="I48" s="2964"/>
      <c r="J48" s="2964"/>
      <c r="K48" s="2964"/>
      <c r="L48" s="2964"/>
      <c r="M48" s="2964"/>
    </row>
    <row r="49" spans="1:14" s="1939" customFormat="1" ht="14.4">
      <c r="A49" s="2965" t="s">
        <v>2307</v>
      </c>
      <c r="B49" s="2966">
        <f>1+E51</f>
        <v>1</v>
      </c>
      <c r="C49" s="2967"/>
      <c r="D49" s="2968"/>
      <c r="E49" s="2969"/>
      <c r="F49" s="2970"/>
      <c r="G49" s="2964"/>
      <c r="H49" s="2964"/>
      <c r="I49" s="2964"/>
      <c r="J49" s="2964"/>
      <c r="K49" s="2964"/>
      <c r="L49" s="2964"/>
      <c r="M49" s="2964"/>
    </row>
    <row r="50" spans="1:14" s="1939" customFormat="1" ht="25.2">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9.6">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52.8">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48">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7.200000000000003">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36">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6.4">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6.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36.6"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4.4">
      <c r="A60" s="2965" t="s">
        <v>2326</v>
      </c>
      <c r="B60" s="2966">
        <f>1+E62</f>
        <v>1</v>
      </c>
      <c r="C60" s="2997"/>
      <c r="D60" s="2997"/>
      <c r="E60" s="2998"/>
      <c r="F60" s="2970"/>
      <c r="G60" s="2964"/>
      <c r="H60" s="2964"/>
      <c r="I60" s="2964"/>
      <c r="J60" s="2964"/>
      <c r="K60" s="2964"/>
      <c r="L60" s="2964"/>
      <c r="M60" s="2964"/>
      <c r="N60" s="2964"/>
    </row>
    <row r="61" spans="1:14" s="1939" customFormat="1" ht="25.2">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9.6">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2">IFERROR(ROUNDDOWN($F$62*I62/2,4),"——")</f>
        <v>——</v>
      </c>
      <c r="I62" s="2983">
        <v>0.25</v>
      </c>
      <c r="J62" s="2984">
        <f t="shared" ref="J62:J70" si="13">K62+$G62</f>
        <v>0</v>
      </c>
      <c r="K62" s="2984">
        <f t="shared" ref="K62:K70" si="14">$L62+$G62</f>
        <v>0</v>
      </c>
      <c r="L62" s="2984">
        <v>0</v>
      </c>
      <c r="M62" s="2984">
        <f t="shared" ref="M62:N70" si="15">L62-$G62</f>
        <v>0</v>
      </c>
      <c r="N62" s="2984">
        <f t="shared" si="15"/>
        <v>0</v>
      </c>
    </row>
    <row r="63" spans="1:14" s="1939" customFormat="1" ht="52.8">
      <c r="A63" s="2971" t="s">
        <v>2317</v>
      </c>
      <c r="B63" s="2985" t="str">
        <f>估价对象房地状况!C18</f>
        <v>估价对象周边道路状况、公共交通通达情况、停车便捷程度，综合评价交通便捷度较好</v>
      </c>
      <c r="C63" s="2977"/>
      <c r="D63" s="2978">
        <f t="shared" ref="D63:D70" si="16">SUMIF($J$61:$N$61,C63,J63:N63)</f>
        <v>0</v>
      </c>
      <c r="E63" s="2986"/>
      <c r="F63" s="2987"/>
      <c r="G63" s="2981"/>
      <c r="H63" s="2982" t="str">
        <f t="shared" si="12"/>
        <v>——</v>
      </c>
      <c r="I63" s="2983">
        <v>0.26</v>
      </c>
      <c r="J63" s="2984">
        <f t="shared" si="13"/>
        <v>0</v>
      </c>
      <c r="K63" s="2984">
        <f t="shared" si="14"/>
        <v>0</v>
      </c>
      <c r="L63" s="2984">
        <v>0</v>
      </c>
      <c r="M63" s="2984">
        <f t="shared" si="15"/>
        <v>0</v>
      </c>
      <c r="N63" s="2984">
        <f t="shared" si="15"/>
        <v>0</v>
      </c>
    </row>
    <row r="64" spans="1:14" s="1939" customFormat="1" ht="48">
      <c r="A64" s="2988" t="s">
        <v>2839</v>
      </c>
      <c r="B64" s="2985">
        <f>估价对象房地状况!C19</f>
        <v>0</v>
      </c>
      <c r="C64" s="2977"/>
      <c r="D64" s="2978">
        <f t="shared" si="16"/>
        <v>0</v>
      </c>
      <c r="E64" s="2986"/>
      <c r="F64" s="2987"/>
      <c r="G64" s="2981"/>
      <c r="H64" s="2982" t="str">
        <f t="shared" si="12"/>
        <v>——</v>
      </c>
      <c r="I64" s="2983">
        <v>0.11</v>
      </c>
      <c r="J64" s="2984">
        <f t="shared" si="13"/>
        <v>0</v>
      </c>
      <c r="K64" s="2984">
        <f t="shared" si="14"/>
        <v>0</v>
      </c>
      <c r="L64" s="2984">
        <v>0</v>
      </c>
      <c r="M64" s="2984">
        <f t="shared" si="15"/>
        <v>0</v>
      </c>
      <c r="N64" s="2984">
        <f t="shared" si="15"/>
        <v>0</v>
      </c>
    </row>
    <row r="65" spans="1:33" s="1939" customFormat="1" ht="37.200000000000003">
      <c r="A65" s="2971" t="s">
        <v>2318</v>
      </c>
      <c r="B65" s="2989" t="s">
        <v>2319</v>
      </c>
      <c r="C65" s="2977"/>
      <c r="D65" s="2978">
        <f t="shared" si="16"/>
        <v>0</v>
      </c>
      <c r="E65" s="2986"/>
      <c r="F65" s="2987"/>
      <c r="G65" s="2981"/>
      <c r="H65" s="2982" t="str">
        <f t="shared" si="12"/>
        <v>——</v>
      </c>
      <c r="I65" s="2983">
        <v>0.05</v>
      </c>
      <c r="J65" s="2984">
        <f t="shared" si="13"/>
        <v>0</v>
      </c>
      <c r="K65" s="2984">
        <f t="shared" si="14"/>
        <v>0</v>
      </c>
      <c r="L65" s="2984">
        <v>0</v>
      </c>
      <c r="M65" s="2984">
        <f t="shared" si="15"/>
        <v>0</v>
      </c>
      <c r="N65" s="2984">
        <f t="shared" si="15"/>
        <v>0</v>
      </c>
    </row>
    <row r="66" spans="1:33" s="1939" customFormat="1" ht="24">
      <c r="A66" s="2971" t="s">
        <v>2320</v>
      </c>
      <c r="B66" s="2985">
        <f>估价对象房地状况!C24</f>
        <v>0</v>
      </c>
      <c r="C66" s="2977"/>
      <c r="D66" s="2978">
        <f t="shared" si="16"/>
        <v>0</v>
      </c>
      <c r="E66" s="2986"/>
      <c r="F66" s="2987"/>
      <c r="G66" s="2981"/>
      <c r="H66" s="2982" t="str">
        <f t="shared" si="12"/>
        <v>——</v>
      </c>
      <c r="I66" s="2983">
        <v>0.05</v>
      </c>
      <c r="J66" s="2984">
        <f t="shared" si="13"/>
        <v>0</v>
      </c>
      <c r="K66" s="2984">
        <f t="shared" si="14"/>
        <v>0</v>
      </c>
      <c r="L66" s="2984">
        <v>0</v>
      </c>
      <c r="M66" s="2984">
        <f t="shared" si="15"/>
        <v>0</v>
      </c>
      <c r="N66" s="2984">
        <f t="shared" si="15"/>
        <v>0</v>
      </c>
    </row>
    <row r="67" spans="1:33" s="1939" customFormat="1" ht="36">
      <c r="A67" s="2971" t="s">
        <v>2321</v>
      </c>
      <c r="B67" s="2990" t="s">
        <v>2322</v>
      </c>
      <c r="C67" s="2977"/>
      <c r="D67" s="2978">
        <f t="shared" si="16"/>
        <v>0</v>
      </c>
      <c r="E67" s="2986"/>
      <c r="F67" s="2987"/>
      <c r="G67" s="2981"/>
      <c r="H67" s="2982" t="str">
        <f t="shared" si="12"/>
        <v>——</v>
      </c>
      <c r="I67" s="2983">
        <v>0.06</v>
      </c>
      <c r="J67" s="2984">
        <f t="shared" si="13"/>
        <v>0</v>
      </c>
      <c r="K67" s="2984">
        <f t="shared" si="14"/>
        <v>0</v>
      </c>
      <c r="L67" s="2984">
        <v>0</v>
      </c>
      <c r="M67" s="2984">
        <f t="shared" si="15"/>
        <v>0</v>
      </c>
      <c r="N67" s="2984">
        <f t="shared" si="15"/>
        <v>0</v>
      </c>
    </row>
    <row r="68" spans="1:33" s="1939" customFormat="1" ht="26.4">
      <c r="A68" s="2971" t="s">
        <v>2323</v>
      </c>
      <c r="B68" s="2992" t="str">
        <f>估价对象房地状况!C21</f>
        <v>估价对象所在区域公共配套设施齐备情况</v>
      </c>
      <c r="C68" s="2977"/>
      <c r="D68" s="2978">
        <f t="shared" si="16"/>
        <v>0</v>
      </c>
      <c r="E68" s="2986"/>
      <c r="F68" s="2987"/>
      <c r="G68" s="2981"/>
      <c r="H68" s="2982" t="str">
        <f t="shared" si="12"/>
        <v>——</v>
      </c>
      <c r="I68" s="2983">
        <v>0.06</v>
      </c>
      <c r="J68" s="2984">
        <f t="shared" si="13"/>
        <v>0</v>
      </c>
      <c r="K68" s="2984">
        <f t="shared" si="14"/>
        <v>0</v>
      </c>
      <c r="L68" s="2984">
        <v>0</v>
      </c>
      <c r="M68" s="2984">
        <f t="shared" si="15"/>
        <v>0</v>
      </c>
      <c r="N68" s="2984">
        <f t="shared" si="15"/>
        <v>0</v>
      </c>
    </row>
    <row r="69" spans="1:33" s="1939" customFormat="1" ht="26.4">
      <c r="A69" s="2971" t="s">
        <v>2324</v>
      </c>
      <c r="B69" s="2992" t="str">
        <f>估价对象房地状况!C22</f>
        <v>估价对象所在区域基础设施水平</v>
      </c>
      <c r="C69" s="2977"/>
      <c r="D69" s="2978">
        <f t="shared" si="16"/>
        <v>0</v>
      </c>
      <c r="E69" s="2986"/>
      <c r="F69" s="2987"/>
      <c r="G69" s="2981"/>
      <c r="H69" s="2982" t="str">
        <f t="shared" si="12"/>
        <v>——</v>
      </c>
      <c r="I69" s="2983">
        <v>0.09</v>
      </c>
      <c r="J69" s="2984">
        <f t="shared" si="13"/>
        <v>0</v>
      </c>
      <c r="K69" s="2984">
        <f t="shared" si="14"/>
        <v>0</v>
      </c>
      <c r="L69" s="2984">
        <v>0</v>
      </c>
      <c r="M69" s="2984">
        <f t="shared" si="15"/>
        <v>0</v>
      </c>
      <c r="N69" s="2984">
        <f t="shared" si="15"/>
        <v>0</v>
      </c>
    </row>
    <row r="70" spans="1:33" s="1939" customFormat="1" ht="36.6" thickBot="1">
      <c r="A70" s="2993" t="s">
        <v>2325</v>
      </c>
      <c r="B70" s="2999" t="str">
        <f>估价对象房地状况!C20</f>
        <v>区域自然环境：；人文环境；综合评价环境状况一般</v>
      </c>
      <c r="C70" s="2977"/>
      <c r="D70" s="2978">
        <f t="shared" si="16"/>
        <v>0</v>
      </c>
      <c r="E70" s="2995"/>
      <c r="F70" s="2987"/>
      <c r="G70" s="2981"/>
      <c r="H70" s="2982" t="str">
        <f t="shared" si="12"/>
        <v>——</v>
      </c>
      <c r="I70" s="2996">
        <v>7.0000000000000007E-2</v>
      </c>
      <c r="J70" s="2984">
        <f t="shared" si="13"/>
        <v>0</v>
      </c>
      <c r="K70" s="2984">
        <f t="shared" si="14"/>
        <v>0</v>
      </c>
      <c r="L70" s="2984">
        <v>0</v>
      </c>
      <c r="M70" s="2984">
        <f t="shared" si="15"/>
        <v>0</v>
      </c>
      <c r="N70" s="2984">
        <f t="shared" si="15"/>
        <v>0</v>
      </c>
    </row>
    <row r="71" spans="1:33" s="1939" customFormat="1" ht="14.4">
      <c r="A71" s="2965" t="s">
        <v>2329</v>
      </c>
      <c r="B71" s="2966">
        <f>1+E73</f>
        <v>1</v>
      </c>
      <c r="C71" s="2968"/>
      <c r="D71" s="2968"/>
      <c r="E71" s="2969"/>
      <c r="F71" s="3000"/>
      <c r="G71" s="2964"/>
      <c r="H71" s="2964"/>
      <c r="I71" s="2964"/>
      <c r="J71" s="2964"/>
      <c r="K71" s="2964"/>
      <c r="L71" s="2964"/>
      <c r="M71" s="2964"/>
      <c r="N71" s="2964"/>
    </row>
    <row r="72" spans="1:33" s="1939" customFormat="1" ht="25.2">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2.8">
      <c r="A73" s="2988" t="s">
        <v>2841</v>
      </c>
      <c r="B73" s="2976" t="str">
        <f>估价对象房地状况!C15</f>
        <v>估价对象周边居住用地比例、居住小区规模和社区发展完善程度，综合评价居住社区成熟度一般</v>
      </c>
      <c r="C73" s="2977"/>
      <c r="D73" s="2978">
        <f t="shared" ref="D73:D81" si="17">SUMIF($J$72:$N$72,C73,J73:N73)</f>
        <v>0</v>
      </c>
      <c r="E73" s="2979">
        <f>ROUND(SUM(D73:D81),4)</f>
        <v>0</v>
      </c>
      <c r="F73" s="2980" t="str">
        <f>IF(E2="住宅",SUMIF(L1:L12,G2,N1:N12),"——")</f>
        <v>——</v>
      </c>
      <c r="G73" s="2981"/>
      <c r="H73" s="2982" t="str">
        <f t="shared" ref="H73:H81" si="18">IFERROR(ROUNDDOWN($F$73*I73/2,4),"——")</f>
        <v>——</v>
      </c>
      <c r="I73" s="2983">
        <v>0.2</v>
      </c>
      <c r="J73" s="2984">
        <f t="shared" ref="J73:J81" si="19">K73+$G73</f>
        <v>0</v>
      </c>
      <c r="K73" s="2984">
        <f t="shared" ref="K73:K81" si="20">$L73+$G73</f>
        <v>0</v>
      </c>
      <c r="L73" s="2984">
        <v>0</v>
      </c>
      <c r="M73" s="2984">
        <f t="shared" ref="M73:N81" si="21">L73-$G73</f>
        <v>0</v>
      </c>
      <c r="N73" s="2984">
        <f t="shared" si="21"/>
        <v>0</v>
      </c>
      <c r="S73" s="2674"/>
      <c r="T73" s="2674"/>
      <c r="U73" s="2674"/>
      <c r="V73" s="2674"/>
      <c r="W73" s="2674"/>
      <c r="X73" s="2674"/>
      <c r="Y73" s="2674"/>
    </row>
    <row r="74" spans="1:33" s="1939" customFormat="1" ht="52.8">
      <c r="A74" s="2971" t="s">
        <v>2317</v>
      </c>
      <c r="B74" s="2985" t="str">
        <f>估价对象房地状况!C18</f>
        <v>估价对象周边道路状况、公共交通通达情况、停车便捷程度，综合评价交通便捷度较好</v>
      </c>
      <c r="C74" s="2977"/>
      <c r="D74" s="2978">
        <f t="shared" si="17"/>
        <v>0</v>
      </c>
      <c r="E74" s="2986"/>
      <c r="F74" s="2980"/>
      <c r="G74" s="2981"/>
      <c r="H74" s="2982" t="str">
        <f t="shared" si="18"/>
        <v>——</v>
      </c>
      <c r="I74" s="2983">
        <v>0.26</v>
      </c>
      <c r="J74" s="2984">
        <f t="shared" si="19"/>
        <v>0</v>
      </c>
      <c r="K74" s="2984">
        <f t="shared" si="20"/>
        <v>0</v>
      </c>
      <c r="L74" s="2984">
        <v>0</v>
      </c>
      <c r="M74" s="2984">
        <f t="shared" si="21"/>
        <v>0</v>
      </c>
      <c r="N74" s="2984">
        <f t="shared" si="21"/>
        <v>0</v>
      </c>
      <c r="S74" s="2674"/>
      <c r="T74" s="2674"/>
      <c r="U74" s="2674"/>
      <c r="V74" s="2674"/>
      <c r="W74" s="2674"/>
      <c r="X74" s="2674"/>
      <c r="Y74" s="2674"/>
    </row>
    <row r="75" spans="1:33" ht="48">
      <c r="A75" s="2988" t="s">
        <v>2839</v>
      </c>
      <c r="B75" s="2985">
        <f>估价对象房地状况!C19</f>
        <v>0</v>
      </c>
      <c r="C75" s="2977"/>
      <c r="D75" s="2978">
        <f t="shared" si="17"/>
        <v>0</v>
      </c>
      <c r="E75" s="2986"/>
      <c r="F75" s="2980"/>
      <c r="G75" s="2981"/>
      <c r="H75" s="2982" t="str">
        <f t="shared" si="18"/>
        <v>——</v>
      </c>
      <c r="I75" s="2983">
        <v>0.1</v>
      </c>
      <c r="J75" s="2984">
        <f t="shared" si="19"/>
        <v>0</v>
      </c>
      <c r="K75" s="2984">
        <f t="shared" si="20"/>
        <v>0</v>
      </c>
      <c r="L75" s="2984">
        <v>0</v>
      </c>
      <c r="M75" s="2984">
        <f t="shared" si="21"/>
        <v>0</v>
      </c>
      <c r="N75" s="2984">
        <f t="shared" si="21"/>
        <v>0</v>
      </c>
      <c r="O75" s="1939"/>
      <c r="P75" s="1939"/>
      <c r="Q75" s="1939"/>
      <c r="AA75" s="2674"/>
      <c r="AG75" s="1939"/>
    </row>
    <row r="76" spans="1:33" ht="13.8">
      <c r="A76" s="2971" t="s">
        <v>2330</v>
      </c>
      <c r="B76" s="2985">
        <f>估价对象房地状况!C24</f>
        <v>0</v>
      </c>
      <c r="C76" s="2977"/>
      <c r="D76" s="2978">
        <f t="shared" si="17"/>
        <v>0</v>
      </c>
      <c r="E76" s="2986"/>
      <c r="F76" s="2980"/>
      <c r="G76" s="2981"/>
      <c r="H76" s="2982" t="str">
        <f t="shared" si="18"/>
        <v>——</v>
      </c>
      <c r="I76" s="2983">
        <v>0.05</v>
      </c>
      <c r="J76" s="2984">
        <f t="shared" si="19"/>
        <v>0</v>
      </c>
      <c r="K76" s="2984">
        <f t="shared" si="20"/>
        <v>0</v>
      </c>
      <c r="L76" s="2984">
        <v>0</v>
      </c>
      <c r="M76" s="2984">
        <f t="shared" si="21"/>
        <v>0</v>
      </c>
      <c r="N76" s="2984">
        <f t="shared" si="21"/>
        <v>0</v>
      </c>
      <c r="O76" s="1939"/>
      <c r="P76" s="1939"/>
      <c r="Q76" s="1939"/>
      <c r="AA76" s="2674"/>
      <c r="AG76" s="1939"/>
    </row>
    <row r="77" spans="1:33" ht="26.4">
      <c r="A77" s="2971" t="s">
        <v>2323</v>
      </c>
      <c r="B77" s="2992" t="str">
        <f>估价对象房地状况!C21</f>
        <v>估价对象所在区域公共配套设施齐备情况</v>
      </c>
      <c r="C77" s="2977"/>
      <c r="D77" s="2978">
        <f t="shared" si="17"/>
        <v>0</v>
      </c>
      <c r="E77" s="2986"/>
      <c r="F77" s="2980"/>
      <c r="G77" s="2981"/>
      <c r="H77" s="2982" t="str">
        <f t="shared" si="18"/>
        <v>——</v>
      </c>
      <c r="I77" s="2983">
        <v>0.08</v>
      </c>
      <c r="J77" s="2984">
        <f t="shared" si="19"/>
        <v>0</v>
      </c>
      <c r="K77" s="2984">
        <f t="shared" si="20"/>
        <v>0</v>
      </c>
      <c r="L77" s="2984">
        <v>0</v>
      </c>
      <c r="M77" s="2984">
        <f t="shared" si="21"/>
        <v>0</v>
      </c>
      <c r="N77" s="2984">
        <f t="shared" si="21"/>
        <v>0</v>
      </c>
      <c r="O77" s="1939"/>
      <c r="P77" s="1939"/>
      <c r="Q77" s="1939"/>
      <c r="AA77" s="2674"/>
      <c r="AG77" s="1939"/>
    </row>
    <row r="78" spans="1:33" ht="26.4">
      <c r="A78" s="2971" t="s">
        <v>2324</v>
      </c>
      <c r="B78" s="2992" t="str">
        <f>估价对象房地状况!C22</f>
        <v>估价对象所在区域基础设施水平</v>
      </c>
      <c r="C78" s="2977"/>
      <c r="D78" s="2978">
        <f t="shared" si="17"/>
        <v>0</v>
      </c>
      <c r="E78" s="2986"/>
      <c r="F78" s="2980"/>
      <c r="G78" s="2981"/>
      <c r="H78" s="2982" t="str">
        <f t="shared" si="18"/>
        <v>——</v>
      </c>
      <c r="I78" s="2983">
        <v>0.09</v>
      </c>
      <c r="J78" s="2984">
        <f t="shared" si="19"/>
        <v>0</v>
      </c>
      <c r="K78" s="2984">
        <f t="shared" si="20"/>
        <v>0</v>
      </c>
      <c r="L78" s="2984">
        <v>0</v>
      </c>
      <c r="M78" s="2984">
        <f t="shared" si="21"/>
        <v>0</v>
      </c>
      <c r="N78" s="2984">
        <f t="shared" si="21"/>
        <v>0</v>
      </c>
      <c r="O78" s="1939"/>
      <c r="P78" s="1939"/>
      <c r="Q78" s="1939"/>
      <c r="AA78" s="2674"/>
      <c r="AG78" s="1939"/>
    </row>
    <row r="79" spans="1:33" ht="36">
      <c r="A79" s="2971" t="s">
        <v>2321</v>
      </c>
      <c r="B79" s="2990" t="s">
        <v>2322</v>
      </c>
      <c r="C79" s="2977"/>
      <c r="D79" s="2978">
        <f t="shared" si="17"/>
        <v>0</v>
      </c>
      <c r="E79" s="2986"/>
      <c r="F79" s="2980"/>
      <c r="G79" s="2981"/>
      <c r="H79" s="2982" t="str">
        <f t="shared" si="18"/>
        <v>——</v>
      </c>
      <c r="I79" s="2983">
        <v>0.05</v>
      </c>
      <c r="J79" s="2984">
        <f t="shared" si="19"/>
        <v>0</v>
      </c>
      <c r="K79" s="2984">
        <f t="shared" si="20"/>
        <v>0</v>
      </c>
      <c r="L79" s="2984">
        <v>0</v>
      </c>
      <c r="M79" s="2984">
        <f t="shared" si="21"/>
        <v>0</v>
      </c>
      <c r="N79" s="2984">
        <f t="shared" si="21"/>
        <v>0</v>
      </c>
      <c r="AA79" s="2674"/>
      <c r="AG79" s="1939"/>
    </row>
    <row r="80" spans="1:33" ht="36">
      <c r="A80" s="2971" t="s">
        <v>2325</v>
      </c>
      <c r="B80" s="2976" t="str">
        <f>估价对象房地状况!C20</f>
        <v>区域自然环境：；人文环境；综合评价环境状况一般</v>
      </c>
      <c r="C80" s="2977"/>
      <c r="D80" s="2978">
        <f t="shared" si="17"/>
        <v>0</v>
      </c>
      <c r="E80" s="2986"/>
      <c r="F80" s="2980"/>
      <c r="G80" s="2981"/>
      <c r="H80" s="2982" t="str">
        <f t="shared" si="18"/>
        <v>——</v>
      </c>
      <c r="I80" s="2983">
        <v>0.12</v>
      </c>
      <c r="J80" s="2984">
        <f t="shared" si="19"/>
        <v>0</v>
      </c>
      <c r="K80" s="2984">
        <f t="shared" si="20"/>
        <v>0</v>
      </c>
      <c r="L80" s="2984">
        <v>0</v>
      </c>
      <c r="M80" s="2984">
        <f t="shared" si="21"/>
        <v>0</v>
      </c>
      <c r="N80" s="2984">
        <f t="shared" si="21"/>
        <v>0</v>
      </c>
      <c r="AA80" s="2674"/>
      <c r="AG80" s="1939"/>
    </row>
    <row r="81" spans="1:33" ht="36.6" thickBot="1">
      <c r="A81" s="2993" t="s">
        <v>2331</v>
      </c>
      <c r="B81" s="3001"/>
      <c r="C81" s="2977"/>
      <c r="D81" s="2978">
        <f t="shared" si="17"/>
        <v>0</v>
      </c>
      <c r="E81" s="2995"/>
      <c r="F81" s="2980"/>
      <c r="G81" s="2981"/>
      <c r="H81" s="2982" t="str">
        <f t="shared" si="18"/>
        <v>——</v>
      </c>
      <c r="I81" s="2996">
        <v>0.05</v>
      </c>
      <c r="J81" s="2984">
        <f t="shared" si="19"/>
        <v>0</v>
      </c>
      <c r="K81" s="2984">
        <f t="shared" si="20"/>
        <v>0</v>
      </c>
      <c r="L81" s="2984">
        <v>0</v>
      </c>
      <c r="M81" s="2984">
        <f t="shared" si="21"/>
        <v>0</v>
      </c>
      <c r="N81" s="2984">
        <f t="shared" si="21"/>
        <v>0</v>
      </c>
      <c r="AA81" s="2674"/>
      <c r="AG81" s="1939"/>
    </row>
    <row r="82" spans="1:33" ht="14.4">
      <c r="A82" s="2965" t="s">
        <v>2332</v>
      </c>
      <c r="B82" s="2966">
        <f>1+E84</f>
        <v>1.0227999999999999</v>
      </c>
      <c r="C82" s="2968"/>
      <c r="D82" s="2968"/>
      <c r="E82" s="2969"/>
      <c r="F82" s="3000"/>
      <c r="G82" s="2964"/>
      <c r="H82" s="2964"/>
      <c r="I82" s="2964"/>
      <c r="J82" s="2964"/>
      <c r="K82" s="2964"/>
      <c r="L82" s="2964"/>
      <c r="M82" s="2964"/>
      <c r="N82" s="2964"/>
      <c r="AA82" s="2674"/>
      <c r="AG82" s="1939"/>
    </row>
    <row r="83" spans="1:33" ht="25.2">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39.6">
      <c r="A84" s="2971" t="s">
        <v>2333</v>
      </c>
      <c r="B84" s="2985" t="str">
        <f>估价对象房地状况!G15</f>
        <v>估价对象位于XX开发区，园区建设成熟度XX，产业集聚程度XX</v>
      </c>
      <c r="C84" s="3678" t="s">
        <v>3128</v>
      </c>
      <c r="D84" s="2978">
        <f t="shared" ref="D84:D91" si="22">SUMIF($J$83:$N$83,C84,J84:N84)</f>
        <v>0</v>
      </c>
      <c r="E84" s="2979">
        <f>ROUND(SUM(D84:D91),4)</f>
        <v>2.2800000000000001E-2</v>
      </c>
      <c r="F84" s="2980">
        <f>IF(E2="工业",SUMIF(L1:L12,G2,N1:N12),"——")</f>
        <v>0.13</v>
      </c>
      <c r="G84" s="2981">
        <v>1.6899999999999998E-2</v>
      </c>
      <c r="H84" s="2982">
        <f t="shared" ref="H84:H91" si="23">IFERROR(ROUNDDOWN($F$84*I84/2,4),"——")</f>
        <v>1.6899999999999998E-2</v>
      </c>
      <c r="I84" s="2983">
        <v>0.26</v>
      </c>
      <c r="J84" s="2984">
        <f t="shared" ref="J84:J91" si="24">K84+$G84</f>
        <v>3.3799999999999997E-2</v>
      </c>
      <c r="K84" s="2984">
        <f t="shared" ref="K84:K91" si="25">$L84+$G84</f>
        <v>1.6899999999999998E-2</v>
      </c>
      <c r="L84" s="2984">
        <v>0</v>
      </c>
      <c r="M84" s="2984">
        <f t="shared" ref="M84:N91" si="26">L84-$G84</f>
        <v>-1.6899999999999998E-2</v>
      </c>
      <c r="N84" s="2984">
        <f t="shared" si="26"/>
        <v>-3.3799999999999997E-2</v>
      </c>
      <c r="AA84" s="2674"/>
      <c r="AG84" s="1939"/>
    </row>
    <row r="85" spans="1:33" ht="52.8">
      <c r="A85" s="2971" t="s">
        <v>2317</v>
      </c>
      <c r="B85" s="2985" t="str">
        <f>估价对象房地状况!G16</f>
        <v>估价对象周边道路状况、公共交通通达情况、停车便捷程度，综合评价交通便捷度较好</v>
      </c>
      <c r="C85" s="3678" t="s">
        <v>3128</v>
      </c>
      <c r="D85" s="2978">
        <f t="shared" si="22"/>
        <v>0</v>
      </c>
      <c r="E85" s="2986"/>
      <c r="F85" s="2980"/>
      <c r="G85" s="2981">
        <v>1.95E-2</v>
      </c>
      <c r="H85" s="2982">
        <f t="shared" si="23"/>
        <v>1.95E-2</v>
      </c>
      <c r="I85" s="2983">
        <v>0.3</v>
      </c>
      <c r="J85" s="2984">
        <f t="shared" si="24"/>
        <v>3.9E-2</v>
      </c>
      <c r="K85" s="2984">
        <f t="shared" si="25"/>
        <v>1.95E-2</v>
      </c>
      <c r="L85" s="2984">
        <v>0</v>
      </c>
      <c r="M85" s="2984">
        <f t="shared" si="26"/>
        <v>-1.95E-2</v>
      </c>
      <c r="N85" s="2984">
        <f t="shared" si="26"/>
        <v>-3.9E-2</v>
      </c>
      <c r="AA85" s="2674"/>
      <c r="AG85" s="1939"/>
    </row>
    <row r="86" spans="1:33" ht="48">
      <c r="A86" s="2988" t="s">
        <v>2840</v>
      </c>
      <c r="B86" s="2985">
        <f>估价对象房地状况!G17</f>
        <v>0</v>
      </c>
      <c r="C86" s="3678" t="s">
        <v>3129</v>
      </c>
      <c r="D86" s="2978">
        <f t="shared" si="22"/>
        <v>6.4999999999999997E-3</v>
      </c>
      <c r="E86" s="2986"/>
      <c r="F86" s="2980"/>
      <c r="G86" s="2981">
        <v>6.4999999999999997E-3</v>
      </c>
      <c r="H86" s="2982">
        <f t="shared" si="23"/>
        <v>6.4999999999999997E-3</v>
      </c>
      <c r="I86" s="2983">
        <v>0.1</v>
      </c>
      <c r="J86" s="2984">
        <f t="shared" si="24"/>
        <v>1.2999999999999999E-2</v>
      </c>
      <c r="K86" s="2984">
        <f t="shared" si="25"/>
        <v>6.4999999999999997E-3</v>
      </c>
      <c r="L86" s="2984">
        <v>0</v>
      </c>
      <c r="M86" s="2984">
        <f t="shared" si="26"/>
        <v>-6.4999999999999997E-3</v>
      </c>
      <c r="N86" s="2984">
        <f t="shared" si="26"/>
        <v>-1.2999999999999999E-2</v>
      </c>
      <c r="AA86" s="2674"/>
      <c r="AG86" s="1939"/>
    </row>
    <row r="87" spans="1:33" ht="13.8">
      <c r="A87" s="2971" t="s">
        <v>2330</v>
      </c>
      <c r="B87" s="2985">
        <f>估价对象房地状况!G22</f>
        <v>0</v>
      </c>
      <c r="C87" s="3679" t="s">
        <v>3130</v>
      </c>
      <c r="D87" s="2978">
        <f t="shared" si="22"/>
        <v>-6.4000000000000003E-3</v>
      </c>
      <c r="E87" s="2986"/>
      <c r="F87" s="2980"/>
      <c r="G87" s="2981">
        <v>3.2000000000000002E-3</v>
      </c>
      <c r="H87" s="2982">
        <f t="shared" si="23"/>
        <v>3.2000000000000002E-3</v>
      </c>
      <c r="I87" s="2983">
        <v>0.05</v>
      </c>
      <c r="J87" s="2984">
        <f t="shared" si="24"/>
        <v>6.4000000000000003E-3</v>
      </c>
      <c r="K87" s="2984">
        <f t="shared" si="25"/>
        <v>3.2000000000000002E-3</v>
      </c>
      <c r="L87" s="2984">
        <v>0</v>
      </c>
      <c r="M87" s="2984">
        <f t="shared" si="26"/>
        <v>-3.2000000000000002E-3</v>
      </c>
      <c r="N87" s="2984">
        <f t="shared" si="26"/>
        <v>-6.4000000000000003E-3</v>
      </c>
      <c r="AA87" s="2674"/>
      <c r="AG87" s="1939"/>
    </row>
    <row r="88" spans="1:33" ht="26.4">
      <c r="A88" s="2971" t="s">
        <v>2323</v>
      </c>
      <c r="B88" s="2992" t="str">
        <f>估价对象房地状况!G19</f>
        <v>估价对象所在区域公共配套设施齐备情况</v>
      </c>
      <c r="C88" s="3678" t="s">
        <v>3128</v>
      </c>
      <c r="D88" s="2978">
        <f t="shared" si="22"/>
        <v>0</v>
      </c>
      <c r="E88" s="2986"/>
      <c r="F88" s="2980"/>
      <c r="G88" s="2981">
        <v>3.8999999999999998E-3</v>
      </c>
      <c r="H88" s="2982">
        <f t="shared" si="23"/>
        <v>3.8999999999999998E-3</v>
      </c>
      <c r="I88" s="2983">
        <v>0.06</v>
      </c>
      <c r="J88" s="2984">
        <f t="shared" si="24"/>
        <v>7.7999999999999996E-3</v>
      </c>
      <c r="K88" s="2984">
        <f t="shared" si="25"/>
        <v>3.8999999999999998E-3</v>
      </c>
      <c r="L88" s="2984">
        <v>0</v>
      </c>
      <c r="M88" s="2984">
        <f t="shared" si="26"/>
        <v>-3.8999999999999998E-3</v>
      </c>
      <c r="N88" s="2984">
        <f t="shared" si="26"/>
        <v>-7.7999999999999996E-3</v>
      </c>
    </row>
    <row r="89" spans="1:33" ht="26.4">
      <c r="A89" s="2971" t="s">
        <v>2324</v>
      </c>
      <c r="B89" s="2992" t="str">
        <f>估价对象房地状况!G20</f>
        <v>估价对象所在区域基础设施水平</v>
      </c>
      <c r="C89" s="3679" t="s">
        <v>3131</v>
      </c>
      <c r="D89" s="2978">
        <f t="shared" si="22"/>
        <v>1.5599999999999999E-2</v>
      </c>
      <c r="E89" s="2986"/>
      <c r="F89" s="2980"/>
      <c r="G89" s="2981">
        <v>7.7999999999999996E-3</v>
      </c>
      <c r="H89" s="2982">
        <f t="shared" si="23"/>
        <v>7.7999999999999996E-3</v>
      </c>
      <c r="I89" s="2983">
        <v>0.12</v>
      </c>
      <c r="J89" s="2984">
        <f t="shared" si="24"/>
        <v>1.5599999999999999E-2</v>
      </c>
      <c r="K89" s="2984">
        <f t="shared" si="25"/>
        <v>7.7999999999999996E-3</v>
      </c>
      <c r="L89" s="2984">
        <v>0</v>
      </c>
      <c r="M89" s="2984">
        <f t="shared" si="26"/>
        <v>-7.7999999999999996E-3</v>
      </c>
      <c r="N89" s="2984">
        <f t="shared" si="26"/>
        <v>-1.5599999999999999E-2</v>
      </c>
    </row>
    <row r="90" spans="1:33" ht="36">
      <c r="A90" s="2971" t="s">
        <v>2321</v>
      </c>
      <c r="B90" s="2990" t="s">
        <v>2334</v>
      </c>
      <c r="C90" s="3678" t="s">
        <v>3129</v>
      </c>
      <c r="D90" s="2978">
        <f t="shared" si="22"/>
        <v>3.8999999999999998E-3</v>
      </c>
      <c r="E90" s="2986"/>
      <c r="F90" s="2980"/>
      <c r="G90" s="2981">
        <v>3.8999999999999998E-3</v>
      </c>
      <c r="H90" s="2982">
        <f t="shared" si="23"/>
        <v>3.8999999999999998E-3</v>
      </c>
      <c r="I90" s="2983">
        <v>0.06</v>
      </c>
      <c r="J90" s="2984">
        <f t="shared" si="24"/>
        <v>7.7999999999999996E-3</v>
      </c>
      <c r="K90" s="2984">
        <f t="shared" si="25"/>
        <v>3.8999999999999998E-3</v>
      </c>
      <c r="L90" s="2984">
        <v>0</v>
      </c>
      <c r="M90" s="2984">
        <f t="shared" si="26"/>
        <v>-3.8999999999999998E-3</v>
      </c>
      <c r="N90" s="2984">
        <f t="shared" si="26"/>
        <v>-7.7999999999999996E-3</v>
      </c>
    </row>
    <row r="91" spans="1:33" ht="40.200000000000003" thickBot="1">
      <c r="A91" s="2993" t="s">
        <v>2335</v>
      </c>
      <c r="B91" s="3002" t="str">
        <f>估价对象房地状况!G18</f>
        <v>该园区内是否有污染型企业，绿化情况，卫生条件，整体环境状况判断</v>
      </c>
      <c r="C91" s="3678" t="s">
        <v>3129</v>
      </c>
      <c r="D91" s="2978">
        <f t="shared" si="22"/>
        <v>3.2000000000000002E-3</v>
      </c>
      <c r="E91" s="2995"/>
      <c r="F91" s="2980"/>
      <c r="G91" s="2981">
        <v>3.2000000000000002E-3</v>
      </c>
      <c r="H91" s="2982">
        <f t="shared" si="23"/>
        <v>3.2000000000000002E-3</v>
      </c>
      <c r="I91" s="2996">
        <v>0.05</v>
      </c>
      <c r="J91" s="2984">
        <f t="shared" si="24"/>
        <v>6.4000000000000003E-3</v>
      </c>
      <c r="K91" s="2984">
        <f t="shared" si="25"/>
        <v>3.2000000000000002E-3</v>
      </c>
      <c r="L91" s="2984">
        <v>0</v>
      </c>
      <c r="M91" s="2984">
        <f t="shared" si="26"/>
        <v>-3.2000000000000002E-3</v>
      </c>
      <c r="N91" s="2984">
        <f t="shared" si="26"/>
        <v>-6.4000000000000003E-3</v>
      </c>
      <c r="S91" s="1939"/>
      <c r="T91" s="1939"/>
      <c r="U91" s="1939"/>
      <c r="V91" s="1939"/>
      <c r="W91" s="1939"/>
      <c r="X91" s="1939"/>
      <c r="Y91" s="1939"/>
    </row>
    <row r="92" spans="1:33" ht="13.8">
      <c r="A92" s="2965" t="s">
        <v>2842</v>
      </c>
      <c r="B92" s="2966">
        <f>1+E94</f>
        <v>1</v>
      </c>
      <c r="C92" s="2720"/>
      <c r="D92" s="2720"/>
      <c r="E92" s="2720"/>
      <c r="F92" s="2720"/>
      <c r="S92" s="1939"/>
      <c r="T92" s="1939"/>
      <c r="U92" s="1939"/>
      <c r="V92" s="1939"/>
      <c r="W92" s="1939"/>
      <c r="X92" s="1939"/>
      <c r="Y92" s="1939"/>
    </row>
    <row r="93" spans="1:33" s="1939" customFormat="1" ht="25.2">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7">IFERROR(ROUNDDOWN($F$62*I94/2,4),"——")</f>
        <v>——</v>
      </c>
      <c r="I94" s="2983">
        <v>0.25</v>
      </c>
      <c r="J94" s="2984">
        <f t="shared" ref="J94:J102" si="28">K94+$G94</f>
        <v>0</v>
      </c>
      <c r="K94" s="2984">
        <f t="shared" ref="K94:K102" si="29">$L94+$G94</f>
        <v>0</v>
      </c>
      <c r="L94" s="2984">
        <v>0</v>
      </c>
      <c r="M94" s="2984">
        <f t="shared" ref="M94:M102" si="30">L94-$G94</f>
        <v>0</v>
      </c>
      <c r="N94" s="2984">
        <f t="shared" ref="N94:N102" si="31">M94-$G94</f>
        <v>0</v>
      </c>
    </row>
    <row r="95" spans="1:33" s="1939" customFormat="1" ht="52.8">
      <c r="A95" s="2971" t="s">
        <v>2317</v>
      </c>
      <c r="B95" s="2985" t="str">
        <f>估价对象房地状况!C18</f>
        <v>估价对象周边道路状况、公共交通通达情况、停车便捷程度，综合评价交通便捷度较好</v>
      </c>
      <c r="C95" s="2977"/>
      <c r="D95" s="2978">
        <f t="shared" ref="D95:D102" si="32">SUMIF($J$61:$N$61,C95,J95:N95)</f>
        <v>0</v>
      </c>
      <c r="E95" s="2986"/>
      <c r="F95" s="2980"/>
      <c r="G95" s="2981"/>
      <c r="H95" s="2982" t="str">
        <f t="shared" si="27"/>
        <v>——</v>
      </c>
      <c r="I95" s="2983">
        <v>0.26</v>
      </c>
      <c r="J95" s="2984">
        <f t="shared" si="28"/>
        <v>0</v>
      </c>
      <c r="K95" s="2984">
        <f t="shared" si="29"/>
        <v>0</v>
      </c>
      <c r="L95" s="2984">
        <v>0</v>
      </c>
      <c r="M95" s="2984">
        <f t="shared" si="30"/>
        <v>0</v>
      </c>
      <c r="N95" s="2984">
        <f t="shared" si="31"/>
        <v>0</v>
      </c>
    </row>
    <row r="96" spans="1:33" s="1939" customFormat="1" ht="48">
      <c r="A96" s="2988" t="s">
        <v>2839</v>
      </c>
      <c r="B96" s="2985">
        <f>估价对象房地状况!C19</f>
        <v>0</v>
      </c>
      <c r="C96" s="2977"/>
      <c r="D96" s="2978">
        <f t="shared" si="32"/>
        <v>0</v>
      </c>
      <c r="E96" s="2986"/>
      <c r="F96" s="2980"/>
      <c r="G96" s="2981"/>
      <c r="H96" s="2982" t="str">
        <f t="shared" si="27"/>
        <v>——</v>
      </c>
      <c r="I96" s="2983">
        <v>0.11</v>
      </c>
      <c r="J96" s="2984">
        <f t="shared" si="28"/>
        <v>0</v>
      </c>
      <c r="K96" s="2984">
        <f t="shared" si="29"/>
        <v>0</v>
      </c>
      <c r="L96" s="2984">
        <v>0</v>
      </c>
      <c r="M96" s="2984">
        <f t="shared" si="30"/>
        <v>0</v>
      </c>
      <c r="N96" s="2984">
        <f t="shared" si="31"/>
        <v>0</v>
      </c>
    </row>
    <row r="97" spans="1:25" s="1939" customFormat="1" ht="37.200000000000003">
      <c r="A97" s="2971" t="s">
        <v>2318</v>
      </c>
      <c r="B97" s="2989" t="s">
        <v>2319</v>
      </c>
      <c r="C97" s="2977"/>
      <c r="D97" s="2978">
        <f t="shared" si="32"/>
        <v>0</v>
      </c>
      <c r="E97" s="2986"/>
      <c r="F97" s="2980"/>
      <c r="G97" s="2981"/>
      <c r="H97" s="2982" t="str">
        <f t="shared" si="27"/>
        <v>——</v>
      </c>
      <c r="I97" s="2983">
        <v>0.05</v>
      </c>
      <c r="J97" s="2984">
        <f t="shared" si="28"/>
        <v>0</v>
      </c>
      <c r="K97" s="2984">
        <f t="shared" si="29"/>
        <v>0</v>
      </c>
      <c r="L97" s="2984">
        <v>0</v>
      </c>
      <c r="M97" s="2984">
        <f t="shared" si="30"/>
        <v>0</v>
      </c>
      <c r="N97" s="2984">
        <f t="shared" si="31"/>
        <v>0</v>
      </c>
    </row>
    <row r="98" spans="1:25" s="1939" customFormat="1" ht="24">
      <c r="A98" s="2971" t="s">
        <v>2320</v>
      </c>
      <c r="B98" s="2985">
        <f>估价对象房地状况!C24</f>
        <v>0</v>
      </c>
      <c r="C98" s="2977"/>
      <c r="D98" s="2978">
        <f t="shared" si="32"/>
        <v>0</v>
      </c>
      <c r="E98" s="2986"/>
      <c r="F98" s="2980"/>
      <c r="G98" s="2981"/>
      <c r="H98" s="2982" t="str">
        <f t="shared" si="27"/>
        <v>——</v>
      </c>
      <c r="I98" s="2983">
        <v>0.05</v>
      </c>
      <c r="J98" s="2984">
        <f t="shared" si="28"/>
        <v>0</v>
      </c>
      <c r="K98" s="2984">
        <f t="shared" si="29"/>
        <v>0</v>
      </c>
      <c r="L98" s="2984">
        <v>0</v>
      </c>
      <c r="M98" s="2984">
        <f t="shared" si="30"/>
        <v>0</v>
      </c>
      <c r="N98" s="2984">
        <f t="shared" si="31"/>
        <v>0</v>
      </c>
    </row>
    <row r="99" spans="1:25" s="1939" customFormat="1" ht="36">
      <c r="A99" s="2971" t="s">
        <v>2321</v>
      </c>
      <c r="B99" s="2990" t="s">
        <v>2322</v>
      </c>
      <c r="C99" s="2977"/>
      <c r="D99" s="2978">
        <f t="shared" si="32"/>
        <v>0</v>
      </c>
      <c r="E99" s="2986"/>
      <c r="F99" s="2980"/>
      <c r="G99" s="2981"/>
      <c r="H99" s="2982" t="str">
        <f t="shared" si="27"/>
        <v>——</v>
      </c>
      <c r="I99" s="2983">
        <v>0.06</v>
      </c>
      <c r="J99" s="2984">
        <f t="shared" si="28"/>
        <v>0</v>
      </c>
      <c r="K99" s="2984">
        <f t="shared" si="29"/>
        <v>0</v>
      </c>
      <c r="L99" s="2984">
        <v>0</v>
      </c>
      <c r="M99" s="2984">
        <f t="shared" si="30"/>
        <v>0</v>
      </c>
      <c r="N99" s="2984">
        <f t="shared" si="31"/>
        <v>0</v>
      </c>
    </row>
    <row r="100" spans="1:25" s="1939" customFormat="1" ht="26.4">
      <c r="A100" s="2971" t="s">
        <v>2323</v>
      </c>
      <c r="B100" s="2992" t="str">
        <f>估价对象房地状况!C21</f>
        <v>估价对象所在区域公共配套设施齐备情况</v>
      </c>
      <c r="C100" s="2977"/>
      <c r="D100" s="2978">
        <f t="shared" si="32"/>
        <v>0</v>
      </c>
      <c r="E100" s="2986"/>
      <c r="F100" s="2980"/>
      <c r="G100" s="2981"/>
      <c r="H100" s="2982" t="str">
        <f t="shared" si="27"/>
        <v>——</v>
      </c>
      <c r="I100" s="2983">
        <v>0.06</v>
      </c>
      <c r="J100" s="2984">
        <f t="shared" si="28"/>
        <v>0</v>
      </c>
      <c r="K100" s="2984">
        <f t="shared" si="29"/>
        <v>0</v>
      </c>
      <c r="L100" s="2984">
        <v>0</v>
      </c>
      <c r="M100" s="2984">
        <f t="shared" si="30"/>
        <v>0</v>
      </c>
      <c r="N100" s="2984">
        <f t="shared" si="31"/>
        <v>0</v>
      </c>
    </row>
    <row r="101" spans="1:25" s="1939" customFormat="1" ht="26.4">
      <c r="A101" s="2971" t="s">
        <v>2324</v>
      </c>
      <c r="B101" s="2992" t="str">
        <f>估价对象房地状况!C22</f>
        <v>估价对象所在区域基础设施水平</v>
      </c>
      <c r="C101" s="2977"/>
      <c r="D101" s="2978">
        <f t="shared" si="32"/>
        <v>0</v>
      </c>
      <c r="E101" s="2986"/>
      <c r="F101" s="2980"/>
      <c r="G101" s="2981"/>
      <c r="H101" s="2982" t="str">
        <f t="shared" si="27"/>
        <v>——</v>
      </c>
      <c r="I101" s="2983">
        <v>0.09</v>
      </c>
      <c r="J101" s="2984">
        <f t="shared" si="28"/>
        <v>0</v>
      </c>
      <c r="K101" s="2984">
        <f t="shared" si="29"/>
        <v>0</v>
      </c>
      <c r="L101" s="2984">
        <v>0</v>
      </c>
      <c r="M101" s="2984">
        <f t="shared" si="30"/>
        <v>0</v>
      </c>
      <c r="N101" s="2984">
        <f t="shared" si="31"/>
        <v>0</v>
      </c>
    </row>
    <row r="102" spans="1:25" s="1939" customFormat="1" ht="36.6" thickBot="1">
      <c r="A102" s="2993" t="s">
        <v>2325</v>
      </c>
      <c r="B102" s="2999" t="str">
        <f>估价对象房地状况!C20</f>
        <v>区域自然环境：；人文环境；综合评价环境状况一般</v>
      </c>
      <c r="C102" s="2977"/>
      <c r="D102" s="2978">
        <f t="shared" si="32"/>
        <v>0</v>
      </c>
      <c r="E102" s="2995"/>
      <c r="F102" s="2980"/>
      <c r="G102" s="2981"/>
      <c r="H102" s="2982" t="str">
        <f t="shared" si="27"/>
        <v>——</v>
      </c>
      <c r="I102" s="2996">
        <v>7.0000000000000007E-2</v>
      </c>
      <c r="J102" s="2984">
        <f t="shared" si="28"/>
        <v>0</v>
      </c>
      <c r="K102" s="2984">
        <f t="shared" si="29"/>
        <v>0</v>
      </c>
      <c r="L102" s="2984">
        <v>0</v>
      </c>
      <c r="M102" s="2984">
        <f t="shared" si="30"/>
        <v>0</v>
      </c>
      <c r="N102" s="2984">
        <f t="shared" si="31"/>
        <v>0</v>
      </c>
      <c r="S102" s="2674"/>
      <c r="T102" s="2674"/>
      <c r="U102" s="2674"/>
      <c r="V102" s="2674"/>
      <c r="W102" s="2674"/>
      <c r="X102" s="2674"/>
      <c r="Y102" s="2674"/>
    </row>
    <row r="103" spans="1:25" s="1939" customFormat="1" ht="13.8">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25" t="s">
        <v>2336</v>
      </c>
      <c r="B104" s="3625"/>
      <c r="C104" s="3625"/>
      <c r="D104" s="3625"/>
      <c r="E104" s="3625"/>
      <c r="F104" s="3625"/>
      <c r="G104" s="3625"/>
      <c r="H104" s="3625"/>
      <c r="I104" s="3625"/>
      <c r="J104" s="3625"/>
      <c r="K104" s="3045"/>
      <c r="L104" s="3045"/>
      <c r="M104" s="3045"/>
      <c r="N104" s="3045"/>
    </row>
    <row r="105" spans="1:25">
      <c r="A105" s="3627" t="s">
        <v>2337</v>
      </c>
      <c r="B105" s="3627" t="s">
        <v>2338</v>
      </c>
      <c r="C105" s="3012" t="s">
        <v>2339</v>
      </c>
      <c r="D105" s="3013"/>
      <c r="E105" s="3013"/>
      <c r="F105" s="3013"/>
      <c r="G105" s="3013"/>
      <c r="H105" s="3013"/>
      <c r="I105" s="3013"/>
      <c r="J105" s="3014"/>
      <c r="K105" s="3015"/>
      <c r="L105" s="3015"/>
      <c r="M105" s="3015"/>
      <c r="N105" s="3015"/>
    </row>
    <row r="106" spans="1:25">
      <c r="A106" s="3627"/>
      <c r="B106" s="362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2"/>
      <c r="B112" s="3016" t="s">
        <v>2742</v>
      </c>
      <c r="C112" s="3018">
        <f>$I$3</f>
        <v>0</v>
      </c>
      <c r="D112" s="3018">
        <f t="shared" ref="D112:M112" si="33">$I$3</f>
        <v>0</v>
      </c>
      <c r="E112" s="3018">
        <f t="shared" si="33"/>
        <v>0</v>
      </c>
      <c r="F112" s="3018">
        <f t="shared" si="33"/>
        <v>0</v>
      </c>
      <c r="G112" s="3018">
        <f t="shared" si="33"/>
        <v>0</v>
      </c>
      <c r="H112" s="3018">
        <f t="shared" si="33"/>
        <v>0</v>
      </c>
      <c r="I112" s="3018">
        <f t="shared" si="33"/>
        <v>0</v>
      </c>
      <c r="J112" s="3018">
        <f t="shared" si="33"/>
        <v>0</v>
      </c>
      <c r="K112" s="3018">
        <f t="shared" si="33"/>
        <v>0</v>
      </c>
      <c r="L112" s="3018">
        <f t="shared" si="33"/>
        <v>0</v>
      </c>
      <c r="M112" s="3018">
        <f t="shared" si="33"/>
        <v>0</v>
      </c>
      <c r="N112" s="3018">
        <f>$I$3</f>
        <v>0</v>
      </c>
    </row>
    <row r="113" spans="1:14">
      <c r="A113" s="3633"/>
      <c r="B113" s="3016">
        <v>6</v>
      </c>
      <c r="C113" s="3019">
        <f>(-0.5556*(C112^2)-0.2719*C112+8944)*(10^(-4))</f>
        <v>0.89440000000000008</v>
      </c>
      <c r="D113" s="3019">
        <f>(-0.5556*(D112^2)-0.2719*D112+8944)*(10^(-4))</f>
        <v>0.89440000000000008</v>
      </c>
      <c r="E113" s="3019">
        <f>(-0.7912*(E112^2)-11.3794*E112+8482)*(10^(-4))</f>
        <v>0.84820000000000007</v>
      </c>
      <c r="F113" s="3019">
        <f t="shared" ref="F113:I113" si="34">(-0.7912*(F112^2)-11.3794*F112+8482)*(10^(-4))</f>
        <v>0.84820000000000007</v>
      </c>
      <c r="G113" s="3019">
        <f t="shared" si="34"/>
        <v>0.84820000000000007</v>
      </c>
      <c r="H113" s="3019">
        <f t="shared" si="34"/>
        <v>0.84820000000000007</v>
      </c>
      <c r="I113" s="3019">
        <f t="shared" si="34"/>
        <v>0.84820000000000007</v>
      </c>
      <c r="J113" s="3019">
        <f>(-0.989*(J112^2)-63.78*J112+7771)*(10^(-4))</f>
        <v>0.77710000000000001</v>
      </c>
      <c r="K113" s="3019">
        <f t="shared" ref="K113:N113" si="35">(-0.989*(K112^2)-63.78*K112+7771)*(10^(-4))</f>
        <v>0.77710000000000001</v>
      </c>
      <c r="L113" s="3019">
        <f t="shared" si="35"/>
        <v>0.77710000000000001</v>
      </c>
      <c r="M113" s="3019">
        <f t="shared" si="35"/>
        <v>0.77710000000000001</v>
      </c>
      <c r="N113" s="3019">
        <f t="shared" si="35"/>
        <v>0.77710000000000001</v>
      </c>
    </row>
    <row r="114" spans="1:14">
      <c r="A114" s="3626" t="s">
        <v>2341</v>
      </c>
      <c r="B114" s="3626"/>
      <c r="C114" s="3626"/>
      <c r="D114" s="3626"/>
      <c r="E114" s="3626"/>
      <c r="F114" s="3626"/>
      <c r="G114" s="3626"/>
      <c r="H114" s="3626"/>
      <c r="I114" s="3626"/>
      <c r="J114" s="3626"/>
      <c r="K114" s="3046"/>
      <c r="L114" s="3046"/>
      <c r="M114" s="3046"/>
      <c r="N114" s="3046"/>
    </row>
    <row r="116" spans="1:14" ht="13.8" thickBot="1"/>
    <row r="117" spans="1:14" ht="25.8" thickBot="1">
      <c r="A117" s="3020" t="s">
        <v>2342</v>
      </c>
      <c r="B117" s="3021">
        <f>G3</f>
        <v>1</v>
      </c>
      <c r="C117" s="3022" t="s">
        <v>2343</v>
      </c>
      <c r="D117" s="3023">
        <f>SUMPRODUCT((A119:A123=F117)*(B118:M118=H117)*B119:M123)</f>
        <v>0.64319999999999999</v>
      </c>
      <c r="E117" s="2695" t="s">
        <v>2198</v>
      </c>
      <c r="F117" s="3024" t="str">
        <f>E2</f>
        <v>工业</v>
      </c>
      <c r="G117" s="2695" t="s">
        <v>2199</v>
      </c>
      <c r="H117" s="3024" t="str">
        <f>G2</f>
        <v>七级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0.98580000000000001</v>
      </c>
      <c r="C119" s="3033">
        <f>B119</f>
        <v>0.98580000000000001</v>
      </c>
      <c r="D119" s="3033">
        <f>ROUND(0.949-0.014*B117,4)</f>
        <v>0.93500000000000005</v>
      </c>
      <c r="E119" s="3033">
        <f>D119</f>
        <v>0.93500000000000005</v>
      </c>
      <c r="F119" s="3033">
        <f>E119</f>
        <v>0.93500000000000005</v>
      </c>
      <c r="G119" s="3033">
        <f>F119</f>
        <v>0.93500000000000005</v>
      </c>
      <c r="H119" s="3033">
        <f>G119</f>
        <v>0.93500000000000005</v>
      </c>
      <c r="I119" s="3033">
        <f>ROUND(0.8486-0.018*B117,4)</f>
        <v>0.8306</v>
      </c>
      <c r="J119" s="3033">
        <f t="shared" ref="J119:M122" si="36">I119</f>
        <v>0.8306</v>
      </c>
      <c r="K119" s="3033">
        <f t="shared" si="36"/>
        <v>0.8306</v>
      </c>
      <c r="L119" s="3033">
        <f t="shared" si="36"/>
        <v>0.8306</v>
      </c>
      <c r="M119" s="3034">
        <f t="shared" si="36"/>
        <v>0.8306</v>
      </c>
    </row>
    <row r="120" spans="1:14">
      <c r="A120" s="3032" t="s">
        <v>2255</v>
      </c>
      <c r="B120" s="3033">
        <f>ROUND(0.993-0.0112*B117,4)</f>
        <v>0.98180000000000001</v>
      </c>
      <c r="C120" s="3033">
        <f>B120</f>
        <v>0.98180000000000001</v>
      </c>
      <c r="D120" s="3033">
        <f>ROUND(0.9415-0.0142*B117,4)</f>
        <v>0.92730000000000001</v>
      </c>
      <c r="E120" s="3033">
        <f t="shared" ref="E120:H121" si="37">D120</f>
        <v>0.92730000000000001</v>
      </c>
      <c r="F120" s="3033">
        <f t="shared" si="37"/>
        <v>0.92730000000000001</v>
      </c>
      <c r="G120" s="3033">
        <f t="shared" si="37"/>
        <v>0.92730000000000001</v>
      </c>
      <c r="H120" s="3033">
        <f t="shared" si="37"/>
        <v>0.92730000000000001</v>
      </c>
      <c r="I120" s="3033">
        <f>ROUND(0.838-0.0182*B117,4)</f>
        <v>0.81979999999999997</v>
      </c>
      <c r="J120" s="3033">
        <f t="shared" si="36"/>
        <v>0.81979999999999997</v>
      </c>
      <c r="K120" s="3033">
        <f t="shared" si="36"/>
        <v>0.81979999999999997</v>
      </c>
      <c r="L120" s="3033">
        <f t="shared" si="36"/>
        <v>0.81979999999999997</v>
      </c>
      <c r="M120" s="3034">
        <f t="shared" si="36"/>
        <v>0.81979999999999997</v>
      </c>
    </row>
    <row r="121" spans="1:14">
      <c r="A121" s="3032" t="s">
        <v>2256</v>
      </c>
      <c r="B121" s="3033">
        <f>ROUND(0.9448-0.0115*B117,4)</f>
        <v>0.93330000000000002</v>
      </c>
      <c r="C121" s="3033">
        <f>B121</f>
        <v>0.93330000000000002</v>
      </c>
      <c r="D121" s="3033">
        <f>ROUND(0.937-0.0145*B117,4)</f>
        <v>0.92249999999999999</v>
      </c>
      <c r="E121" s="3033">
        <f t="shared" si="37"/>
        <v>0.92249999999999999</v>
      </c>
      <c r="F121" s="3033">
        <f t="shared" si="37"/>
        <v>0.92249999999999999</v>
      </c>
      <c r="G121" s="3033">
        <f t="shared" si="37"/>
        <v>0.92249999999999999</v>
      </c>
      <c r="H121" s="3033">
        <f t="shared" si="37"/>
        <v>0.92249999999999999</v>
      </c>
      <c r="I121" s="3033">
        <f>ROUND(0.7965-0.0185*B117,4)</f>
        <v>0.77800000000000002</v>
      </c>
      <c r="J121" s="3033">
        <f t="shared" si="36"/>
        <v>0.77800000000000002</v>
      </c>
      <c r="K121" s="3033">
        <f t="shared" si="36"/>
        <v>0.77800000000000002</v>
      </c>
      <c r="L121" s="3033">
        <f t="shared" si="36"/>
        <v>0.77800000000000002</v>
      </c>
      <c r="M121" s="3034">
        <f t="shared" si="36"/>
        <v>0.77800000000000002</v>
      </c>
    </row>
    <row r="122" spans="1:14" ht="13.8" thickBot="1">
      <c r="A122" s="3035" t="s">
        <v>2257</v>
      </c>
      <c r="B122" s="3036">
        <f>ROUND(0.7836-0.012*B117,4)</f>
        <v>0.77159999999999995</v>
      </c>
      <c r="C122" s="3036">
        <f>B122</f>
        <v>0.77159999999999995</v>
      </c>
      <c r="D122" s="3036">
        <f>ROUND(0.753-0.015*B117,4)</f>
        <v>0.73799999999999999</v>
      </c>
      <c r="E122" s="3036">
        <f>D122</f>
        <v>0.73799999999999999</v>
      </c>
      <c r="F122" s="3036">
        <f>E122</f>
        <v>0.73799999999999999</v>
      </c>
      <c r="G122" s="3036">
        <f>ROUND(0.6612-0.018*B117,4)</f>
        <v>0.64319999999999999</v>
      </c>
      <c r="H122" s="3036">
        <f>G122</f>
        <v>0.64319999999999999</v>
      </c>
      <c r="I122" s="3036">
        <f>ROUND(0.5905-0.019*B117,4)</f>
        <v>0.57150000000000001</v>
      </c>
      <c r="J122" s="3036">
        <f t="shared" si="36"/>
        <v>0.57150000000000001</v>
      </c>
      <c r="K122" s="3036">
        <f t="shared" si="36"/>
        <v>0.57150000000000001</v>
      </c>
      <c r="L122" s="3036">
        <f t="shared" si="36"/>
        <v>0.57150000000000001</v>
      </c>
      <c r="M122" s="3037">
        <f t="shared" si="36"/>
        <v>0.57150000000000001</v>
      </c>
    </row>
    <row r="123" spans="1:14">
      <c r="A123" s="3038" t="s">
        <v>2926</v>
      </c>
      <c r="B123" s="3033">
        <f>ROUND(0.9404-0.0106*B117,4)</f>
        <v>0.92979999999999996</v>
      </c>
      <c r="C123" s="3033">
        <f>B123</f>
        <v>0.92979999999999996</v>
      </c>
      <c r="D123" s="3033">
        <f>ROUND(0.8955-0.0135*B117,4)</f>
        <v>0.88200000000000001</v>
      </c>
      <c r="E123" s="3033">
        <f t="shared" ref="E123" si="38">D123</f>
        <v>0.88200000000000001</v>
      </c>
      <c r="F123" s="3033">
        <f t="shared" ref="F123" si="39">E123</f>
        <v>0.88200000000000001</v>
      </c>
      <c r="G123" s="3033">
        <f t="shared" ref="G123" si="40">F123</f>
        <v>0.88200000000000001</v>
      </c>
      <c r="H123" s="3033">
        <f t="shared" ref="H123" si="41">G123</f>
        <v>0.88200000000000001</v>
      </c>
      <c r="I123" s="3033">
        <f>ROUND(0.7632-0.0166*B117,4)</f>
        <v>0.74660000000000004</v>
      </c>
      <c r="J123" s="3033">
        <f t="shared" ref="J123" si="42">I123</f>
        <v>0.74660000000000004</v>
      </c>
      <c r="K123" s="3033">
        <f t="shared" ref="K123" si="43">J123</f>
        <v>0.74660000000000004</v>
      </c>
      <c r="L123" s="3033">
        <f t="shared" ref="L123" si="44">K123</f>
        <v>0.74660000000000004</v>
      </c>
      <c r="M123" s="3034">
        <f t="shared" ref="M123" si="45">L123</f>
        <v>0.74660000000000004</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118" zoomScale="70" zoomScaleNormal="70" workbookViewId="0">
      <selection activeCell="A124" sqref="A124:F137"/>
    </sheetView>
  </sheetViews>
  <sheetFormatPr defaultColWidth="8.21875" defaultRowHeight="14.4"/>
  <cols>
    <col min="1" max="13" width="15.21875" style="3051" customWidth="1"/>
    <col min="14" max="14" width="10" style="3051" customWidth="1"/>
    <col min="15" max="16" width="8.21875" style="3051"/>
    <col min="17" max="17" width="34.109375" style="3051" customWidth="1"/>
    <col min="18" max="18" width="8.21875" style="3051" customWidth="1"/>
    <col min="19" max="19" width="8.21875" style="3051"/>
    <col min="20" max="20" width="11.6640625" style="3051" customWidth="1"/>
    <col min="21" max="16384" width="8.21875" style="3051"/>
  </cols>
  <sheetData>
    <row r="1" spans="1:13" ht="1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5.6">
      <c r="A18" s="3079" t="s">
        <v>471</v>
      </c>
      <c r="B18" s="3079"/>
      <c r="C18" s="3080"/>
      <c r="D18" s="3080"/>
      <c r="E18" s="3079"/>
      <c r="F18" s="3080"/>
      <c r="G18" s="3080"/>
    </row>
    <row r="19" spans="1:13" ht="15" thickBot="1">
      <c r="A19" s="3076" t="s">
        <v>2901</v>
      </c>
      <c r="B19" s="3082" t="s">
        <v>2902</v>
      </c>
      <c r="C19" s="3082" t="s">
        <v>545</v>
      </c>
      <c r="D19" s="3083"/>
      <c r="E19" s="3076" t="s">
        <v>3083</v>
      </c>
      <c r="F19" s="3084"/>
      <c r="G19" s="3084"/>
    </row>
    <row r="20" spans="1:13">
      <c r="A20" s="3645" t="s">
        <v>180</v>
      </c>
      <c r="B20" s="3652" t="s">
        <v>2918</v>
      </c>
      <c r="C20" s="2771" t="s">
        <v>2848</v>
      </c>
      <c r="D20" s="2772"/>
      <c r="E20" s="3085">
        <v>1</v>
      </c>
      <c r="F20" s="3086" t="s">
        <v>2854</v>
      </c>
      <c r="G20" s="3086"/>
    </row>
    <row r="21" spans="1:13">
      <c r="A21" s="3646"/>
      <c r="B21" s="3648"/>
      <c r="C21" s="746" t="s">
        <v>2849</v>
      </c>
      <c r="D21" s="747"/>
      <c r="E21" s="3087">
        <v>1</v>
      </c>
      <c r="F21" s="3086" t="s">
        <v>2855</v>
      </c>
      <c r="G21" s="3086"/>
    </row>
    <row r="22" spans="1:13">
      <c r="A22" s="3646"/>
      <c r="B22" s="3648"/>
      <c r="C22" s="746" t="s">
        <v>2850</v>
      </c>
      <c r="D22" s="747"/>
      <c r="E22" s="3087">
        <v>0.9</v>
      </c>
      <c r="F22" s="3086" t="s">
        <v>2856</v>
      </c>
      <c r="G22" s="3086"/>
    </row>
    <row r="23" spans="1:13">
      <c r="A23" s="3646"/>
      <c r="B23" s="3648"/>
      <c r="C23" s="746" t="s">
        <v>2851</v>
      </c>
      <c r="D23" s="747"/>
      <c r="E23" s="3087">
        <v>0.9</v>
      </c>
      <c r="F23" s="3086" t="s">
        <v>2857</v>
      </c>
      <c r="G23" s="3086"/>
    </row>
    <row r="24" spans="1:13">
      <c r="A24" s="3646"/>
      <c r="B24" s="3648"/>
      <c r="C24" s="746" t="s">
        <v>2852</v>
      </c>
      <c r="D24" s="747"/>
      <c r="E24" s="3087">
        <v>0.8</v>
      </c>
      <c r="F24" s="3086" t="s">
        <v>2858</v>
      </c>
      <c r="G24" s="3086"/>
    </row>
    <row r="25" spans="1:13" ht="15" thickBot="1">
      <c r="A25" s="3647"/>
      <c r="B25" s="3653"/>
      <c r="C25" s="2773" t="s">
        <v>2853</v>
      </c>
      <c r="D25" s="2774"/>
      <c r="E25" s="3088">
        <v>0.8</v>
      </c>
      <c r="F25" s="3086" t="s">
        <v>2859</v>
      </c>
      <c r="G25" s="3086"/>
    </row>
    <row r="26" spans="1:13" ht="1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8"/>
      <c r="C28" s="746" t="s">
        <v>2864</v>
      </c>
      <c r="D28" s="747"/>
      <c r="E28" s="3087">
        <v>1</v>
      </c>
      <c r="F28" s="3086" t="s">
        <v>2877</v>
      </c>
      <c r="G28" s="3086"/>
    </row>
    <row r="29" spans="1:13">
      <c r="A29" s="3650"/>
      <c r="B29" s="3648"/>
      <c r="C29" s="746" t="s">
        <v>2865</v>
      </c>
      <c r="D29" s="747"/>
      <c r="E29" s="3087">
        <v>0.8</v>
      </c>
      <c r="F29" s="3086" t="s">
        <v>2878</v>
      </c>
      <c r="G29" s="3086"/>
    </row>
    <row r="30" spans="1:13">
      <c r="A30" s="3650"/>
      <c r="B30" s="3648"/>
      <c r="C30" s="746" t="s">
        <v>2866</v>
      </c>
      <c r="D30" s="747"/>
      <c r="E30" s="3087">
        <v>0.8</v>
      </c>
      <c r="F30" s="3086" t="s">
        <v>2879</v>
      </c>
      <c r="G30" s="3086"/>
    </row>
    <row r="31" spans="1:13">
      <c r="A31" s="3650"/>
      <c r="B31" s="3648"/>
      <c r="C31" s="746" t="s">
        <v>2867</v>
      </c>
      <c r="D31" s="747"/>
      <c r="E31" s="3087">
        <v>0.8</v>
      </c>
      <c r="F31" s="3086" t="s">
        <v>2880</v>
      </c>
      <c r="G31" s="3086"/>
    </row>
    <row r="32" spans="1:13">
      <c r="A32" s="3650"/>
      <c r="B32" s="3648"/>
      <c r="C32" s="746" t="s">
        <v>2868</v>
      </c>
      <c r="D32" s="747"/>
      <c r="E32" s="3087">
        <v>0.7</v>
      </c>
      <c r="F32" s="3086" t="s">
        <v>2881</v>
      </c>
      <c r="G32" s="3086"/>
    </row>
    <row r="33" spans="1:7">
      <c r="A33" s="3650"/>
      <c r="B33" s="3648"/>
      <c r="C33" s="746" t="s">
        <v>2869</v>
      </c>
      <c r="D33" s="747"/>
      <c r="E33" s="3087">
        <v>0.8</v>
      </c>
      <c r="F33" s="3086" t="s">
        <v>2882</v>
      </c>
      <c r="G33" s="3086"/>
    </row>
    <row r="34" spans="1:7">
      <c r="A34" s="3650"/>
      <c r="B34" s="3648"/>
      <c r="C34" s="746" t="s">
        <v>2870</v>
      </c>
      <c r="D34" s="747"/>
      <c r="E34" s="3087">
        <v>0.6</v>
      </c>
      <c r="F34" s="3086" t="s">
        <v>2883</v>
      </c>
      <c r="G34" s="3086"/>
    </row>
    <row r="35" spans="1:7">
      <c r="A35" s="3650"/>
      <c r="B35" s="3648"/>
      <c r="C35" s="746" t="s">
        <v>2871</v>
      </c>
      <c r="D35" s="747"/>
      <c r="E35" s="3087">
        <v>0.2</v>
      </c>
      <c r="F35" s="3086" t="s">
        <v>2884</v>
      </c>
      <c r="G35" s="3086"/>
    </row>
    <row r="36" spans="1:7">
      <c r="A36" s="3650"/>
      <c r="B36" s="3648"/>
      <c r="C36" s="746" t="s">
        <v>2872</v>
      </c>
      <c r="D36" s="747"/>
      <c r="E36" s="3087">
        <v>0.2</v>
      </c>
      <c r="F36" s="3086" t="s">
        <v>2885</v>
      </c>
      <c r="G36" s="3086"/>
    </row>
    <row r="37" spans="1:7">
      <c r="A37" s="3650"/>
      <c r="B37" s="3643" t="s">
        <v>2919</v>
      </c>
      <c r="C37" s="746" t="s">
        <v>2873</v>
      </c>
      <c r="D37" s="747"/>
      <c r="E37" s="3087">
        <v>0.6</v>
      </c>
      <c r="F37" s="3086" t="s">
        <v>2886</v>
      </c>
      <c r="G37" s="3086"/>
    </row>
    <row r="38" spans="1:7">
      <c r="A38" s="3650"/>
      <c r="B38" s="3648"/>
      <c r="C38" s="746" t="s">
        <v>2874</v>
      </c>
      <c r="D38" s="747"/>
      <c r="E38" s="3087">
        <v>0.6</v>
      </c>
      <c r="F38" s="3086" t="s">
        <v>2887</v>
      </c>
      <c r="G38" s="3086"/>
    </row>
    <row r="39" spans="1:7" ht="15" thickBot="1">
      <c r="A39" s="3651"/>
      <c r="B39" s="3653"/>
      <c r="C39" s="2773" t="s">
        <v>2875</v>
      </c>
      <c r="D39" s="2774"/>
      <c r="E39" s="3088">
        <v>0.6</v>
      </c>
      <c r="F39" s="3086" t="s">
        <v>2888</v>
      </c>
      <c r="G39" s="3086"/>
    </row>
    <row r="40" spans="1:7" ht="15" thickBot="1">
      <c r="A40" s="3089" t="s">
        <v>538</v>
      </c>
      <c r="B40" s="3090" t="s">
        <v>2920</v>
      </c>
      <c r="C40" s="2775" t="s">
        <v>2889</v>
      </c>
      <c r="D40" s="2776"/>
      <c r="E40" s="3091">
        <v>1</v>
      </c>
      <c r="F40" s="3086" t="s">
        <v>2890</v>
      </c>
      <c r="G40" s="3086"/>
    </row>
    <row r="41" spans="1:7">
      <c r="A41" s="3645" t="s">
        <v>182</v>
      </c>
      <c r="B41" s="3652" t="s">
        <v>2915</v>
      </c>
      <c r="C41" s="2771" t="s">
        <v>2891</v>
      </c>
      <c r="D41" s="2772"/>
      <c r="E41" s="3085">
        <v>1</v>
      </c>
      <c r="F41" s="3086" t="s">
        <v>2903</v>
      </c>
      <c r="G41" s="3086"/>
    </row>
    <row r="42" spans="1:7">
      <c r="A42" s="3646"/>
      <c r="B42" s="3648"/>
      <c r="C42" s="746" t="s">
        <v>2892</v>
      </c>
      <c r="D42" s="747"/>
      <c r="E42" s="3087">
        <v>1</v>
      </c>
      <c r="F42" s="3086" t="s">
        <v>2904</v>
      </c>
      <c r="G42" s="3086"/>
    </row>
    <row r="43" spans="1:7">
      <c r="A43" s="3646"/>
      <c r="B43" s="3644"/>
      <c r="C43" s="746" t="s">
        <v>2893</v>
      </c>
      <c r="D43" s="747"/>
      <c r="E43" s="3087">
        <v>1.5</v>
      </c>
      <c r="F43" s="3086" t="s">
        <v>2905</v>
      </c>
      <c r="G43" s="3086"/>
    </row>
    <row r="44" spans="1:7">
      <c r="A44" s="3646"/>
      <c r="B44" s="3092" t="s">
        <v>2916</v>
      </c>
      <c r="C44" s="746" t="s">
        <v>2914</v>
      </c>
      <c r="D44" s="747"/>
      <c r="E44" s="3087">
        <v>2</v>
      </c>
      <c r="F44" s="3086" t="s">
        <v>2906</v>
      </c>
      <c r="G44" s="3086"/>
    </row>
    <row r="45" spans="1:7">
      <c r="A45" s="3646"/>
      <c r="B45" s="3643" t="s">
        <v>2917</v>
      </c>
      <c r="C45" s="746" t="s">
        <v>2894</v>
      </c>
      <c r="D45" s="747"/>
      <c r="E45" s="3087">
        <v>1</v>
      </c>
      <c r="F45" s="3086" t="s">
        <v>2907</v>
      </c>
      <c r="G45" s="3086"/>
    </row>
    <row r="46" spans="1:7">
      <c r="A46" s="3646"/>
      <c r="B46" s="3648"/>
      <c r="C46" s="746" t="s">
        <v>2895</v>
      </c>
      <c r="D46" s="747"/>
      <c r="E46" s="3087">
        <v>1</v>
      </c>
      <c r="F46" s="3086" t="s">
        <v>2908</v>
      </c>
      <c r="G46" s="3086"/>
    </row>
    <row r="47" spans="1:7">
      <c r="A47" s="3646"/>
      <c r="B47" s="3648"/>
      <c r="C47" s="746" t="s">
        <v>2896</v>
      </c>
      <c r="D47" s="747"/>
      <c r="E47" s="3087">
        <v>1</v>
      </c>
      <c r="F47" s="3086" t="s">
        <v>2909</v>
      </c>
      <c r="G47" s="3086"/>
    </row>
    <row r="48" spans="1:7">
      <c r="A48" s="3646"/>
      <c r="B48" s="3648"/>
      <c r="C48" s="746" t="s">
        <v>2897</v>
      </c>
      <c r="D48" s="747"/>
      <c r="E48" s="3087">
        <v>1</v>
      </c>
      <c r="F48" s="3086" t="s">
        <v>2910</v>
      </c>
      <c r="G48" s="3086"/>
    </row>
    <row r="49" spans="1:7">
      <c r="A49" s="3646"/>
      <c r="B49" s="3648"/>
      <c r="C49" s="746" t="s">
        <v>2898</v>
      </c>
      <c r="D49" s="747"/>
      <c r="E49" s="3087">
        <v>1</v>
      </c>
      <c r="F49" s="3086" t="s">
        <v>2911</v>
      </c>
      <c r="G49" s="3086"/>
    </row>
    <row r="50" spans="1:7">
      <c r="A50" s="3646"/>
      <c r="B50" s="3648"/>
      <c r="C50" s="746" t="s">
        <v>2899</v>
      </c>
      <c r="D50" s="747"/>
      <c r="E50" s="3087">
        <v>1</v>
      </c>
      <c r="F50" s="3086" t="s">
        <v>2912</v>
      </c>
      <c r="G50" s="3086"/>
    </row>
    <row r="51" spans="1:7" ht="15" thickBot="1">
      <c r="A51" s="3647"/>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3"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ht="24">
      <c r="A85" s="3092">
        <v>13</v>
      </c>
      <c r="B85" s="3648"/>
      <c r="C85" s="3073" t="s">
        <v>2766</v>
      </c>
      <c r="D85" s="3073" t="s">
        <v>2767</v>
      </c>
      <c r="E85" s="3101">
        <v>0.1</v>
      </c>
      <c r="F85" s="3092">
        <v>15</v>
      </c>
    </row>
    <row r="86" spans="1:6" ht="24">
      <c r="A86" s="3092">
        <v>14</v>
      </c>
      <c r="B86" s="3648"/>
      <c r="C86" s="3073" t="s">
        <v>2768</v>
      </c>
      <c r="D86" s="3073" t="s">
        <v>2769</v>
      </c>
      <c r="E86" s="3101">
        <v>0.1</v>
      </c>
      <c r="F86" s="3092">
        <v>15</v>
      </c>
    </row>
    <row r="87" spans="1:6" ht="24">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4"/>
      <c r="C89" s="3073" t="s">
        <v>2774</v>
      </c>
      <c r="D89" s="3073" t="s">
        <v>2775</v>
      </c>
      <c r="E89" s="3101">
        <v>0.1</v>
      </c>
      <c r="F89" s="3092">
        <v>15</v>
      </c>
    </row>
    <row r="90" spans="1:6">
      <c r="A90" s="3092">
        <v>18</v>
      </c>
      <c r="B90" s="3643"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ht="24">
      <c r="A93" s="3092">
        <v>21</v>
      </c>
      <c r="B93" s="3648"/>
      <c r="C93" s="3073" t="s">
        <v>2777</v>
      </c>
      <c r="D93" s="3073" t="s">
        <v>492</v>
      </c>
      <c r="E93" s="3101">
        <v>0.15</v>
      </c>
      <c r="F93" s="3092">
        <v>20</v>
      </c>
    </row>
    <row r="94" spans="1:6" ht="24">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ht="24">
      <c r="A96" s="3092">
        <v>24</v>
      </c>
      <c r="B96" s="3648"/>
      <c r="C96" s="3073" t="s">
        <v>2783</v>
      </c>
      <c r="D96" s="3073" t="s">
        <v>2784</v>
      </c>
      <c r="E96" s="3101">
        <v>0.1</v>
      </c>
      <c r="F96" s="3092">
        <v>15</v>
      </c>
    </row>
    <row r="97" spans="1:6" ht="24">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ht="24">
      <c r="A100" s="3092">
        <v>28</v>
      </c>
      <c r="B100" s="3648"/>
      <c r="C100" s="3073" t="s">
        <v>2790</v>
      </c>
      <c r="D100" s="3073" t="s">
        <v>2791</v>
      </c>
      <c r="E100" s="3101">
        <v>0.1</v>
      </c>
      <c r="F100" s="3092">
        <v>15</v>
      </c>
    </row>
    <row r="101" spans="1:6" ht="24">
      <c r="A101" s="3092">
        <v>29</v>
      </c>
      <c r="B101" s="3648"/>
      <c r="C101" s="3073" t="s">
        <v>2792</v>
      </c>
      <c r="D101" s="3073" t="s">
        <v>2793</v>
      </c>
      <c r="E101" s="3101">
        <v>0.1</v>
      </c>
      <c r="F101" s="3092">
        <v>15</v>
      </c>
    </row>
    <row r="102" spans="1:6" ht="24">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4"/>
      <c r="C106" s="3073" t="s">
        <v>2802</v>
      </c>
      <c r="D106" s="3073" t="s">
        <v>2803</v>
      </c>
      <c r="E106" s="3101">
        <v>0.1</v>
      </c>
      <c r="F106" s="3092">
        <v>15</v>
      </c>
    </row>
    <row r="107" spans="1:6" ht="36">
      <c r="A107" s="3092">
        <v>35</v>
      </c>
      <c r="B107" s="3643" t="s">
        <v>493</v>
      </c>
      <c r="C107" s="3092" t="s">
        <v>494</v>
      </c>
      <c r="D107" s="3073" t="s">
        <v>2804</v>
      </c>
      <c r="E107" s="3101">
        <v>0.15</v>
      </c>
      <c r="F107" s="3092">
        <v>20</v>
      </c>
    </row>
    <row r="108" spans="1:6" ht="24">
      <c r="A108" s="3092">
        <v>36</v>
      </c>
      <c r="B108" s="3648"/>
      <c r="C108" s="3092" t="s">
        <v>2806</v>
      </c>
      <c r="D108" s="3073" t="s">
        <v>2807</v>
      </c>
      <c r="E108" s="3101">
        <v>0.15</v>
      </c>
      <c r="F108" s="3092">
        <v>20</v>
      </c>
    </row>
    <row r="109" spans="1:6" ht="24">
      <c r="A109" s="3092">
        <v>37</v>
      </c>
      <c r="B109" s="3648"/>
      <c r="C109" s="3092" t="s">
        <v>2805</v>
      </c>
      <c r="D109" s="3073" t="s">
        <v>2812</v>
      </c>
      <c r="E109" s="3101">
        <v>0.15</v>
      </c>
      <c r="F109" s="3092">
        <v>20</v>
      </c>
    </row>
    <row r="110" spans="1:6" ht="24">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4"/>
      <c r="C112" s="3092" t="s">
        <v>2811</v>
      </c>
      <c r="D112" s="3073" t="s">
        <v>2814</v>
      </c>
      <c r="E112" s="3101">
        <v>0.1</v>
      </c>
      <c r="F112" s="3092">
        <v>15</v>
      </c>
    </row>
    <row r="113" spans="1:6" ht="24">
      <c r="A113" s="3092">
        <v>41</v>
      </c>
      <c r="B113" s="3642" t="s">
        <v>495</v>
      </c>
      <c r="C113" s="3092" t="s">
        <v>496</v>
      </c>
      <c r="D113" s="3073" t="s">
        <v>497</v>
      </c>
      <c r="E113" s="3101">
        <v>0.1</v>
      </c>
      <c r="F113" s="3092">
        <v>15</v>
      </c>
    </row>
    <row r="114" spans="1:6" ht="24">
      <c r="A114" s="3092">
        <v>42</v>
      </c>
      <c r="B114" s="3642"/>
      <c r="C114" s="3092" t="s">
        <v>498</v>
      </c>
      <c r="D114" s="3073" t="s">
        <v>499</v>
      </c>
      <c r="E114" s="3101">
        <v>0.1</v>
      </c>
      <c r="F114" s="3092">
        <v>15</v>
      </c>
    </row>
    <row r="115" spans="1:6" ht="24">
      <c r="A115" s="3092">
        <v>43</v>
      </c>
      <c r="B115" s="3642"/>
      <c r="C115" s="3092" t="s">
        <v>2815</v>
      </c>
      <c r="D115" s="3073" t="s">
        <v>2816</v>
      </c>
      <c r="E115" s="3101">
        <v>0.1</v>
      </c>
      <c r="F115" s="3092">
        <v>15</v>
      </c>
    </row>
    <row r="116" spans="1:6" ht="24">
      <c r="A116" s="3092">
        <v>44</v>
      </c>
      <c r="B116" s="3643" t="s">
        <v>500</v>
      </c>
      <c r="C116" s="3092" t="s">
        <v>2817</v>
      </c>
      <c r="D116" s="3073" t="s">
        <v>2818</v>
      </c>
      <c r="E116" s="3101">
        <v>0.1</v>
      </c>
      <c r="F116" s="3092">
        <v>15</v>
      </c>
    </row>
    <row r="117" spans="1:6" ht="24">
      <c r="A117" s="3092">
        <v>45</v>
      </c>
      <c r="B117" s="3644"/>
      <c r="C117" s="3073" t="s">
        <v>2819</v>
      </c>
      <c r="D117" s="3073" t="s">
        <v>2820</v>
      </c>
      <c r="E117" s="3101">
        <v>0.1</v>
      </c>
      <c r="F117" s="3092">
        <v>15</v>
      </c>
    </row>
    <row r="118" spans="1:6" ht="24">
      <c r="A118" s="3092">
        <v>46</v>
      </c>
      <c r="B118" s="3643" t="s">
        <v>501</v>
      </c>
      <c r="C118" s="3092" t="s">
        <v>2823</v>
      </c>
      <c r="D118" s="3073" t="s">
        <v>2821</v>
      </c>
      <c r="E118" s="3101">
        <v>0.1</v>
      </c>
      <c r="F118" s="3092">
        <v>15</v>
      </c>
    </row>
    <row r="119" spans="1:6" ht="24">
      <c r="A119" s="3092">
        <v>47</v>
      </c>
      <c r="B119" s="3644"/>
      <c r="C119" s="3092" t="s">
        <v>2822</v>
      </c>
      <c r="D119" s="3073" t="s">
        <v>2824</v>
      </c>
      <c r="E119" s="3101">
        <v>0.1</v>
      </c>
      <c r="F119" s="3092">
        <v>15</v>
      </c>
    </row>
    <row r="120" spans="1:6" ht="24">
      <c r="A120" s="3092">
        <v>48</v>
      </c>
      <c r="B120" s="3643" t="s">
        <v>502</v>
      </c>
      <c r="C120" s="3092" t="s">
        <v>503</v>
      </c>
      <c r="D120" s="3073" t="s">
        <v>504</v>
      </c>
      <c r="E120" s="3101">
        <v>0.1</v>
      </c>
      <c r="F120" s="3092">
        <v>15</v>
      </c>
    </row>
    <row r="121" spans="1:6" ht="24">
      <c r="A121" s="3092">
        <v>49</v>
      </c>
      <c r="B121" s="3644"/>
      <c r="C121" s="3092" t="s">
        <v>2825</v>
      </c>
      <c r="D121" s="3073" t="s">
        <v>2826</v>
      </c>
      <c r="E121" s="3101">
        <v>0.1</v>
      </c>
      <c r="F121" s="3092">
        <v>15</v>
      </c>
    </row>
    <row r="122" spans="1:6" ht="24">
      <c r="A122" s="3092">
        <v>50</v>
      </c>
      <c r="B122" s="3642" t="s">
        <v>505</v>
      </c>
      <c r="C122" s="3092" t="s">
        <v>506</v>
      </c>
      <c r="D122" s="3073" t="s">
        <v>507</v>
      </c>
      <c r="E122" s="3101">
        <v>0.1</v>
      </c>
      <c r="F122" s="3092">
        <v>15</v>
      </c>
    </row>
    <row r="123" spans="1:6" ht="24">
      <c r="A123" s="3092">
        <v>51</v>
      </c>
      <c r="B123" s="3642"/>
      <c r="C123" s="3092" t="s">
        <v>508</v>
      </c>
      <c r="D123" s="3073" t="s">
        <v>509</v>
      </c>
      <c r="E123" s="3101">
        <v>0.1</v>
      </c>
      <c r="F123" s="3092">
        <v>15</v>
      </c>
    </row>
    <row r="124" spans="1:6" ht="24">
      <c r="A124" s="3092">
        <v>52</v>
      </c>
      <c r="B124" s="3642" t="s">
        <v>510</v>
      </c>
      <c r="C124" s="3092" t="s">
        <v>511</v>
      </c>
      <c r="D124" s="3073" t="s">
        <v>2827</v>
      </c>
      <c r="E124" s="3101">
        <v>0.1</v>
      </c>
      <c r="F124" s="3092">
        <v>15</v>
      </c>
    </row>
    <row r="125" spans="1:6" ht="24">
      <c r="A125" s="3092">
        <v>53</v>
      </c>
      <c r="B125" s="3642"/>
      <c r="C125" s="3092" t="s">
        <v>512</v>
      </c>
      <c r="D125" s="3073" t="s">
        <v>513</v>
      </c>
      <c r="E125" s="3101">
        <v>0.1</v>
      </c>
      <c r="F125" s="3092">
        <v>15</v>
      </c>
    </row>
    <row r="126" spans="1:6" ht="24">
      <c r="A126" s="3092">
        <v>54</v>
      </c>
      <c r="B126" s="3092" t="s">
        <v>514</v>
      </c>
      <c r="C126" s="3092" t="s">
        <v>515</v>
      </c>
      <c r="D126" s="3073" t="s">
        <v>516</v>
      </c>
      <c r="E126" s="3101">
        <v>0.1</v>
      </c>
      <c r="F126" s="3092">
        <v>15</v>
      </c>
    </row>
    <row r="127" spans="1:6" ht="24">
      <c r="A127" s="3092">
        <v>55</v>
      </c>
      <c r="B127" s="3642" t="s">
        <v>518</v>
      </c>
      <c r="C127" s="3092" t="s">
        <v>521</v>
      </c>
      <c r="D127" s="3073" t="s">
        <v>522</v>
      </c>
      <c r="E127" s="3101">
        <v>0.1</v>
      </c>
      <c r="F127" s="3092">
        <v>15</v>
      </c>
    </row>
    <row r="128" spans="1:6" ht="24">
      <c r="A128" s="3092">
        <v>56</v>
      </c>
      <c r="B128" s="3642"/>
      <c r="C128" s="3092" t="s">
        <v>523</v>
      </c>
      <c r="D128" s="3073" t="s">
        <v>524</v>
      </c>
      <c r="E128" s="3101">
        <v>0.1</v>
      </c>
      <c r="F128" s="3092">
        <v>15</v>
      </c>
    </row>
    <row r="129" spans="1:6" ht="24">
      <c r="A129" s="3092">
        <v>57</v>
      </c>
      <c r="B129" s="3642"/>
      <c r="C129" s="3092" t="s">
        <v>519</v>
      </c>
      <c r="D129" s="3073" t="s">
        <v>520</v>
      </c>
      <c r="E129" s="3101">
        <v>0.1</v>
      </c>
      <c r="F129" s="3092">
        <v>15</v>
      </c>
    </row>
    <row r="130" spans="1:6" ht="24">
      <c r="A130" s="3092">
        <v>58</v>
      </c>
      <c r="B130" s="3642" t="s">
        <v>517</v>
      </c>
      <c r="C130" s="3092" t="s">
        <v>2828</v>
      </c>
      <c r="D130" s="3073" t="s">
        <v>2829</v>
      </c>
      <c r="E130" s="3101">
        <v>0.1</v>
      </c>
      <c r="F130" s="3092">
        <v>15</v>
      </c>
    </row>
    <row r="131" spans="1:6" ht="24">
      <c r="A131" s="3092">
        <v>59</v>
      </c>
      <c r="B131" s="3642"/>
      <c r="C131" s="3092" t="s">
        <v>2830</v>
      </c>
      <c r="D131" s="3073" t="s">
        <v>2831</v>
      </c>
      <c r="E131" s="3101">
        <v>0.1</v>
      </c>
      <c r="F131" s="3092">
        <v>15</v>
      </c>
    </row>
    <row r="132" spans="1:6" ht="24">
      <c r="A132" s="3092">
        <v>60</v>
      </c>
      <c r="B132" s="3643" t="s">
        <v>528</v>
      </c>
      <c r="C132" s="3092" t="s">
        <v>529</v>
      </c>
      <c r="D132" s="3073" t="s">
        <v>2834</v>
      </c>
      <c r="E132" s="3101">
        <v>0.1</v>
      </c>
      <c r="F132" s="3092">
        <v>15</v>
      </c>
    </row>
    <row r="133" spans="1:6" ht="24">
      <c r="A133" s="3092">
        <v>61</v>
      </c>
      <c r="B133" s="3644"/>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ht="24">
      <c r="A135" s="3092">
        <v>63</v>
      </c>
      <c r="B135" s="3642" t="s">
        <v>530</v>
      </c>
      <c r="C135" s="3092" t="s">
        <v>531</v>
      </c>
      <c r="D135" s="3073" t="s">
        <v>2836</v>
      </c>
      <c r="E135" s="3101">
        <v>0.1</v>
      </c>
      <c r="F135" s="3092">
        <v>15</v>
      </c>
    </row>
    <row r="136" spans="1:6" ht="24">
      <c r="A136" s="3092">
        <v>64</v>
      </c>
      <c r="B136" s="3642"/>
      <c r="C136" s="3092" t="s">
        <v>2835</v>
      </c>
      <c r="D136" s="3073" t="s">
        <v>2837</v>
      </c>
      <c r="E136" s="3101">
        <v>0.1</v>
      </c>
      <c r="F136" s="3092">
        <v>15</v>
      </c>
    </row>
    <row r="137" spans="1:6" ht="24">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58" zoomScale="70" zoomScaleNormal="70" workbookViewId="0">
      <selection activeCell="H112" sqref="H112"/>
    </sheetView>
  </sheetViews>
  <sheetFormatPr defaultColWidth="9" defaultRowHeight="10.8"/>
  <cols>
    <col min="1" max="1" width="9" style="3120"/>
    <col min="2" max="13" width="9" style="3111"/>
    <col min="14" max="14" width="15" style="3111" customWidth="1"/>
    <col min="15" max="16384" width="9" style="3111"/>
  </cols>
  <sheetData>
    <row r="1" spans="1:20" s="3105" customFormat="1" ht="16.2"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3088</v>
      </c>
      <c r="R2" s="2800" t="s">
        <v>3089</v>
      </c>
      <c r="S2" s="2800" t="s">
        <v>3086</v>
      </c>
      <c r="T2" s="2800" t="s">
        <v>3087</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1.4"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6.2"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1.2158</v>
      </c>
      <c r="Q94" s="2800" t="s">
        <v>3093</v>
      </c>
      <c r="R94" s="2800" t="s">
        <v>3094</v>
      </c>
      <c r="S94" s="2800" t="s">
        <v>3095</v>
      </c>
      <c r="T94" s="2800" t="s">
        <v>3087</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1.4"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6.2" thickBot="1">
      <c r="A185" s="3102" t="s">
        <v>3105</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3093</v>
      </c>
      <c r="R186" s="2800" t="s">
        <v>3094</v>
      </c>
      <c r="S186" s="2800" t="s">
        <v>3095</v>
      </c>
      <c r="T186" s="2800" t="s">
        <v>3087</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1.4"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6.2"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3088</v>
      </c>
      <c r="R278" s="2800" t="s">
        <v>3089</v>
      </c>
      <c r="S278" s="2800" t="s">
        <v>3090</v>
      </c>
      <c r="T278" s="2800" t="s">
        <v>3091</v>
      </c>
      <c r="U278" s="2800" t="s">
        <v>3092</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1.4"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6.2"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1.1565000000000001</v>
      </c>
      <c r="Q370" s="2800" t="s">
        <v>3093</v>
      </c>
      <c r="R370" s="2800" t="s">
        <v>3094</v>
      </c>
      <c r="S370" s="2800" t="s">
        <v>3095</v>
      </c>
      <c r="T370" s="2800" t="s">
        <v>3087</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1.4"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16" customWidth="1"/>
    <col min="2" max="2" width="12.44140625" style="1416" customWidth="1"/>
    <col min="3" max="3" width="12.109375" style="1416" customWidth="1"/>
    <col min="4" max="4" width="14.109375" style="1416" customWidth="1"/>
    <col min="5" max="5" width="12.44140625" style="1416" customWidth="1"/>
    <col min="6" max="16384" width="9" style="1416"/>
  </cols>
  <sheetData>
    <row r="1" spans="1:16" ht="21.6">
      <c r="A1" s="1807" t="s">
        <v>2364</v>
      </c>
      <c r="B1" s="1942"/>
      <c r="C1" s="1942"/>
      <c r="D1" s="1942"/>
      <c r="E1" s="1942"/>
      <c r="F1" s="2465"/>
      <c r="G1" s="2465"/>
      <c r="H1" s="2465"/>
      <c r="I1" s="2465"/>
      <c r="J1" s="2465"/>
      <c r="K1" s="2465"/>
      <c r="L1" s="2465"/>
      <c r="M1" s="2465"/>
      <c r="N1" s="2465"/>
      <c r="O1" s="2465"/>
      <c r="P1" s="2465"/>
    </row>
    <row r="2" spans="1:16" ht="15.6">
      <c r="A2" s="1940" t="s">
        <v>2356</v>
      </c>
      <c r="B2" s="2281">
        <f ca="1">SUMIF(B6:B13,"&lt;&gt;#ref!",B6:B13)</f>
        <v>1646</v>
      </c>
      <c r="C2" s="1940" t="s">
        <v>2357</v>
      </c>
      <c r="D2" s="1940" t="s">
        <v>2358</v>
      </c>
      <c r="E2" s="2291">
        <f ca="1">SUMIF(E6:E13,"&lt;&gt;#ref!",E6:E13)</f>
        <v>10083.39</v>
      </c>
      <c r="F2" s="2465"/>
      <c r="G2" s="2465"/>
      <c r="H2" s="2465"/>
      <c r="I2" s="2465"/>
      <c r="J2" s="2465"/>
      <c r="K2" s="2465"/>
      <c r="L2" s="2465"/>
      <c r="M2" s="2465"/>
      <c r="N2" s="2465"/>
      <c r="O2" s="2465"/>
      <c r="P2" s="2465"/>
    </row>
    <row r="3" spans="1:16" ht="15.6">
      <c r="A3" s="1940" t="s">
        <v>2359</v>
      </c>
      <c r="B3" s="2281">
        <f ca="1">ROUND(B2*10000/E2,0)</f>
        <v>1632</v>
      </c>
      <c r="C3" s="1940" t="s">
        <v>2365</v>
      </c>
      <c r="D3" s="2465"/>
      <c r="E3" s="2465"/>
      <c r="F3" s="2465"/>
      <c r="G3" s="2465"/>
      <c r="H3" s="2465"/>
      <c r="I3" s="2465"/>
      <c r="J3" s="2465"/>
      <c r="K3" s="2465"/>
      <c r="L3" s="2465"/>
      <c r="M3" s="2465"/>
      <c r="N3" s="2465"/>
      <c r="O3" s="2465"/>
      <c r="P3" s="2465"/>
    </row>
    <row r="4" spans="1:16" ht="15.6">
      <c r="A4" s="2466"/>
      <c r="B4" s="2465"/>
      <c r="C4" s="2465"/>
      <c r="D4" s="2465"/>
      <c r="E4" s="2465"/>
      <c r="F4" s="2465"/>
      <c r="G4" s="2465"/>
      <c r="H4" s="2465"/>
      <c r="I4" s="2465"/>
      <c r="J4" s="2465"/>
      <c r="K4" s="2465"/>
      <c r="L4" s="2465"/>
      <c r="M4" s="2465"/>
      <c r="N4" s="2465"/>
      <c r="O4" s="2465"/>
      <c r="P4" s="2465"/>
    </row>
    <row r="5" spans="1:16" ht="31.2">
      <c r="A5" s="2287" t="s">
        <v>2360</v>
      </c>
      <c r="B5" s="2289" t="s">
        <v>2361</v>
      </c>
      <c r="C5" s="1941"/>
      <c r="D5" s="2465"/>
      <c r="E5" s="2290" t="s">
        <v>2362</v>
      </c>
      <c r="F5" s="2465"/>
      <c r="G5" s="2465"/>
      <c r="H5" s="2465"/>
      <c r="I5" s="2465"/>
      <c r="J5" s="2465"/>
      <c r="K5" s="2465"/>
      <c r="L5" s="2465"/>
      <c r="M5" s="2465"/>
      <c r="N5" s="2465"/>
      <c r="O5" s="2465"/>
      <c r="P5" s="2465"/>
    </row>
    <row r="6" spans="1:16" ht="15.6">
      <c r="A6" s="2288" t="s">
        <v>2363</v>
      </c>
      <c r="B6" s="2281">
        <f ca="1">SUMIF(INDIRECT("'"&amp;A6&amp;"'"&amp;"!A:A"),"总价",INDIRECT("'"&amp;A6&amp;"'"&amp;"!B:B"))</f>
        <v>1646</v>
      </c>
      <c r="C6" s="1940" t="s">
        <v>2357</v>
      </c>
      <c r="D6" s="2465"/>
      <c r="E6" s="2291">
        <f ca="1">SUMIF(INDIRECT("'"&amp;A6&amp;"'"&amp;"!C:C"),"建筑面积",INDIRECT("'"&amp;A6&amp;"'"&amp;"!D:D"))</f>
        <v>10083.39</v>
      </c>
      <c r="F6" s="2465"/>
      <c r="G6" s="2465"/>
      <c r="H6" s="2465"/>
      <c r="I6" s="2465"/>
      <c r="J6" s="2465"/>
      <c r="K6" s="2465"/>
      <c r="L6" s="2465"/>
      <c r="M6" s="2465"/>
      <c r="N6" s="2465"/>
      <c r="O6" s="2465"/>
      <c r="P6" s="2465"/>
    </row>
    <row r="7" spans="1:16" ht="15.6">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6">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6">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6">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6">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6">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6">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3.2"/>
  <cols>
    <col min="1" max="1" width="9" style="2831"/>
    <col min="2" max="7" width="9" style="2831" customWidth="1"/>
    <col min="8" max="8" width="9" style="2942"/>
    <col min="9" max="9" width="9" style="2831"/>
    <col min="10" max="13" width="9" style="2831" customWidth="1"/>
    <col min="14" max="14" width="2.5546875" style="2840" customWidth="1"/>
    <col min="15" max="15" width="9" style="2942" customWidth="1"/>
    <col min="16" max="18" width="9" style="2831" customWidth="1"/>
    <col min="19" max="19" width="2.77734375" style="2840" customWidth="1"/>
    <col min="20" max="20" width="7.109375" style="2942" customWidth="1"/>
    <col min="21" max="23" width="7.109375" style="2831" customWidth="1"/>
    <col min="24" max="24" width="2.44140625" style="2840" customWidth="1"/>
    <col min="25" max="30" width="9.77734375" style="2831" customWidth="1"/>
    <col min="31" max="31" width="2.44140625" style="2840" customWidth="1"/>
    <col min="32" max="37" width="9.5546875" style="2831" customWidth="1"/>
    <col min="38" max="16384" width="9" style="2831"/>
  </cols>
  <sheetData>
    <row r="1" spans="1:37" s="2808" customFormat="1">
      <c r="B1" s="3659" t="s">
        <v>694</v>
      </c>
      <c r="C1" s="3659"/>
      <c r="D1" s="3659"/>
      <c r="E1" s="3659"/>
      <c r="F1" s="3659"/>
      <c r="G1" s="3659"/>
      <c r="H1" s="3655" t="s">
        <v>695</v>
      </c>
      <c r="I1" s="3655"/>
      <c r="J1" s="3655"/>
      <c r="K1" s="3655"/>
      <c r="L1" s="3655"/>
      <c r="M1" s="3655"/>
      <c r="N1" s="2809"/>
      <c r="O1" s="3655" t="s">
        <v>696</v>
      </c>
      <c r="P1" s="3655"/>
      <c r="Q1" s="3655"/>
      <c r="R1" s="3655"/>
      <c r="S1" s="2809"/>
      <c r="T1" s="3655" t="s">
        <v>697</v>
      </c>
      <c r="U1" s="3655"/>
      <c r="V1" s="3655"/>
      <c r="W1" s="3655"/>
      <c r="X1" s="2809"/>
      <c r="Y1" s="3654" t="s">
        <v>698</v>
      </c>
      <c r="Z1" s="3655"/>
      <c r="AA1" s="3655"/>
      <c r="AB1" s="3655"/>
      <c r="AC1" s="3655"/>
      <c r="AD1" s="3655"/>
      <c r="AE1" s="2809"/>
      <c r="AF1" s="3654" t="s">
        <v>699</v>
      </c>
      <c r="AG1" s="3655"/>
      <c r="AH1" s="3655"/>
      <c r="AI1" s="3655"/>
      <c r="AJ1" s="3655"/>
      <c r="AK1" s="3655"/>
    </row>
    <row r="2" spans="1:37" s="2810" customFormat="1" ht="1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4">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4">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3099</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3098</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3097</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3096</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3107</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3108</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8"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4"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8"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8"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8"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8"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8"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8"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8"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8"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8"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8"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8"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8"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8"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8"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8"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8"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8"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8"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8"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8"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8"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8"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8"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8"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8"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8"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8"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8"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8"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8"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8"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8"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8"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8"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8"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8"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8"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8"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8"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8"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8"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8"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8"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8"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8"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8"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8"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8"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2"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6">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31" customWidth="1"/>
    <col min="2" max="2" width="37.21875" style="1431" customWidth="1"/>
    <col min="3" max="3" width="11.33203125" style="1431" customWidth="1"/>
    <col min="4" max="4" width="31.77734375" style="1431" customWidth="1"/>
    <col min="5" max="5" width="0.44140625" style="1431" customWidth="1"/>
    <col min="6" max="7" width="13" style="1431" customWidth="1"/>
    <col min="8" max="16384" width="9" style="1431"/>
  </cols>
  <sheetData>
    <row r="1" spans="1:5" ht="17.399999999999999">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41"/>
      <c r="C2" s="3341"/>
      <c r="D2" s="3341"/>
      <c r="E2" s="3341"/>
    </row>
    <row r="3" spans="1:5" ht="17.399999999999999">
      <c r="A3" s="3342" t="str">
        <f>IF(项目基本情况!B9="房地产市场价值","估价结果一览表（市场价值不需“结果表-1”）","估价结果一览表")</f>
        <v>估价结果一览表（市场价值不需“结果表-1”）</v>
      </c>
      <c r="B3" s="3342"/>
      <c r="C3" s="3342"/>
      <c r="D3" s="3342"/>
      <c r="E3" s="3342"/>
    </row>
    <row r="4" spans="1:5" ht="18" thickBot="1">
      <c r="A4" s="1432"/>
      <c r="B4" s="3340" t="s">
        <v>1158</v>
      </c>
      <c r="C4" s="3340"/>
      <c r="D4" s="3340"/>
      <c r="E4" s="1432"/>
    </row>
    <row r="5" spans="1:5" ht="16.2" thickTop="1">
      <c r="A5" s="1430"/>
      <c r="B5" s="3338" t="s">
        <v>1150</v>
      </c>
      <c r="C5" s="1433" t="s">
        <v>1151</v>
      </c>
      <c r="D5" s="823" t="e">
        <f ca="1">结果表!H101</f>
        <v>#REF!</v>
      </c>
      <c r="E5" s="1430"/>
    </row>
    <row r="6" spans="1:5" ht="15.6">
      <c r="A6" s="1430"/>
      <c r="B6" s="3338"/>
      <c r="C6" s="1433" t="s">
        <v>1152</v>
      </c>
      <c r="D6" s="823" t="e">
        <f ca="1">NUMBERSTRING(INT(D5*10000),2)&amp;"元整"</f>
        <v>#REF!</v>
      </c>
      <c r="E6" s="1430"/>
    </row>
    <row r="7" spans="1:5" ht="15.6">
      <c r="A7" s="1430"/>
      <c r="B7" s="3343"/>
      <c r="C7" s="1434" t="s">
        <v>1153</v>
      </c>
      <c r="D7" s="824" t="e">
        <f ca="1">结果表!H102</f>
        <v>#REF!</v>
      </c>
      <c r="E7" s="1430"/>
    </row>
    <row r="8" spans="1:5" ht="15.6">
      <c r="A8" s="1430"/>
      <c r="B8" s="3344" t="str">
        <f>结果表!E103</f>
        <v>2.估价师知悉的法定优先受偿款</v>
      </c>
      <c r="C8" s="1435" t="s">
        <v>1154</v>
      </c>
      <c r="D8" s="824">
        <f>结果表!H103</f>
        <v>0</v>
      </c>
      <c r="E8" s="1430"/>
    </row>
    <row r="9" spans="1:5" ht="15.6">
      <c r="A9" s="1430"/>
      <c r="B9" s="3346"/>
      <c r="C9" s="1433" t="s">
        <v>1152</v>
      </c>
      <c r="D9" s="823" t="str">
        <f>NUMBERSTRING(INT(D8*10000),2)&amp;"元整"</f>
        <v>零元整</v>
      </c>
      <c r="E9" s="1430"/>
    </row>
    <row r="10" spans="1:5" ht="15.6">
      <c r="A10" s="1430"/>
      <c r="B10" s="1436" t="s">
        <v>1157</v>
      </c>
      <c r="C10" s="1437" t="s">
        <v>1155</v>
      </c>
      <c r="D10" s="825">
        <f>结果表!H104</f>
        <v>0</v>
      </c>
      <c r="E10" s="1430"/>
    </row>
    <row r="11" spans="1:5" ht="15.6">
      <c r="A11" s="1430"/>
      <c r="B11" s="1436" t="s">
        <v>1159</v>
      </c>
      <c r="C11" s="1437" t="s">
        <v>1160</v>
      </c>
      <c r="D11" s="825">
        <f>结果表!H105</f>
        <v>0</v>
      </c>
      <c r="E11" s="1430"/>
    </row>
    <row r="12" spans="1:5" ht="15.6">
      <c r="A12" s="1430"/>
      <c r="B12" s="1436" t="s">
        <v>1161</v>
      </c>
      <c r="C12" s="1437" t="s">
        <v>1160</v>
      </c>
      <c r="D12" s="825">
        <f>结果表!H106</f>
        <v>0</v>
      </c>
      <c r="E12" s="1430"/>
    </row>
    <row r="13" spans="1:5" ht="15.6">
      <c r="A13" s="1430"/>
      <c r="B13" s="3337" t="str">
        <f>结果表!E107</f>
        <v>3.房地产抵押价值</v>
      </c>
      <c r="C13" s="1438" t="s">
        <v>1151</v>
      </c>
      <c r="D13" s="826" t="e">
        <f ca="1">结果表!H107</f>
        <v>#REF!</v>
      </c>
      <c r="E13" s="1430"/>
    </row>
    <row r="14" spans="1:5" ht="15.6">
      <c r="A14" s="1430"/>
      <c r="B14" s="3338"/>
      <c r="C14" s="1433" t="s">
        <v>1152</v>
      </c>
      <c r="D14" s="823" t="e">
        <f ca="1">NUMBERSTRING(INT(D13*10000),2)&amp;"元整"</f>
        <v>#REF!</v>
      </c>
      <c r="E14" s="1430"/>
    </row>
    <row r="15" spans="1:5" ht="15.6">
      <c r="A15" s="1430"/>
      <c r="B15" s="3343"/>
      <c r="C15" s="1434" t="s">
        <v>1162</v>
      </c>
      <c r="D15" s="832" t="e">
        <f ca="1">结果表!H108</f>
        <v>#REF!</v>
      </c>
      <c r="E15" s="1430"/>
    </row>
    <row r="16" spans="1:5" ht="15.6">
      <c r="A16" s="1430"/>
      <c r="B16" s="3344" t="str">
        <f>结果表!E109</f>
        <v>——</v>
      </c>
      <c r="C16" s="1438" t="s">
        <v>1163</v>
      </c>
      <c r="D16" s="1439" t="str">
        <f>结果表!H109</f>
        <v>——</v>
      </c>
      <c r="E16" s="1430"/>
    </row>
    <row r="17" spans="1:5" ht="15.6">
      <c r="A17" s="1430"/>
      <c r="B17" s="3345"/>
      <c r="C17" s="1433" t="s">
        <v>1164</v>
      </c>
      <c r="D17" s="823" t="e">
        <f>NUMBERSTRING(INT(D16*10000),2)&amp;"元整"</f>
        <v>#VALUE!</v>
      </c>
      <c r="E17" s="1430"/>
    </row>
    <row r="18" spans="1:5" ht="15.6">
      <c r="A18" s="1430"/>
      <c r="B18" s="3346"/>
      <c r="C18" s="1434" t="s">
        <v>1153</v>
      </c>
      <c r="D18" s="832" t="str">
        <f>结果表!H110</f>
        <v>——</v>
      </c>
      <c r="E18" s="1430"/>
    </row>
    <row r="19" spans="1:5" ht="15.6">
      <c r="A19" s="1430"/>
      <c r="B19" s="3337" t="str">
        <f>结果表!E111</f>
        <v>——</v>
      </c>
      <c r="C19" s="1438" t="s">
        <v>1151</v>
      </c>
      <c r="D19" s="824" t="str">
        <f>结果表!H111</f>
        <v>——</v>
      </c>
      <c r="E19" s="1430"/>
    </row>
    <row r="20" spans="1:5" ht="15.6">
      <c r="A20" s="1430"/>
      <c r="B20" s="3338"/>
      <c r="C20" s="1433" t="s">
        <v>1164</v>
      </c>
      <c r="D20" s="823" t="e">
        <f>NUMBERSTRING(INT(D19*10000),2)&amp;"元整"</f>
        <v>#VALUE!</v>
      </c>
      <c r="E20" s="1430"/>
    </row>
    <row r="21" spans="1:5" ht="16.2" thickBot="1">
      <c r="A21" s="1430"/>
      <c r="B21" s="3339"/>
      <c r="C21" s="1440" t="s">
        <v>1162</v>
      </c>
      <c r="D21" s="833" t="str">
        <f>结果表!H112</f>
        <v>——</v>
      </c>
      <c r="E21" s="1430"/>
    </row>
    <row r="22" spans="1:5" ht="14.4" thickTop="1">
      <c r="A22" s="1430"/>
      <c r="B22" s="1441" t="s">
        <v>1165</v>
      </c>
      <c r="C22" s="1430"/>
      <c r="D22" s="1430"/>
      <c r="E22" s="1430"/>
    </row>
    <row r="23" spans="1:5">
      <c r="A23" s="1430"/>
      <c r="B23" s="1430"/>
      <c r="C23" s="1430"/>
      <c r="D23" s="1430"/>
      <c r="E23" s="1430"/>
    </row>
    <row r="24" spans="1:5" ht="17.399999999999999">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0" customWidth="1"/>
    <col min="2" max="2" width="29.21875" style="252" customWidth="1"/>
    <col min="3" max="3" width="12.109375" style="252" customWidth="1"/>
    <col min="4" max="5" width="11.21875" style="273" customWidth="1"/>
    <col min="6" max="6" width="9.44140625" style="252" customWidth="1"/>
    <col min="7" max="7" width="31.88671875" style="252" customWidth="1"/>
    <col min="8" max="254" width="9" style="252" customWidth="1"/>
    <col min="255" max="16384" width="8.33203125" style="252"/>
  </cols>
  <sheetData>
    <row r="1" spans="1:7" s="201" customFormat="1" ht="21">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6.2">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6.4">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6.2">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8"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M1" zoomScale="70" zoomScaleNormal="90" zoomScaleSheetLayoutView="70" workbookViewId="0">
      <selection activeCell="T2" sqref="T2:T8"/>
    </sheetView>
  </sheetViews>
  <sheetFormatPr defaultRowHeight="10.8"/>
  <cols>
    <col min="1" max="1" width="9.6640625" style="2744" customWidth="1"/>
    <col min="2" max="2" width="18.6640625" style="2744" customWidth="1"/>
    <col min="3" max="6" width="10.21875" style="2744" customWidth="1"/>
    <col min="7" max="7" width="8.88671875" style="2744"/>
    <col min="8" max="8" width="8.88671875" style="2740"/>
    <col min="9" max="9" width="13.33203125" style="2740" customWidth="1"/>
    <col min="10" max="13" width="13.33203125" style="2744" customWidth="1"/>
    <col min="14" max="14" width="18.21875" style="2744" customWidth="1"/>
    <col min="15" max="17" width="15.109375" style="2744" customWidth="1"/>
    <col min="18" max="20" width="11.44140625" style="2744" customWidth="1"/>
    <col min="21" max="16384" width="8.88671875" style="2744"/>
  </cols>
  <sheetData>
    <row r="1" spans="1:20" ht="11.4"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1.4"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1.4"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1.4"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1.4"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1.4"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1.4"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1.4"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1.4"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1.4"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1.4"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1.4"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1.4"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1.4"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1.4"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1.4"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1.4"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1.4"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1.4"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1.4"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1.4"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1.4"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1.4"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1.4"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1.4"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1.4"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51" zoomScale="70" zoomScaleNormal="70" workbookViewId="0">
      <selection activeCell="A378" sqref="A378:G384"/>
    </sheetView>
  </sheetViews>
  <sheetFormatPr defaultRowHeight="14.4"/>
  <cols>
    <col min="1" max="1" width="12.6640625" style="2684" customWidth="1"/>
    <col min="2" max="2" width="20" style="2684" customWidth="1"/>
    <col min="3" max="7" width="8.88671875" style="2721"/>
    <col min="8" max="16384" width="8.88671875" style="2675"/>
  </cols>
  <sheetData>
    <row r="1" spans="1:7">
      <c r="A1" s="3675" t="s">
        <v>625</v>
      </c>
      <c r="B1" s="3675"/>
    </row>
    <row r="2" spans="1:7" ht="15" thickBot="1">
      <c r="A2" s="2694"/>
      <c r="B2" s="2694"/>
    </row>
    <row r="3" spans="1:7" ht="15" thickBot="1">
      <c r="A3" s="2694"/>
      <c r="B3" s="2694"/>
      <c r="C3" s="2676" t="s">
        <v>628</v>
      </c>
      <c r="D3" s="2676" t="s">
        <v>629</v>
      </c>
      <c r="E3" s="2676" t="s">
        <v>630</v>
      </c>
      <c r="F3" s="2676" t="s">
        <v>182</v>
      </c>
      <c r="G3" s="2676" t="s">
        <v>2735</v>
      </c>
    </row>
    <row r="4" spans="1:7" ht="1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4"/>
  <cols>
    <col min="1" max="1" width="4.88671875" style="1187" customWidth="1"/>
    <col min="2" max="2" width="13.21875" style="1193" customWidth="1"/>
    <col min="3" max="3" width="15.6640625" style="1193" customWidth="1"/>
    <col min="4" max="4" width="9.33203125" style="1193" bestFit="1" customWidth="1"/>
    <col min="5" max="5" width="13.44140625" style="1193" customWidth="1"/>
    <col min="6" max="6" width="9" style="1193"/>
    <col min="7" max="7" width="9.33203125" style="1193" bestFit="1" customWidth="1"/>
    <col min="8" max="8" width="12.21875" style="1193" customWidth="1"/>
    <col min="9" max="9" width="9" style="1193"/>
    <col min="10" max="10" width="9.33203125" style="1193" bestFit="1" customWidth="1"/>
    <col min="11" max="11" width="4" style="1187" customWidth="1"/>
    <col min="12" max="12" width="5.109375" style="1193" customWidth="1"/>
    <col min="13" max="13" width="13.77734375" style="1193" customWidth="1"/>
    <col min="14" max="256" width="9" style="1193"/>
    <col min="257" max="257" width="4.88671875" style="1184" customWidth="1"/>
    <col min="258" max="258" width="13.21875" style="1184" customWidth="1"/>
    <col min="259" max="259" width="15.6640625" style="1184" customWidth="1"/>
    <col min="260" max="260" width="9.33203125" style="1184" bestFit="1" customWidth="1"/>
    <col min="261" max="261" width="13.44140625" style="1184" customWidth="1"/>
    <col min="262" max="262" width="9" style="1184"/>
    <col min="263" max="263" width="9.33203125" style="1184" bestFit="1" customWidth="1"/>
    <col min="264" max="265" width="9" style="1184"/>
    <col min="266" max="266" width="9.33203125" style="1184" bestFit="1" customWidth="1"/>
    <col min="267" max="267" width="4" style="1184" customWidth="1"/>
    <col min="268" max="268" width="5.109375" style="1184" customWidth="1"/>
    <col min="269" max="269" width="13.77734375" style="1184" customWidth="1"/>
    <col min="270" max="512" width="9" style="1184"/>
    <col min="513" max="513" width="4.88671875" style="1184" customWidth="1"/>
    <col min="514" max="514" width="13.21875" style="1184" customWidth="1"/>
    <col min="515" max="515" width="15.6640625" style="1184" customWidth="1"/>
    <col min="516" max="516" width="9.33203125" style="1184" bestFit="1" customWidth="1"/>
    <col min="517" max="517" width="13.44140625" style="1184" customWidth="1"/>
    <col min="518" max="518" width="9" style="1184"/>
    <col min="519" max="519" width="9.33203125" style="1184" bestFit="1" customWidth="1"/>
    <col min="520" max="521" width="9" style="1184"/>
    <col min="522" max="522" width="9.33203125" style="1184" bestFit="1" customWidth="1"/>
    <col min="523" max="523" width="4" style="1184" customWidth="1"/>
    <col min="524" max="524" width="5.109375" style="1184" customWidth="1"/>
    <col min="525" max="525" width="13.77734375" style="1184" customWidth="1"/>
    <col min="526" max="768" width="9" style="1184"/>
    <col min="769" max="769" width="4.88671875" style="1184" customWidth="1"/>
    <col min="770" max="770" width="13.21875" style="1184" customWidth="1"/>
    <col min="771" max="771" width="15.6640625" style="1184" customWidth="1"/>
    <col min="772" max="772" width="9.33203125" style="1184" bestFit="1" customWidth="1"/>
    <col min="773" max="773" width="13.44140625" style="1184" customWidth="1"/>
    <col min="774" max="774" width="9" style="1184"/>
    <col min="775" max="775" width="9.33203125" style="1184" bestFit="1" customWidth="1"/>
    <col min="776" max="777" width="9" style="1184"/>
    <col min="778" max="778" width="9.33203125" style="1184" bestFit="1" customWidth="1"/>
    <col min="779" max="779" width="4" style="1184" customWidth="1"/>
    <col min="780" max="780" width="5.109375" style="1184" customWidth="1"/>
    <col min="781" max="781" width="13.77734375" style="1184" customWidth="1"/>
    <col min="782" max="1024" width="9" style="1184"/>
    <col min="1025" max="1025" width="4.88671875" style="1184" customWidth="1"/>
    <col min="1026" max="1026" width="13.21875" style="1184" customWidth="1"/>
    <col min="1027" max="1027" width="15.6640625" style="1184" customWidth="1"/>
    <col min="1028" max="1028" width="9.33203125" style="1184" bestFit="1" customWidth="1"/>
    <col min="1029" max="1029" width="13.44140625" style="1184" customWidth="1"/>
    <col min="1030" max="1030" width="9" style="1184"/>
    <col min="1031" max="1031" width="9.33203125" style="1184" bestFit="1" customWidth="1"/>
    <col min="1032" max="1033" width="9" style="1184"/>
    <col min="1034" max="1034" width="9.33203125" style="1184" bestFit="1" customWidth="1"/>
    <col min="1035" max="1035" width="4" style="1184" customWidth="1"/>
    <col min="1036" max="1036" width="5.109375" style="1184" customWidth="1"/>
    <col min="1037" max="1037" width="13.77734375" style="1184" customWidth="1"/>
    <col min="1038" max="1280" width="9" style="1184"/>
    <col min="1281" max="1281" width="4.88671875" style="1184" customWidth="1"/>
    <col min="1282" max="1282" width="13.21875" style="1184" customWidth="1"/>
    <col min="1283" max="1283" width="15.6640625" style="1184" customWidth="1"/>
    <col min="1284" max="1284" width="9.33203125" style="1184" bestFit="1" customWidth="1"/>
    <col min="1285" max="1285" width="13.44140625" style="1184" customWidth="1"/>
    <col min="1286" max="1286" width="9" style="1184"/>
    <col min="1287" max="1287" width="9.33203125" style="1184" bestFit="1" customWidth="1"/>
    <col min="1288" max="1289" width="9" style="1184"/>
    <col min="1290" max="1290" width="9.33203125" style="1184" bestFit="1" customWidth="1"/>
    <col min="1291" max="1291" width="4" style="1184" customWidth="1"/>
    <col min="1292" max="1292" width="5.109375" style="1184" customWidth="1"/>
    <col min="1293" max="1293" width="13.77734375" style="1184" customWidth="1"/>
    <col min="1294" max="1536" width="9" style="1184"/>
    <col min="1537" max="1537" width="4.88671875" style="1184" customWidth="1"/>
    <col min="1538" max="1538" width="13.21875" style="1184" customWidth="1"/>
    <col min="1539" max="1539" width="15.6640625" style="1184" customWidth="1"/>
    <col min="1540" max="1540" width="9.33203125" style="1184" bestFit="1" customWidth="1"/>
    <col min="1541" max="1541" width="13.44140625" style="1184" customWidth="1"/>
    <col min="1542" max="1542" width="9" style="1184"/>
    <col min="1543" max="1543" width="9.33203125" style="1184" bestFit="1" customWidth="1"/>
    <col min="1544" max="1545" width="9" style="1184"/>
    <col min="1546" max="1546" width="9.33203125" style="1184" bestFit="1" customWidth="1"/>
    <col min="1547" max="1547" width="4" style="1184" customWidth="1"/>
    <col min="1548" max="1548" width="5.109375" style="1184" customWidth="1"/>
    <col min="1549" max="1549" width="13.77734375" style="1184" customWidth="1"/>
    <col min="1550" max="1792" width="9" style="1184"/>
    <col min="1793" max="1793" width="4.88671875" style="1184" customWidth="1"/>
    <col min="1794" max="1794" width="13.21875" style="1184" customWidth="1"/>
    <col min="1795" max="1795" width="15.6640625" style="1184" customWidth="1"/>
    <col min="1796" max="1796" width="9.33203125" style="1184" bestFit="1" customWidth="1"/>
    <col min="1797" max="1797" width="13.44140625" style="1184" customWidth="1"/>
    <col min="1798" max="1798" width="9" style="1184"/>
    <col min="1799" max="1799" width="9.33203125" style="1184" bestFit="1" customWidth="1"/>
    <col min="1800" max="1801" width="9" style="1184"/>
    <col min="1802" max="1802" width="9.33203125" style="1184" bestFit="1" customWidth="1"/>
    <col min="1803" max="1803" width="4" style="1184" customWidth="1"/>
    <col min="1804" max="1804" width="5.109375" style="1184" customWidth="1"/>
    <col min="1805" max="1805" width="13.77734375" style="1184" customWidth="1"/>
    <col min="1806" max="2048" width="9" style="1184"/>
    <col min="2049" max="2049" width="4.88671875" style="1184" customWidth="1"/>
    <col min="2050" max="2050" width="13.21875" style="1184" customWidth="1"/>
    <col min="2051" max="2051" width="15.6640625" style="1184" customWidth="1"/>
    <col min="2052" max="2052" width="9.33203125" style="1184" bestFit="1" customWidth="1"/>
    <col min="2053" max="2053" width="13.44140625" style="1184" customWidth="1"/>
    <col min="2054" max="2054" width="9" style="1184"/>
    <col min="2055" max="2055" width="9.33203125" style="1184" bestFit="1" customWidth="1"/>
    <col min="2056" max="2057" width="9" style="1184"/>
    <col min="2058" max="2058" width="9.33203125" style="1184" bestFit="1" customWidth="1"/>
    <col min="2059" max="2059" width="4" style="1184" customWidth="1"/>
    <col min="2060" max="2060" width="5.109375" style="1184" customWidth="1"/>
    <col min="2061" max="2061" width="13.77734375" style="1184" customWidth="1"/>
    <col min="2062" max="2304" width="9" style="1184"/>
    <col min="2305" max="2305" width="4.88671875" style="1184" customWidth="1"/>
    <col min="2306" max="2306" width="13.21875" style="1184" customWidth="1"/>
    <col min="2307" max="2307" width="15.6640625" style="1184" customWidth="1"/>
    <col min="2308" max="2308" width="9.33203125" style="1184" bestFit="1" customWidth="1"/>
    <col min="2309" max="2309" width="13.44140625" style="1184" customWidth="1"/>
    <col min="2310" max="2310" width="9" style="1184"/>
    <col min="2311" max="2311" width="9.33203125" style="1184" bestFit="1" customWidth="1"/>
    <col min="2312" max="2313" width="9" style="1184"/>
    <col min="2314" max="2314" width="9.33203125" style="1184" bestFit="1" customWidth="1"/>
    <col min="2315" max="2315" width="4" style="1184" customWidth="1"/>
    <col min="2316" max="2316" width="5.109375" style="1184" customWidth="1"/>
    <col min="2317" max="2317" width="13.77734375" style="1184" customWidth="1"/>
    <col min="2318" max="2560" width="9" style="1184"/>
    <col min="2561" max="2561" width="4.88671875" style="1184" customWidth="1"/>
    <col min="2562" max="2562" width="13.21875" style="1184" customWidth="1"/>
    <col min="2563" max="2563" width="15.6640625" style="1184" customWidth="1"/>
    <col min="2564" max="2564" width="9.33203125" style="1184" bestFit="1" customWidth="1"/>
    <col min="2565" max="2565" width="13.44140625" style="1184" customWidth="1"/>
    <col min="2566" max="2566" width="9" style="1184"/>
    <col min="2567" max="2567" width="9.33203125" style="1184" bestFit="1" customWidth="1"/>
    <col min="2568" max="2569" width="9" style="1184"/>
    <col min="2570" max="2570" width="9.33203125" style="1184" bestFit="1" customWidth="1"/>
    <col min="2571" max="2571" width="4" style="1184" customWidth="1"/>
    <col min="2572" max="2572" width="5.109375" style="1184" customWidth="1"/>
    <col min="2573" max="2573" width="13.77734375" style="1184" customWidth="1"/>
    <col min="2574" max="2816" width="9" style="1184"/>
    <col min="2817" max="2817" width="4.88671875" style="1184" customWidth="1"/>
    <col min="2818" max="2818" width="13.21875" style="1184" customWidth="1"/>
    <col min="2819" max="2819" width="15.6640625" style="1184" customWidth="1"/>
    <col min="2820" max="2820" width="9.33203125" style="1184" bestFit="1" customWidth="1"/>
    <col min="2821" max="2821" width="13.44140625" style="1184" customWidth="1"/>
    <col min="2822" max="2822" width="9" style="1184"/>
    <col min="2823" max="2823" width="9.33203125" style="1184" bestFit="1" customWidth="1"/>
    <col min="2824" max="2825" width="9" style="1184"/>
    <col min="2826" max="2826" width="9.33203125" style="1184" bestFit="1" customWidth="1"/>
    <col min="2827" max="2827" width="4" style="1184" customWidth="1"/>
    <col min="2828" max="2828" width="5.109375" style="1184" customWidth="1"/>
    <col min="2829" max="2829" width="13.77734375" style="1184" customWidth="1"/>
    <col min="2830" max="3072" width="9" style="1184"/>
    <col min="3073" max="3073" width="4.88671875" style="1184" customWidth="1"/>
    <col min="3074" max="3074" width="13.21875" style="1184" customWidth="1"/>
    <col min="3075" max="3075" width="15.6640625" style="1184" customWidth="1"/>
    <col min="3076" max="3076" width="9.33203125" style="1184" bestFit="1" customWidth="1"/>
    <col min="3077" max="3077" width="13.44140625" style="1184" customWidth="1"/>
    <col min="3078" max="3078" width="9" style="1184"/>
    <col min="3079" max="3079" width="9.33203125" style="1184" bestFit="1" customWidth="1"/>
    <col min="3080" max="3081" width="9" style="1184"/>
    <col min="3082" max="3082" width="9.33203125" style="1184" bestFit="1" customWidth="1"/>
    <col min="3083" max="3083" width="4" style="1184" customWidth="1"/>
    <col min="3084" max="3084" width="5.109375" style="1184" customWidth="1"/>
    <col min="3085" max="3085" width="13.77734375" style="1184" customWidth="1"/>
    <col min="3086" max="3328" width="9" style="1184"/>
    <col min="3329" max="3329" width="4.88671875" style="1184" customWidth="1"/>
    <col min="3330" max="3330" width="13.21875" style="1184" customWidth="1"/>
    <col min="3331" max="3331" width="15.6640625" style="1184" customWidth="1"/>
    <col min="3332" max="3332" width="9.33203125" style="1184" bestFit="1" customWidth="1"/>
    <col min="3333" max="3333" width="13.44140625" style="1184" customWidth="1"/>
    <col min="3334" max="3334" width="9" style="1184"/>
    <col min="3335" max="3335" width="9.33203125" style="1184" bestFit="1" customWidth="1"/>
    <col min="3336" max="3337" width="9" style="1184"/>
    <col min="3338" max="3338" width="9.33203125" style="1184" bestFit="1" customWidth="1"/>
    <col min="3339" max="3339" width="4" style="1184" customWidth="1"/>
    <col min="3340" max="3340" width="5.109375" style="1184" customWidth="1"/>
    <col min="3341" max="3341" width="13.77734375" style="1184" customWidth="1"/>
    <col min="3342" max="3584" width="9" style="1184"/>
    <col min="3585" max="3585" width="4.88671875" style="1184" customWidth="1"/>
    <col min="3586" max="3586" width="13.21875" style="1184" customWidth="1"/>
    <col min="3587" max="3587" width="15.6640625" style="1184" customWidth="1"/>
    <col min="3588" max="3588" width="9.33203125" style="1184" bestFit="1" customWidth="1"/>
    <col min="3589" max="3589" width="13.44140625" style="1184" customWidth="1"/>
    <col min="3590" max="3590" width="9" style="1184"/>
    <col min="3591" max="3591" width="9.33203125" style="1184" bestFit="1" customWidth="1"/>
    <col min="3592" max="3593" width="9" style="1184"/>
    <col min="3594" max="3594" width="9.33203125" style="1184" bestFit="1" customWidth="1"/>
    <col min="3595" max="3595" width="4" style="1184" customWidth="1"/>
    <col min="3596" max="3596" width="5.109375" style="1184" customWidth="1"/>
    <col min="3597" max="3597" width="13.77734375" style="1184" customWidth="1"/>
    <col min="3598" max="3840" width="9" style="1184"/>
    <col min="3841" max="3841" width="4.88671875" style="1184" customWidth="1"/>
    <col min="3842" max="3842" width="13.21875" style="1184" customWidth="1"/>
    <col min="3843" max="3843" width="15.6640625" style="1184" customWidth="1"/>
    <col min="3844" max="3844" width="9.33203125" style="1184" bestFit="1" customWidth="1"/>
    <col min="3845" max="3845" width="13.44140625" style="1184" customWidth="1"/>
    <col min="3846" max="3846" width="9" style="1184"/>
    <col min="3847" max="3847" width="9.33203125" style="1184" bestFit="1" customWidth="1"/>
    <col min="3848" max="3849" width="9" style="1184"/>
    <col min="3850" max="3850" width="9.33203125" style="1184" bestFit="1" customWidth="1"/>
    <col min="3851" max="3851" width="4" style="1184" customWidth="1"/>
    <col min="3852" max="3852" width="5.109375" style="1184" customWidth="1"/>
    <col min="3853" max="3853" width="13.77734375" style="1184" customWidth="1"/>
    <col min="3854" max="4096" width="9" style="1184"/>
    <col min="4097" max="4097" width="4.88671875" style="1184" customWidth="1"/>
    <col min="4098" max="4098" width="13.21875" style="1184" customWidth="1"/>
    <col min="4099" max="4099" width="15.6640625" style="1184" customWidth="1"/>
    <col min="4100" max="4100" width="9.33203125" style="1184" bestFit="1" customWidth="1"/>
    <col min="4101" max="4101" width="13.44140625" style="1184" customWidth="1"/>
    <col min="4102" max="4102" width="9" style="1184"/>
    <col min="4103" max="4103" width="9.33203125" style="1184" bestFit="1" customWidth="1"/>
    <col min="4104" max="4105" width="9" style="1184"/>
    <col min="4106" max="4106" width="9.33203125" style="1184" bestFit="1" customWidth="1"/>
    <col min="4107" max="4107" width="4" style="1184" customWidth="1"/>
    <col min="4108" max="4108" width="5.109375" style="1184" customWidth="1"/>
    <col min="4109" max="4109" width="13.77734375" style="1184" customWidth="1"/>
    <col min="4110" max="4352" width="9" style="1184"/>
    <col min="4353" max="4353" width="4.88671875" style="1184" customWidth="1"/>
    <col min="4354" max="4354" width="13.21875" style="1184" customWidth="1"/>
    <col min="4355" max="4355" width="15.6640625" style="1184" customWidth="1"/>
    <col min="4356" max="4356" width="9.33203125" style="1184" bestFit="1" customWidth="1"/>
    <col min="4357" max="4357" width="13.44140625" style="1184" customWidth="1"/>
    <col min="4358" max="4358" width="9" style="1184"/>
    <col min="4359" max="4359" width="9.33203125" style="1184" bestFit="1" customWidth="1"/>
    <col min="4360" max="4361" width="9" style="1184"/>
    <col min="4362" max="4362" width="9.33203125" style="1184" bestFit="1" customWidth="1"/>
    <col min="4363" max="4363" width="4" style="1184" customWidth="1"/>
    <col min="4364" max="4364" width="5.109375" style="1184" customWidth="1"/>
    <col min="4365" max="4365" width="13.77734375" style="1184" customWidth="1"/>
    <col min="4366" max="4608" width="9" style="1184"/>
    <col min="4609" max="4609" width="4.88671875" style="1184" customWidth="1"/>
    <col min="4610" max="4610" width="13.21875" style="1184" customWidth="1"/>
    <col min="4611" max="4611" width="15.6640625" style="1184" customWidth="1"/>
    <col min="4612" max="4612" width="9.33203125" style="1184" bestFit="1" customWidth="1"/>
    <col min="4613" max="4613" width="13.44140625" style="1184" customWidth="1"/>
    <col min="4614" max="4614" width="9" style="1184"/>
    <col min="4615" max="4615" width="9.33203125" style="1184" bestFit="1" customWidth="1"/>
    <col min="4616" max="4617" width="9" style="1184"/>
    <col min="4618" max="4618" width="9.33203125" style="1184" bestFit="1" customWidth="1"/>
    <col min="4619" max="4619" width="4" style="1184" customWidth="1"/>
    <col min="4620" max="4620" width="5.109375" style="1184" customWidth="1"/>
    <col min="4621" max="4621" width="13.77734375" style="1184" customWidth="1"/>
    <col min="4622" max="4864" width="9" style="1184"/>
    <col min="4865" max="4865" width="4.88671875" style="1184" customWidth="1"/>
    <col min="4866" max="4866" width="13.21875" style="1184" customWidth="1"/>
    <col min="4867" max="4867" width="15.6640625" style="1184" customWidth="1"/>
    <col min="4868" max="4868" width="9.33203125" style="1184" bestFit="1" customWidth="1"/>
    <col min="4869" max="4869" width="13.44140625" style="1184" customWidth="1"/>
    <col min="4870" max="4870" width="9" style="1184"/>
    <col min="4871" max="4871" width="9.33203125" style="1184" bestFit="1" customWidth="1"/>
    <col min="4872" max="4873" width="9" style="1184"/>
    <col min="4874" max="4874" width="9.33203125" style="1184" bestFit="1" customWidth="1"/>
    <col min="4875" max="4875" width="4" style="1184" customWidth="1"/>
    <col min="4876" max="4876" width="5.109375" style="1184" customWidth="1"/>
    <col min="4877" max="4877" width="13.77734375" style="1184" customWidth="1"/>
    <col min="4878" max="5120" width="9" style="1184"/>
    <col min="5121" max="5121" width="4.88671875" style="1184" customWidth="1"/>
    <col min="5122" max="5122" width="13.21875" style="1184" customWidth="1"/>
    <col min="5123" max="5123" width="15.6640625" style="1184" customWidth="1"/>
    <col min="5124" max="5124" width="9.33203125" style="1184" bestFit="1" customWidth="1"/>
    <col min="5125" max="5125" width="13.44140625" style="1184" customWidth="1"/>
    <col min="5126" max="5126" width="9" style="1184"/>
    <col min="5127" max="5127" width="9.33203125" style="1184" bestFit="1" customWidth="1"/>
    <col min="5128" max="5129" width="9" style="1184"/>
    <col min="5130" max="5130" width="9.33203125" style="1184" bestFit="1" customWidth="1"/>
    <col min="5131" max="5131" width="4" style="1184" customWidth="1"/>
    <col min="5132" max="5132" width="5.109375" style="1184" customWidth="1"/>
    <col min="5133" max="5133" width="13.77734375" style="1184" customWidth="1"/>
    <col min="5134" max="5376" width="9" style="1184"/>
    <col min="5377" max="5377" width="4.88671875" style="1184" customWidth="1"/>
    <col min="5378" max="5378" width="13.21875" style="1184" customWidth="1"/>
    <col min="5379" max="5379" width="15.6640625" style="1184" customWidth="1"/>
    <col min="5380" max="5380" width="9.33203125" style="1184" bestFit="1" customWidth="1"/>
    <col min="5381" max="5381" width="13.44140625" style="1184" customWidth="1"/>
    <col min="5382" max="5382" width="9" style="1184"/>
    <col min="5383" max="5383" width="9.33203125" style="1184" bestFit="1" customWidth="1"/>
    <col min="5384" max="5385" width="9" style="1184"/>
    <col min="5386" max="5386" width="9.33203125" style="1184" bestFit="1" customWidth="1"/>
    <col min="5387" max="5387" width="4" style="1184" customWidth="1"/>
    <col min="5388" max="5388" width="5.109375" style="1184" customWidth="1"/>
    <col min="5389" max="5389" width="13.77734375" style="1184" customWidth="1"/>
    <col min="5390" max="5632" width="9" style="1184"/>
    <col min="5633" max="5633" width="4.88671875" style="1184" customWidth="1"/>
    <col min="5634" max="5634" width="13.21875" style="1184" customWidth="1"/>
    <col min="5635" max="5635" width="15.6640625" style="1184" customWidth="1"/>
    <col min="5636" max="5636" width="9.33203125" style="1184" bestFit="1" customWidth="1"/>
    <col min="5637" max="5637" width="13.44140625" style="1184" customWidth="1"/>
    <col min="5638" max="5638" width="9" style="1184"/>
    <col min="5639" max="5639" width="9.33203125" style="1184" bestFit="1" customWidth="1"/>
    <col min="5640" max="5641" width="9" style="1184"/>
    <col min="5642" max="5642" width="9.33203125" style="1184" bestFit="1" customWidth="1"/>
    <col min="5643" max="5643" width="4" style="1184" customWidth="1"/>
    <col min="5644" max="5644" width="5.109375" style="1184" customWidth="1"/>
    <col min="5645" max="5645" width="13.77734375" style="1184" customWidth="1"/>
    <col min="5646" max="5888" width="9" style="1184"/>
    <col min="5889" max="5889" width="4.88671875" style="1184" customWidth="1"/>
    <col min="5890" max="5890" width="13.21875" style="1184" customWidth="1"/>
    <col min="5891" max="5891" width="15.6640625" style="1184" customWidth="1"/>
    <col min="5892" max="5892" width="9.33203125" style="1184" bestFit="1" customWidth="1"/>
    <col min="5893" max="5893" width="13.44140625" style="1184" customWidth="1"/>
    <col min="5894" max="5894" width="9" style="1184"/>
    <col min="5895" max="5895" width="9.33203125" style="1184" bestFit="1" customWidth="1"/>
    <col min="5896" max="5897" width="9" style="1184"/>
    <col min="5898" max="5898" width="9.33203125" style="1184" bestFit="1" customWidth="1"/>
    <col min="5899" max="5899" width="4" style="1184" customWidth="1"/>
    <col min="5900" max="5900" width="5.109375" style="1184" customWidth="1"/>
    <col min="5901" max="5901" width="13.77734375" style="1184" customWidth="1"/>
    <col min="5902" max="6144" width="9" style="1184"/>
    <col min="6145" max="6145" width="4.88671875" style="1184" customWidth="1"/>
    <col min="6146" max="6146" width="13.21875" style="1184" customWidth="1"/>
    <col min="6147" max="6147" width="15.6640625" style="1184" customWidth="1"/>
    <col min="6148" max="6148" width="9.33203125" style="1184" bestFit="1" customWidth="1"/>
    <col min="6149" max="6149" width="13.44140625" style="1184" customWidth="1"/>
    <col min="6150" max="6150" width="9" style="1184"/>
    <col min="6151" max="6151" width="9.33203125" style="1184" bestFit="1" customWidth="1"/>
    <col min="6152" max="6153" width="9" style="1184"/>
    <col min="6154" max="6154" width="9.33203125" style="1184" bestFit="1" customWidth="1"/>
    <col min="6155" max="6155" width="4" style="1184" customWidth="1"/>
    <col min="6156" max="6156" width="5.109375" style="1184" customWidth="1"/>
    <col min="6157" max="6157" width="13.77734375" style="1184" customWidth="1"/>
    <col min="6158" max="6400" width="9" style="1184"/>
    <col min="6401" max="6401" width="4.88671875" style="1184" customWidth="1"/>
    <col min="6402" max="6402" width="13.21875" style="1184" customWidth="1"/>
    <col min="6403" max="6403" width="15.6640625" style="1184" customWidth="1"/>
    <col min="6404" max="6404" width="9.33203125" style="1184" bestFit="1" customWidth="1"/>
    <col min="6405" max="6405" width="13.44140625" style="1184" customWidth="1"/>
    <col min="6406" max="6406" width="9" style="1184"/>
    <col min="6407" max="6407" width="9.33203125" style="1184" bestFit="1" customWidth="1"/>
    <col min="6408" max="6409" width="9" style="1184"/>
    <col min="6410" max="6410" width="9.33203125" style="1184" bestFit="1" customWidth="1"/>
    <col min="6411" max="6411" width="4" style="1184" customWidth="1"/>
    <col min="6412" max="6412" width="5.109375" style="1184" customWidth="1"/>
    <col min="6413" max="6413" width="13.77734375" style="1184" customWidth="1"/>
    <col min="6414" max="6656" width="9" style="1184"/>
    <col min="6657" max="6657" width="4.88671875" style="1184" customWidth="1"/>
    <col min="6658" max="6658" width="13.21875" style="1184" customWidth="1"/>
    <col min="6659" max="6659" width="15.6640625" style="1184" customWidth="1"/>
    <col min="6660" max="6660" width="9.33203125" style="1184" bestFit="1" customWidth="1"/>
    <col min="6661" max="6661" width="13.44140625" style="1184" customWidth="1"/>
    <col min="6662" max="6662" width="9" style="1184"/>
    <col min="6663" max="6663" width="9.33203125" style="1184" bestFit="1" customWidth="1"/>
    <col min="6664" max="6665" width="9" style="1184"/>
    <col min="6666" max="6666" width="9.33203125" style="1184" bestFit="1" customWidth="1"/>
    <col min="6667" max="6667" width="4" style="1184" customWidth="1"/>
    <col min="6668" max="6668" width="5.109375" style="1184" customWidth="1"/>
    <col min="6669" max="6669" width="13.77734375" style="1184" customWidth="1"/>
    <col min="6670" max="6912" width="9" style="1184"/>
    <col min="6913" max="6913" width="4.88671875" style="1184" customWidth="1"/>
    <col min="6914" max="6914" width="13.21875" style="1184" customWidth="1"/>
    <col min="6915" max="6915" width="15.6640625" style="1184" customWidth="1"/>
    <col min="6916" max="6916" width="9.33203125" style="1184" bestFit="1" customWidth="1"/>
    <col min="6917" max="6917" width="13.44140625" style="1184" customWidth="1"/>
    <col min="6918" max="6918" width="9" style="1184"/>
    <col min="6919" max="6919" width="9.33203125" style="1184" bestFit="1" customWidth="1"/>
    <col min="6920" max="6921" width="9" style="1184"/>
    <col min="6922" max="6922" width="9.33203125" style="1184" bestFit="1" customWidth="1"/>
    <col min="6923" max="6923" width="4" style="1184" customWidth="1"/>
    <col min="6924" max="6924" width="5.109375" style="1184" customWidth="1"/>
    <col min="6925" max="6925" width="13.77734375" style="1184" customWidth="1"/>
    <col min="6926" max="7168" width="9" style="1184"/>
    <col min="7169" max="7169" width="4.88671875" style="1184" customWidth="1"/>
    <col min="7170" max="7170" width="13.21875" style="1184" customWidth="1"/>
    <col min="7171" max="7171" width="15.6640625" style="1184" customWidth="1"/>
    <col min="7172" max="7172" width="9.33203125" style="1184" bestFit="1" customWidth="1"/>
    <col min="7173" max="7173" width="13.44140625" style="1184" customWidth="1"/>
    <col min="7174" max="7174" width="9" style="1184"/>
    <col min="7175" max="7175" width="9.33203125" style="1184" bestFit="1" customWidth="1"/>
    <col min="7176" max="7177" width="9" style="1184"/>
    <col min="7178" max="7178" width="9.33203125" style="1184" bestFit="1" customWidth="1"/>
    <col min="7179" max="7179" width="4" style="1184" customWidth="1"/>
    <col min="7180" max="7180" width="5.109375" style="1184" customWidth="1"/>
    <col min="7181" max="7181" width="13.77734375" style="1184" customWidth="1"/>
    <col min="7182" max="7424" width="9" style="1184"/>
    <col min="7425" max="7425" width="4.88671875" style="1184" customWidth="1"/>
    <col min="7426" max="7426" width="13.21875" style="1184" customWidth="1"/>
    <col min="7427" max="7427" width="15.6640625" style="1184" customWidth="1"/>
    <col min="7428" max="7428" width="9.33203125" style="1184" bestFit="1" customWidth="1"/>
    <col min="7429" max="7429" width="13.44140625" style="1184" customWidth="1"/>
    <col min="7430" max="7430" width="9" style="1184"/>
    <col min="7431" max="7431" width="9.33203125" style="1184" bestFit="1" customWidth="1"/>
    <col min="7432" max="7433" width="9" style="1184"/>
    <col min="7434" max="7434" width="9.33203125" style="1184" bestFit="1" customWidth="1"/>
    <col min="7435" max="7435" width="4" style="1184" customWidth="1"/>
    <col min="7436" max="7436" width="5.109375" style="1184" customWidth="1"/>
    <col min="7437" max="7437" width="13.77734375" style="1184" customWidth="1"/>
    <col min="7438" max="7680" width="9" style="1184"/>
    <col min="7681" max="7681" width="4.88671875" style="1184" customWidth="1"/>
    <col min="7682" max="7682" width="13.21875" style="1184" customWidth="1"/>
    <col min="7683" max="7683" width="15.6640625" style="1184" customWidth="1"/>
    <col min="7684" max="7684" width="9.33203125" style="1184" bestFit="1" customWidth="1"/>
    <col min="7685" max="7685" width="13.44140625" style="1184" customWidth="1"/>
    <col min="7686" max="7686" width="9" style="1184"/>
    <col min="7687" max="7687" width="9.33203125" style="1184" bestFit="1" customWidth="1"/>
    <col min="7688" max="7689" width="9" style="1184"/>
    <col min="7690" max="7690" width="9.33203125" style="1184" bestFit="1" customWidth="1"/>
    <col min="7691" max="7691" width="4" style="1184" customWidth="1"/>
    <col min="7692" max="7692" width="5.109375" style="1184" customWidth="1"/>
    <col min="7693" max="7693" width="13.77734375" style="1184" customWidth="1"/>
    <col min="7694" max="7936" width="9" style="1184"/>
    <col min="7937" max="7937" width="4.88671875" style="1184" customWidth="1"/>
    <col min="7938" max="7938" width="13.21875" style="1184" customWidth="1"/>
    <col min="7939" max="7939" width="15.6640625" style="1184" customWidth="1"/>
    <col min="7940" max="7940" width="9.33203125" style="1184" bestFit="1" customWidth="1"/>
    <col min="7941" max="7941" width="13.44140625" style="1184" customWidth="1"/>
    <col min="7942" max="7942" width="9" style="1184"/>
    <col min="7943" max="7943" width="9.33203125" style="1184" bestFit="1" customWidth="1"/>
    <col min="7944" max="7945" width="9" style="1184"/>
    <col min="7946" max="7946" width="9.33203125" style="1184" bestFit="1" customWidth="1"/>
    <col min="7947" max="7947" width="4" style="1184" customWidth="1"/>
    <col min="7948" max="7948" width="5.109375" style="1184" customWidth="1"/>
    <col min="7949" max="7949" width="13.77734375" style="1184" customWidth="1"/>
    <col min="7950" max="8192" width="9" style="1184"/>
    <col min="8193" max="8193" width="4.88671875" style="1184" customWidth="1"/>
    <col min="8194" max="8194" width="13.21875" style="1184" customWidth="1"/>
    <col min="8195" max="8195" width="15.6640625" style="1184" customWidth="1"/>
    <col min="8196" max="8196" width="9.33203125" style="1184" bestFit="1" customWidth="1"/>
    <col min="8197" max="8197" width="13.44140625" style="1184" customWidth="1"/>
    <col min="8198" max="8198" width="9" style="1184"/>
    <col min="8199" max="8199" width="9.33203125" style="1184" bestFit="1" customWidth="1"/>
    <col min="8200" max="8201" width="9" style="1184"/>
    <col min="8202" max="8202" width="9.33203125" style="1184" bestFit="1" customWidth="1"/>
    <col min="8203" max="8203" width="4" style="1184" customWidth="1"/>
    <col min="8204" max="8204" width="5.109375" style="1184" customWidth="1"/>
    <col min="8205" max="8205" width="13.77734375" style="1184" customWidth="1"/>
    <col min="8206" max="8448" width="9" style="1184"/>
    <col min="8449" max="8449" width="4.88671875" style="1184" customWidth="1"/>
    <col min="8450" max="8450" width="13.21875" style="1184" customWidth="1"/>
    <col min="8451" max="8451" width="15.6640625" style="1184" customWidth="1"/>
    <col min="8452" max="8452" width="9.33203125" style="1184" bestFit="1" customWidth="1"/>
    <col min="8453" max="8453" width="13.44140625" style="1184" customWidth="1"/>
    <col min="8454" max="8454" width="9" style="1184"/>
    <col min="8455" max="8455" width="9.33203125" style="1184" bestFit="1" customWidth="1"/>
    <col min="8456" max="8457" width="9" style="1184"/>
    <col min="8458" max="8458" width="9.33203125" style="1184" bestFit="1" customWidth="1"/>
    <col min="8459" max="8459" width="4" style="1184" customWidth="1"/>
    <col min="8460" max="8460" width="5.109375" style="1184" customWidth="1"/>
    <col min="8461" max="8461" width="13.77734375" style="1184" customWidth="1"/>
    <col min="8462" max="8704" width="9" style="1184"/>
    <col min="8705" max="8705" width="4.88671875" style="1184" customWidth="1"/>
    <col min="8706" max="8706" width="13.21875" style="1184" customWidth="1"/>
    <col min="8707" max="8707" width="15.6640625" style="1184" customWidth="1"/>
    <col min="8708" max="8708" width="9.33203125" style="1184" bestFit="1" customWidth="1"/>
    <col min="8709" max="8709" width="13.44140625" style="1184" customWidth="1"/>
    <col min="8710" max="8710" width="9" style="1184"/>
    <col min="8711" max="8711" width="9.33203125" style="1184" bestFit="1" customWidth="1"/>
    <col min="8712" max="8713" width="9" style="1184"/>
    <col min="8714" max="8714" width="9.33203125" style="1184" bestFit="1" customWidth="1"/>
    <col min="8715" max="8715" width="4" style="1184" customWidth="1"/>
    <col min="8716" max="8716" width="5.109375" style="1184" customWidth="1"/>
    <col min="8717" max="8717" width="13.77734375" style="1184" customWidth="1"/>
    <col min="8718" max="8960" width="9" style="1184"/>
    <col min="8961" max="8961" width="4.88671875" style="1184" customWidth="1"/>
    <col min="8962" max="8962" width="13.21875" style="1184" customWidth="1"/>
    <col min="8963" max="8963" width="15.6640625" style="1184" customWidth="1"/>
    <col min="8964" max="8964" width="9.33203125" style="1184" bestFit="1" customWidth="1"/>
    <col min="8965" max="8965" width="13.44140625" style="1184" customWidth="1"/>
    <col min="8966" max="8966" width="9" style="1184"/>
    <col min="8967" max="8967" width="9.33203125" style="1184" bestFit="1" customWidth="1"/>
    <col min="8968" max="8969" width="9" style="1184"/>
    <col min="8970" max="8970" width="9.33203125" style="1184" bestFit="1" customWidth="1"/>
    <col min="8971" max="8971" width="4" style="1184" customWidth="1"/>
    <col min="8972" max="8972" width="5.109375" style="1184" customWidth="1"/>
    <col min="8973" max="8973" width="13.77734375" style="1184" customWidth="1"/>
    <col min="8974" max="9216" width="9" style="1184"/>
    <col min="9217" max="9217" width="4.88671875" style="1184" customWidth="1"/>
    <col min="9218" max="9218" width="13.21875" style="1184" customWidth="1"/>
    <col min="9219" max="9219" width="15.6640625" style="1184" customWidth="1"/>
    <col min="9220" max="9220" width="9.33203125" style="1184" bestFit="1" customWidth="1"/>
    <col min="9221" max="9221" width="13.44140625" style="1184" customWidth="1"/>
    <col min="9222" max="9222" width="9" style="1184"/>
    <col min="9223" max="9223" width="9.33203125" style="1184" bestFit="1" customWidth="1"/>
    <col min="9224" max="9225" width="9" style="1184"/>
    <col min="9226" max="9226" width="9.33203125" style="1184" bestFit="1" customWidth="1"/>
    <col min="9227" max="9227" width="4" style="1184" customWidth="1"/>
    <col min="9228" max="9228" width="5.109375" style="1184" customWidth="1"/>
    <col min="9229" max="9229" width="13.77734375" style="1184" customWidth="1"/>
    <col min="9230" max="9472" width="9" style="1184"/>
    <col min="9473" max="9473" width="4.88671875" style="1184" customWidth="1"/>
    <col min="9474" max="9474" width="13.21875" style="1184" customWidth="1"/>
    <col min="9475" max="9475" width="15.6640625" style="1184" customWidth="1"/>
    <col min="9476" max="9476" width="9.33203125" style="1184" bestFit="1" customWidth="1"/>
    <col min="9477" max="9477" width="13.44140625" style="1184" customWidth="1"/>
    <col min="9478" max="9478" width="9" style="1184"/>
    <col min="9479" max="9479" width="9.33203125" style="1184" bestFit="1" customWidth="1"/>
    <col min="9480" max="9481" width="9" style="1184"/>
    <col min="9482" max="9482" width="9.33203125" style="1184" bestFit="1" customWidth="1"/>
    <col min="9483" max="9483" width="4" style="1184" customWidth="1"/>
    <col min="9484" max="9484" width="5.109375" style="1184" customWidth="1"/>
    <col min="9485" max="9485" width="13.77734375" style="1184" customWidth="1"/>
    <col min="9486" max="9728" width="9" style="1184"/>
    <col min="9729" max="9729" width="4.88671875" style="1184" customWidth="1"/>
    <col min="9730" max="9730" width="13.21875" style="1184" customWidth="1"/>
    <col min="9731" max="9731" width="15.6640625" style="1184" customWidth="1"/>
    <col min="9732" max="9732" width="9.33203125" style="1184" bestFit="1" customWidth="1"/>
    <col min="9733" max="9733" width="13.44140625" style="1184" customWidth="1"/>
    <col min="9734" max="9734" width="9" style="1184"/>
    <col min="9735" max="9735" width="9.33203125" style="1184" bestFit="1" customWidth="1"/>
    <col min="9736" max="9737" width="9" style="1184"/>
    <col min="9738" max="9738" width="9.33203125" style="1184" bestFit="1" customWidth="1"/>
    <col min="9739" max="9739" width="4" style="1184" customWidth="1"/>
    <col min="9740" max="9740" width="5.109375" style="1184" customWidth="1"/>
    <col min="9741" max="9741" width="13.77734375" style="1184" customWidth="1"/>
    <col min="9742" max="9984" width="9" style="1184"/>
    <col min="9985" max="9985" width="4.88671875" style="1184" customWidth="1"/>
    <col min="9986" max="9986" width="13.21875" style="1184" customWidth="1"/>
    <col min="9987" max="9987" width="15.6640625" style="1184" customWidth="1"/>
    <col min="9988" max="9988" width="9.33203125" style="1184" bestFit="1" customWidth="1"/>
    <col min="9989" max="9989" width="13.44140625" style="1184" customWidth="1"/>
    <col min="9990" max="9990" width="9" style="1184"/>
    <col min="9991" max="9991" width="9.33203125" style="1184" bestFit="1" customWidth="1"/>
    <col min="9992" max="9993" width="9" style="1184"/>
    <col min="9994" max="9994" width="9.33203125" style="1184" bestFit="1" customWidth="1"/>
    <col min="9995" max="9995" width="4" style="1184" customWidth="1"/>
    <col min="9996" max="9996" width="5.109375" style="1184" customWidth="1"/>
    <col min="9997" max="9997" width="13.77734375" style="1184" customWidth="1"/>
    <col min="9998" max="10240" width="9" style="1184"/>
    <col min="10241" max="10241" width="4.88671875" style="1184" customWidth="1"/>
    <col min="10242" max="10242" width="13.21875" style="1184" customWidth="1"/>
    <col min="10243" max="10243" width="15.6640625" style="1184" customWidth="1"/>
    <col min="10244" max="10244" width="9.33203125" style="1184" bestFit="1" customWidth="1"/>
    <col min="10245" max="10245" width="13.44140625" style="1184" customWidth="1"/>
    <col min="10246" max="10246" width="9" style="1184"/>
    <col min="10247" max="10247" width="9.33203125" style="1184" bestFit="1" customWidth="1"/>
    <col min="10248" max="10249" width="9" style="1184"/>
    <col min="10250" max="10250" width="9.33203125" style="1184" bestFit="1" customWidth="1"/>
    <col min="10251" max="10251" width="4" style="1184" customWidth="1"/>
    <col min="10252" max="10252" width="5.109375" style="1184" customWidth="1"/>
    <col min="10253" max="10253" width="13.77734375" style="1184" customWidth="1"/>
    <col min="10254" max="10496" width="9" style="1184"/>
    <col min="10497" max="10497" width="4.88671875" style="1184" customWidth="1"/>
    <col min="10498" max="10498" width="13.21875" style="1184" customWidth="1"/>
    <col min="10499" max="10499" width="15.6640625" style="1184" customWidth="1"/>
    <col min="10500" max="10500" width="9.33203125" style="1184" bestFit="1" customWidth="1"/>
    <col min="10501" max="10501" width="13.44140625" style="1184" customWidth="1"/>
    <col min="10502" max="10502" width="9" style="1184"/>
    <col min="10503" max="10503" width="9.33203125" style="1184" bestFit="1" customWidth="1"/>
    <col min="10504" max="10505" width="9" style="1184"/>
    <col min="10506" max="10506" width="9.33203125" style="1184" bestFit="1" customWidth="1"/>
    <col min="10507" max="10507" width="4" style="1184" customWidth="1"/>
    <col min="10508" max="10508" width="5.109375" style="1184" customWidth="1"/>
    <col min="10509" max="10509" width="13.77734375" style="1184" customWidth="1"/>
    <col min="10510" max="10752" width="9" style="1184"/>
    <col min="10753" max="10753" width="4.88671875" style="1184" customWidth="1"/>
    <col min="10754" max="10754" width="13.21875" style="1184" customWidth="1"/>
    <col min="10755" max="10755" width="15.6640625" style="1184" customWidth="1"/>
    <col min="10756" max="10756" width="9.33203125" style="1184" bestFit="1" customWidth="1"/>
    <col min="10757" max="10757" width="13.44140625" style="1184" customWidth="1"/>
    <col min="10758" max="10758" width="9" style="1184"/>
    <col min="10759" max="10759" width="9.33203125" style="1184" bestFit="1" customWidth="1"/>
    <col min="10760" max="10761" width="9" style="1184"/>
    <col min="10762" max="10762" width="9.33203125" style="1184" bestFit="1" customWidth="1"/>
    <col min="10763" max="10763" width="4" style="1184" customWidth="1"/>
    <col min="10764" max="10764" width="5.109375" style="1184" customWidth="1"/>
    <col min="10765" max="10765" width="13.77734375" style="1184" customWidth="1"/>
    <col min="10766" max="11008" width="9" style="1184"/>
    <col min="11009" max="11009" width="4.88671875" style="1184" customWidth="1"/>
    <col min="11010" max="11010" width="13.21875" style="1184" customWidth="1"/>
    <col min="11011" max="11011" width="15.6640625" style="1184" customWidth="1"/>
    <col min="11012" max="11012" width="9.33203125" style="1184" bestFit="1" customWidth="1"/>
    <col min="11013" max="11013" width="13.44140625" style="1184" customWidth="1"/>
    <col min="11014" max="11014" width="9" style="1184"/>
    <col min="11015" max="11015" width="9.33203125" style="1184" bestFit="1" customWidth="1"/>
    <col min="11016" max="11017" width="9" style="1184"/>
    <col min="11018" max="11018" width="9.33203125" style="1184" bestFit="1" customWidth="1"/>
    <col min="11019" max="11019" width="4" style="1184" customWidth="1"/>
    <col min="11020" max="11020" width="5.109375" style="1184" customWidth="1"/>
    <col min="11021" max="11021" width="13.77734375" style="1184" customWidth="1"/>
    <col min="11022" max="11264" width="9" style="1184"/>
    <col min="11265" max="11265" width="4.88671875" style="1184" customWidth="1"/>
    <col min="11266" max="11266" width="13.21875" style="1184" customWidth="1"/>
    <col min="11267" max="11267" width="15.6640625" style="1184" customWidth="1"/>
    <col min="11268" max="11268" width="9.33203125" style="1184" bestFit="1" customWidth="1"/>
    <col min="11269" max="11269" width="13.44140625" style="1184" customWidth="1"/>
    <col min="11270" max="11270" width="9" style="1184"/>
    <col min="11271" max="11271" width="9.33203125" style="1184" bestFit="1" customWidth="1"/>
    <col min="11272" max="11273" width="9" style="1184"/>
    <col min="11274" max="11274" width="9.33203125" style="1184" bestFit="1" customWidth="1"/>
    <col min="11275" max="11275" width="4" style="1184" customWidth="1"/>
    <col min="11276" max="11276" width="5.109375" style="1184" customWidth="1"/>
    <col min="11277" max="11277" width="13.77734375" style="1184" customWidth="1"/>
    <col min="11278" max="11520" width="9" style="1184"/>
    <col min="11521" max="11521" width="4.88671875" style="1184" customWidth="1"/>
    <col min="11522" max="11522" width="13.21875" style="1184" customWidth="1"/>
    <col min="11523" max="11523" width="15.6640625" style="1184" customWidth="1"/>
    <col min="11524" max="11524" width="9.33203125" style="1184" bestFit="1" customWidth="1"/>
    <col min="11525" max="11525" width="13.44140625" style="1184" customWidth="1"/>
    <col min="11526" max="11526" width="9" style="1184"/>
    <col min="11527" max="11527" width="9.33203125" style="1184" bestFit="1" customWidth="1"/>
    <col min="11528" max="11529" width="9" style="1184"/>
    <col min="11530" max="11530" width="9.33203125" style="1184" bestFit="1" customWidth="1"/>
    <col min="11531" max="11531" width="4" style="1184" customWidth="1"/>
    <col min="11532" max="11532" width="5.109375" style="1184" customWidth="1"/>
    <col min="11533" max="11533" width="13.77734375" style="1184" customWidth="1"/>
    <col min="11534" max="11776" width="9" style="1184"/>
    <col min="11777" max="11777" width="4.88671875" style="1184" customWidth="1"/>
    <col min="11778" max="11778" width="13.21875" style="1184" customWidth="1"/>
    <col min="11779" max="11779" width="15.6640625" style="1184" customWidth="1"/>
    <col min="11780" max="11780" width="9.33203125" style="1184" bestFit="1" customWidth="1"/>
    <col min="11781" max="11781" width="13.44140625" style="1184" customWidth="1"/>
    <col min="11782" max="11782" width="9" style="1184"/>
    <col min="11783" max="11783" width="9.33203125" style="1184" bestFit="1" customWidth="1"/>
    <col min="11784" max="11785" width="9" style="1184"/>
    <col min="11786" max="11786" width="9.33203125" style="1184" bestFit="1" customWidth="1"/>
    <col min="11787" max="11787" width="4" style="1184" customWidth="1"/>
    <col min="11788" max="11788" width="5.109375" style="1184" customWidth="1"/>
    <col min="11789" max="11789" width="13.77734375" style="1184" customWidth="1"/>
    <col min="11790" max="12032" width="9" style="1184"/>
    <col min="12033" max="12033" width="4.88671875" style="1184" customWidth="1"/>
    <col min="12034" max="12034" width="13.21875" style="1184" customWidth="1"/>
    <col min="12035" max="12035" width="15.6640625" style="1184" customWidth="1"/>
    <col min="12036" max="12036" width="9.33203125" style="1184" bestFit="1" customWidth="1"/>
    <col min="12037" max="12037" width="13.44140625" style="1184" customWidth="1"/>
    <col min="12038" max="12038" width="9" style="1184"/>
    <col min="12039" max="12039" width="9.33203125" style="1184" bestFit="1" customWidth="1"/>
    <col min="12040" max="12041" width="9" style="1184"/>
    <col min="12042" max="12042" width="9.33203125" style="1184" bestFit="1" customWidth="1"/>
    <col min="12043" max="12043" width="4" style="1184" customWidth="1"/>
    <col min="12044" max="12044" width="5.109375" style="1184" customWidth="1"/>
    <col min="12045" max="12045" width="13.77734375" style="1184" customWidth="1"/>
    <col min="12046" max="12288" width="9" style="1184"/>
    <col min="12289" max="12289" width="4.88671875" style="1184" customWidth="1"/>
    <col min="12290" max="12290" width="13.21875" style="1184" customWidth="1"/>
    <col min="12291" max="12291" width="15.6640625" style="1184" customWidth="1"/>
    <col min="12292" max="12292" width="9.33203125" style="1184" bestFit="1" customWidth="1"/>
    <col min="12293" max="12293" width="13.44140625" style="1184" customWidth="1"/>
    <col min="12294" max="12294" width="9" style="1184"/>
    <col min="12295" max="12295" width="9.33203125" style="1184" bestFit="1" customWidth="1"/>
    <col min="12296" max="12297" width="9" style="1184"/>
    <col min="12298" max="12298" width="9.33203125" style="1184" bestFit="1" customWidth="1"/>
    <col min="12299" max="12299" width="4" style="1184" customWidth="1"/>
    <col min="12300" max="12300" width="5.109375" style="1184" customWidth="1"/>
    <col min="12301" max="12301" width="13.77734375" style="1184" customWidth="1"/>
    <col min="12302" max="12544" width="9" style="1184"/>
    <col min="12545" max="12545" width="4.88671875" style="1184" customWidth="1"/>
    <col min="12546" max="12546" width="13.21875" style="1184" customWidth="1"/>
    <col min="12547" max="12547" width="15.6640625" style="1184" customWidth="1"/>
    <col min="12548" max="12548" width="9.33203125" style="1184" bestFit="1" customWidth="1"/>
    <col min="12549" max="12549" width="13.44140625" style="1184" customWidth="1"/>
    <col min="12550" max="12550" width="9" style="1184"/>
    <col min="12551" max="12551" width="9.33203125" style="1184" bestFit="1" customWidth="1"/>
    <col min="12552" max="12553" width="9" style="1184"/>
    <col min="12554" max="12554" width="9.33203125" style="1184" bestFit="1" customWidth="1"/>
    <col min="12555" max="12555" width="4" style="1184" customWidth="1"/>
    <col min="12556" max="12556" width="5.109375" style="1184" customWidth="1"/>
    <col min="12557" max="12557" width="13.77734375" style="1184" customWidth="1"/>
    <col min="12558" max="12800" width="9" style="1184"/>
    <col min="12801" max="12801" width="4.88671875" style="1184" customWidth="1"/>
    <col min="12802" max="12802" width="13.21875" style="1184" customWidth="1"/>
    <col min="12803" max="12803" width="15.6640625" style="1184" customWidth="1"/>
    <col min="12804" max="12804" width="9.33203125" style="1184" bestFit="1" customWidth="1"/>
    <col min="12805" max="12805" width="13.44140625" style="1184" customWidth="1"/>
    <col min="12806" max="12806" width="9" style="1184"/>
    <col min="12807" max="12807" width="9.33203125" style="1184" bestFit="1" customWidth="1"/>
    <col min="12808" max="12809" width="9" style="1184"/>
    <col min="12810" max="12810" width="9.33203125" style="1184" bestFit="1" customWidth="1"/>
    <col min="12811" max="12811" width="4" style="1184" customWidth="1"/>
    <col min="12812" max="12812" width="5.109375" style="1184" customWidth="1"/>
    <col min="12813" max="12813" width="13.77734375" style="1184" customWidth="1"/>
    <col min="12814" max="13056" width="9" style="1184"/>
    <col min="13057" max="13057" width="4.88671875" style="1184" customWidth="1"/>
    <col min="13058" max="13058" width="13.21875" style="1184" customWidth="1"/>
    <col min="13059" max="13059" width="15.6640625" style="1184" customWidth="1"/>
    <col min="13060" max="13060" width="9.33203125" style="1184" bestFit="1" customWidth="1"/>
    <col min="13061" max="13061" width="13.44140625" style="1184" customWidth="1"/>
    <col min="13062" max="13062" width="9" style="1184"/>
    <col min="13063" max="13063" width="9.33203125" style="1184" bestFit="1" customWidth="1"/>
    <col min="13064" max="13065" width="9" style="1184"/>
    <col min="13066" max="13066" width="9.33203125" style="1184" bestFit="1" customWidth="1"/>
    <col min="13067" max="13067" width="4" style="1184" customWidth="1"/>
    <col min="13068" max="13068" width="5.109375" style="1184" customWidth="1"/>
    <col min="13069" max="13069" width="13.77734375" style="1184" customWidth="1"/>
    <col min="13070" max="13312" width="9" style="1184"/>
    <col min="13313" max="13313" width="4.88671875" style="1184" customWidth="1"/>
    <col min="13314" max="13314" width="13.21875" style="1184" customWidth="1"/>
    <col min="13315" max="13315" width="15.6640625" style="1184" customWidth="1"/>
    <col min="13316" max="13316" width="9.33203125" style="1184" bestFit="1" customWidth="1"/>
    <col min="13317" max="13317" width="13.44140625" style="1184" customWidth="1"/>
    <col min="13318" max="13318" width="9" style="1184"/>
    <col min="13319" max="13319" width="9.33203125" style="1184" bestFit="1" customWidth="1"/>
    <col min="13320" max="13321" width="9" style="1184"/>
    <col min="13322" max="13322" width="9.33203125" style="1184" bestFit="1" customWidth="1"/>
    <col min="13323" max="13323" width="4" style="1184" customWidth="1"/>
    <col min="13324" max="13324" width="5.109375" style="1184" customWidth="1"/>
    <col min="13325" max="13325" width="13.77734375" style="1184" customWidth="1"/>
    <col min="13326" max="13568" width="9" style="1184"/>
    <col min="13569" max="13569" width="4.88671875" style="1184" customWidth="1"/>
    <col min="13570" max="13570" width="13.21875" style="1184" customWidth="1"/>
    <col min="13571" max="13571" width="15.6640625" style="1184" customWidth="1"/>
    <col min="13572" max="13572" width="9.33203125" style="1184" bestFit="1" customWidth="1"/>
    <col min="13573" max="13573" width="13.44140625" style="1184" customWidth="1"/>
    <col min="13574" max="13574" width="9" style="1184"/>
    <col min="13575" max="13575" width="9.33203125" style="1184" bestFit="1" customWidth="1"/>
    <col min="13576" max="13577" width="9" style="1184"/>
    <col min="13578" max="13578" width="9.33203125" style="1184" bestFit="1" customWidth="1"/>
    <col min="13579" max="13579" width="4" style="1184" customWidth="1"/>
    <col min="13580" max="13580" width="5.109375" style="1184" customWidth="1"/>
    <col min="13581" max="13581" width="13.77734375" style="1184" customWidth="1"/>
    <col min="13582" max="13824" width="9" style="1184"/>
    <col min="13825" max="13825" width="4.88671875" style="1184" customWidth="1"/>
    <col min="13826" max="13826" width="13.21875" style="1184" customWidth="1"/>
    <col min="13827" max="13827" width="15.6640625" style="1184" customWidth="1"/>
    <col min="13828" max="13828" width="9.33203125" style="1184" bestFit="1" customWidth="1"/>
    <col min="13829" max="13829" width="13.44140625" style="1184" customWidth="1"/>
    <col min="13830" max="13830" width="9" style="1184"/>
    <col min="13831" max="13831" width="9.33203125" style="1184" bestFit="1" customWidth="1"/>
    <col min="13832" max="13833" width="9" style="1184"/>
    <col min="13834" max="13834" width="9.33203125" style="1184" bestFit="1" customWidth="1"/>
    <col min="13835" max="13835" width="4" style="1184" customWidth="1"/>
    <col min="13836" max="13836" width="5.109375" style="1184" customWidth="1"/>
    <col min="13837" max="13837" width="13.77734375" style="1184" customWidth="1"/>
    <col min="13838" max="14080" width="9" style="1184"/>
    <col min="14081" max="14081" width="4.88671875" style="1184" customWidth="1"/>
    <col min="14082" max="14082" width="13.21875" style="1184" customWidth="1"/>
    <col min="14083" max="14083" width="15.6640625" style="1184" customWidth="1"/>
    <col min="14084" max="14084" width="9.33203125" style="1184" bestFit="1" customWidth="1"/>
    <col min="14085" max="14085" width="13.44140625" style="1184" customWidth="1"/>
    <col min="14086" max="14086" width="9" style="1184"/>
    <col min="14087" max="14087" width="9.33203125" style="1184" bestFit="1" customWidth="1"/>
    <col min="14088" max="14089" width="9" style="1184"/>
    <col min="14090" max="14090" width="9.33203125" style="1184" bestFit="1" customWidth="1"/>
    <col min="14091" max="14091" width="4" style="1184" customWidth="1"/>
    <col min="14092" max="14092" width="5.109375" style="1184" customWidth="1"/>
    <col min="14093" max="14093" width="13.77734375" style="1184" customWidth="1"/>
    <col min="14094" max="14336" width="9" style="1184"/>
    <col min="14337" max="14337" width="4.88671875" style="1184" customWidth="1"/>
    <col min="14338" max="14338" width="13.21875" style="1184" customWidth="1"/>
    <col min="14339" max="14339" width="15.6640625" style="1184" customWidth="1"/>
    <col min="14340" max="14340" width="9.33203125" style="1184" bestFit="1" customWidth="1"/>
    <col min="14341" max="14341" width="13.44140625" style="1184" customWidth="1"/>
    <col min="14342" max="14342" width="9" style="1184"/>
    <col min="14343" max="14343" width="9.33203125" style="1184" bestFit="1" customWidth="1"/>
    <col min="14344" max="14345" width="9" style="1184"/>
    <col min="14346" max="14346" width="9.33203125" style="1184" bestFit="1" customWidth="1"/>
    <col min="14347" max="14347" width="4" style="1184" customWidth="1"/>
    <col min="14348" max="14348" width="5.109375" style="1184" customWidth="1"/>
    <col min="14349" max="14349" width="13.77734375" style="1184" customWidth="1"/>
    <col min="14350" max="14592" width="9" style="1184"/>
    <col min="14593" max="14593" width="4.88671875" style="1184" customWidth="1"/>
    <col min="14594" max="14594" width="13.21875" style="1184" customWidth="1"/>
    <col min="14595" max="14595" width="15.6640625" style="1184" customWidth="1"/>
    <col min="14596" max="14596" width="9.33203125" style="1184" bestFit="1" customWidth="1"/>
    <col min="14597" max="14597" width="13.44140625" style="1184" customWidth="1"/>
    <col min="14598" max="14598" width="9" style="1184"/>
    <col min="14599" max="14599" width="9.33203125" style="1184" bestFit="1" customWidth="1"/>
    <col min="14600" max="14601" width="9" style="1184"/>
    <col min="14602" max="14602" width="9.33203125" style="1184" bestFit="1" customWidth="1"/>
    <col min="14603" max="14603" width="4" style="1184" customWidth="1"/>
    <col min="14604" max="14604" width="5.109375" style="1184" customWidth="1"/>
    <col min="14605" max="14605" width="13.77734375" style="1184" customWidth="1"/>
    <col min="14606" max="14848" width="9" style="1184"/>
    <col min="14849" max="14849" width="4.88671875" style="1184" customWidth="1"/>
    <col min="14850" max="14850" width="13.21875" style="1184" customWidth="1"/>
    <col min="14851" max="14851" width="15.6640625" style="1184" customWidth="1"/>
    <col min="14852" max="14852" width="9.33203125" style="1184" bestFit="1" customWidth="1"/>
    <col min="14853" max="14853" width="13.44140625" style="1184" customWidth="1"/>
    <col min="14854" max="14854" width="9" style="1184"/>
    <col min="14855" max="14855" width="9.33203125" style="1184" bestFit="1" customWidth="1"/>
    <col min="14856" max="14857" width="9" style="1184"/>
    <col min="14858" max="14858" width="9.33203125" style="1184" bestFit="1" customWidth="1"/>
    <col min="14859" max="14859" width="4" style="1184" customWidth="1"/>
    <col min="14860" max="14860" width="5.109375" style="1184" customWidth="1"/>
    <col min="14861" max="14861" width="13.77734375" style="1184" customWidth="1"/>
    <col min="14862" max="15104" width="9" style="1184"/>
    <col min="15105" max="15105" width="4.88671875" style="1184" customWidth="1"/>
    <col min="15106" max="15106" width="13.21875" style="1184" customWidth="1"/>
    <col min="15107" max="15107" width="15.6640625" style="1184" customWidth="1"/>
    <col min="15108" max="15108" width="9.33203125" style="1184" bestFit="1" customWidth="1"/>
    <col min="15109" max="15109" width="13.44140625" style="1184" customWidth="1"/>
    <col min="15110" max="15110" width="9" style="1184"/>
    <col min="15111" max="15111" width="9.33203125" style="1184" bestFit="1" customWidth="1"/>
    <col min="15112" max="15113" width="9" style="1184"/>
    <col min="15114" max="15114" width="9.33203125" style="1184" bestFit="1" customWidth="1"/>
    <col min="15115" max="15115" width="4" style="1184" customWidth="1"/>
    <col min="15116" max="15116" width="5.109375" style="1184" customWidth="1"/>
    <col min="15117" max="15117" width="13.77734375" style="1184" customWidth="1"/>
    <col min="15118" max="15360" width="9" style="1184"/>
    <col min="15361" max="15361" width="4.88671875" style="1184" customWidth="1"/>
    <col min="15362" max="15362" width="13.21875" style="1184" customWidth="1"/>
    <col min="15363" max="15363" width="15.6640625" style="1184" customWidth="1"/>
    <col min="15364" max="15364" width="9.33203125" style="1184" bestFit="1" customWidth="1"/>
    <col min="15365" max="15365" width="13.44140625" style="1184" customWidth="1"/>
    <col min="15366" max="15366" width="9" style="1184"/>
    <col min="15367" max="15367" width="9.33203125" style="1184" bestFit="1" customWidth="1"/>
    <col min="15368" max="15369" width="9" style="1184"/>
    <col min="15370" max="15370" width="9.33203125" style="1184" bestFit="1" customWidth="1"/>
    <col min="15371" max="15371" width="4" style="1184" customWidth="1"/>
    <col min="15372" max="15372" width="5.109375" style="1184" customWidth="1"/>
    <col min="15373" max="15373" width="13.77734375" style="1184" customWidth="1"/>
    <col min="15374" max="15616" width="9" style="1184"/>
    <col min="15617" max="15617" width="4.88671875" style="1184" customWidth="1"/>
    <col min="15618" max="15618" width="13.21875" style="1184" customWidth="1"/>
    <col min="15619" max="15619" width="15.6640625" style="1184" customWidth="1"/>
    <col min="15620" max="15620" width="9.33203125" style="1184" bestFit="1" customWidth="1"/>
    <col min="15621" max="15621" width="13.44140625" style="1184" customWidth="1"/>
    <col min="15622" max="15622" width="9" style="1184"/>
    <col min="15623" max="15623" width="9.33203125" style="1184" bestFit="1" customWidth="1"/>
    <col min="15624" max="15625" width="9" style="1184"/>
    <col min="15626" max="15626" width="9.33203125" style="1184" bestFit="1" customWidth="1"/>
    <col min="15627" max="15627" width="4" style="1184" customWidth="1"/>
    <col min="15628" max="15628" width="5.109375" style="1184" customWidth="1"/>
    <col min="15629" max="15629" width="13.77734375" style="1184" customWidth="1"/>
    <col min="15630" max="15872" width="9" style="1184"/>
    <col min="15873" max="15873" width="4.88671875" style="1184" customWidth="1"/>
    <col min="15874" max="15874" width="13.21875" style="1184" customWidth="1"/>
    <col min="15875" max="15875" width="15.6640625" style="1184" customWidth="1"/>
    <col min="15876" max="15876" width="9.33203125" style="1184" bestFit="1" customWidth="1"/>
    <col min="15877" max="15877" width="13.44140625" style="1184" customWidth="1"/>
    <col min="15878" max="15878" width="9" style="1184"/>
    <col min="15879" max="15879" width="9.33203125" style="1184" bestFit="1" customWidth="1"/>
    <col min="15880" max="15881" width="9" style="1184"/>
    <col min="15882" max="15882" width="9.33203125" style="1184" bestFit="1" customWidth="1"/>
    <col min="15883" max="15883" width="4" style="1184" customWidth="1"/>
    <col min="15884" max="15884" width="5.109375" style="1184" customWidth="1"/>
    <col min="15885" max="15885" width="13.77734375" style="1184" customWidth="1"/>
    <col min="15886" max="16128" width="9" style="1184"/>
    <col min="16129" max="16129" width="4.88671875" style="1184" customWidth="1"/>
    <col min="16130" max="16130" width="13.21875" style="1184" customWidth="1"/>
    <col min="16131" max="16131" width="15.6640625" style="1184" customWidth="1"/>
    <col min="16132" max="16132" width="9.33203125" style="1184" bestFit="1" customWidth="1"/>
    <col min="16133" max="16133" width="13.44140625" style="1184" customWidth="1"/>
    <col min="16134" max="16134" width="9" style="1184"/>
    <col min="16135" max="16135" width="9.33203125" style="1184" bestFit="1" customWidth="1"/>
    <col min="16136" max="16137" width="9" style="1184"/>
    <col min="16138" max="16138" width="9.33203125" style="1184" bestFit="1" customWidth="1"/>
    <col min="16139" max="16139" width="4" style="1184" customWidth="1"/>
    <col min="16140" max="16140" width="5.109375" style="1184" customWidth="1"/>
    <col min="16141" max="16141" width="13.77734375" style="1184" customWidth="1"/>
    <col min="16142" max="16384" width="9" style="1184"/>
  </cols>
  <sheetData>
    <row r="1" spans="1:257" s="1246" customFormat="1" ht="15" thickBot="1">
      <c r="A1" s="1240"/>
      <c r="B1" s="1247" t="s">
        <v>839</v>
      </c>
      <c r="C1" s="1241">
        <f>项目基本情况!D3</f>
        <v>44697</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6"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399999999999999">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2">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31.2">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5.6">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5.6">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5.6">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5.6">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6.8">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5.6">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5.6">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1875" defaultRowHeight="14.4"/>
  <cols>
    <col min="1" max="16384" width="13.2187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16" customWidth="1"/>
    <col min="2" max="9" width="12.109375" style="1416" customWidth="1"/>
    <col min="10" max="16384" width="9" style="1416"/>
  </cols>
  <sheetData>
    <row r="1" spans="1:9" ht="18" thickBot="1">
      <c r="A1" s="3347" t="str">
        <f>IF(项目基本情况!B9="房地产市场价值","估价结果一览表","结果表-2")</f>
        <v>估价结果一览表</v>
      </c>
      <c r="B1" s="3347"/>
      <c r="C1" s="3347"/>
      <c r="D1" s="3347"/>
      <c r="E1" s="3347"/>
      <c r="F1" s="3347"/>
      <c r="G1" s="3347"/>
      <c r="H1" s="3347"/>
      <c r="I1" s="3347"/>
    </row>
    <row r="2" spans="1:9" ht="30" customHeight="1" thickTop="1">
      <c r="A2" s="3348" t="s">
        <v>1169</v>
      </c>
      <c r="B2" s="3348" t="s">
        <v>1170</v>
      </c>
      <c r="C2" s="3348" t="s">
        <v>1171</v>
      </c>
      <c r="D2" s="3348" t="str">
        <f>结果表!D116</f>
        <v>出让国有建设用地使用权价值</v>
      </c>
      <c r="E2" s="3348"/>
      <c r="F2" s="3348" t="str">
        <f>结果表!F116</f>
        <v>在建建筑物价值</v>
      </c>
      <c r="G2" s="3348"/>
      <c r="H2" s="3348" t="str">
        <f>IF(项目基本情况!B9="房地产市场价值","房地产市场价值","房地产价值")</f>
        <v>房地产市场价值</v>
      </c>
      <c r="I2" s="3348"/>
    </row>
    <row r="3" spans="1:9" ht="15.6">
      <c r="A3" s="3349"/>
      <c r="B3" s="3349"/>
      <c r="C3" s="3349"/>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49" t="s">
        <v>1168</v>
      </c>
      <c r="B5" s="3349"/>
      <c r="C5" s="3349"/>
      <c r="D5" s="3350" t="e">
        <f ca="1">结果表!D119</f>
        <v>#REF!</v>
      </c>
      <c r="E5" s="3350"/>
      <c r="F5" s="3350" t="e">
        <f ca="1">结果表!F119</f>
        <v>#REF!</v>
      </c>
      <c r="G5" s="3350"/>
      <c r="H5" s="3350" t="e">
        <f ca="1">结果表!H119</f>
        <v>#REF!</v>
      </c>
      <c r="I5" s="3350"/>
    </row>
    <row r="6" spans="1:9" ht="15.6">
      <c r="A6" s="3351" t="str">
        <f>结果表!A120</f>
        <v/>
      </c>
      <c r="B6" s="3351"/>
      <c r="C6" s="3351"/>
      <c r="D6" s="3351">
        <f>结果表!D120</f>
        <v>0</v>
      </c>
      <c r="E6" s="3351"/>
      <c r="F6" s="3351"/>
      <c r="G6" s="3351"/>
      <c r="H6" s="3351"/>
      <c r="I6" s="3351"/>
    </row>
    <row r="7" spans="1:9" ht="15">
      <c r="A7" s="3349" t="s">
        <v>1168</v>
      </c>
      <c r="B7" s="3349"/>
      <c r="C7" s="3349"/>
      <c r="D7" s="3352" t="str">
        <f>结果表!D121</f>
        <v>零元整</v>
      </c>
      <c r="E7" s="3353"/>
      <c r="F7" s="3353"/>
      <c r="G7" s="3353"/>
      <c r="H7" s="3353"/>
      <c r="I7" s="3354"/>
    </row>
    <row r="8" spans="1:9" ht="15.6">
      <c r="A8" s="3351" t="str">
        <f>结果表!A122</f>
        <v/>
      </c>
      <c r="B8" s="3351"/>
      <c r="C8" s="3351"/>
      <c r="D8" s="3351" t="e">
        <f ca="1">结果表!D122</f>
        <v>#REF!</v>
      </c>
      <c r="E8" s="3351"/>
      <c r="F8" s="3351"/>
      <c r="G8" s="3351"/>
      <c r="H8" s="3351"/>
      <c r="I8" s="3351"/>
    </row>
    <row r="9" spans="1:9" ht="15">
      <c r="A9" s="3349" t="s">
        <v>1168</v>
      </c>
      <c r="B9" s="3349"/>
      <c r="C9" s="3349"/>
      <c r="D9" s="3350" t="e">
        <f ca="1">结果表!D123</f>
        <v>#REF!</v>
      </c>
      <c r="E9" s="3350"/>
      <c r="F9" s="3350"/>
      <c r="G9" s="3350"/>
      <c r="H9" s="3350"/>
      <c r="I9" s="3350"/>
    </row>
    <row r="10" spans="1:9" ht="15.6">
      <c r="A10" s="3351" t="str">
        <f>结果表!A124</f>
        <v/>
      </c>
      <c r="B10" s="3351"/>
      <c r="C10" s="3351"/>
      <c r="D10" s="3351" t="str">
        <f>结果表!D124</f>
        <v>——</v>
      </c>
      <c r="E10" s="3351"/>
      <c r="F10" s="3351"/>
      <c r="G10" s="3351"/>
      <c r="H10" s="3351"/>
      <c r="I10" s="3351"/>
    </row>
    <row r="11" spans="1:9" ht="15">
      <c r="A11" s="3349" t="s">
        <v>1168</v>
      </c>
      <c r="B11" s="3349"/>
      <c r="C11" s="3349"/>
      <c r="D11" s="3350" t="e">
        <f>结果表!D125</f>
        <v>#VALUE!</v>
      </c>
      <c r="E11" s="3350"/>
      <c r="F11" s="3350"/>
      <c r="G11" s="3350"/>
      <c r="H11" s="3350"/>
      <c r="I11" s="3350"/>
    </row>
    <row r="12" spans="1:9" ht="15.6">
      <c r="A12" s="3351" t="str">
        <f>结果表!A126</f>
        <v/>
      </c>
      <c r="B12" s="3351"/>
      <c r="C12" s="3351"/>
      <c r="D12" s="3351" t="str">
        <f>结果表!D126</f>
        <v>——</v>
      </c>
      <c r="E12" s="3351"/>
      <c r="F12" s="3351"/>
      <c r="G12" s="3351"/>
      <c r="H12" s="3351"/>
      <c r="I12" s="3351"/>
    </row>
    <row r="13" spans="1:9" ht="15.6" thickBot="1">
      <c r="A13" s="3355" t="s">
        <v>1168</v>
      </c>
      <c r="B13" s="3355"/>
      <c r="C13" s="3355"/>
      <c r="D13" s="3356" t="e">
        <f>结果表!D127</f>
        <v>#VALUE!</v>
      </c>
      <c r="E13" s="3356"/>
      <c r="F13" s="3356"/>
      <c r="G13" s="3356"/>
      <c r="H13" s="3356"/>
      <c r="I13" s="3356"/>
    </row>
    <row r="14" spans="1:9" ht="14.4" thickTop="1">
      <c r="A14" s="3357" t="s">
        <v>1173</v>
      </c>
      <c r="B14" s="3357"/>
      <c r="C14" s="3357"/>
      <c r="D14" s="3357"/>
      <c r="E14" s="3357"/>
      <c r="F14" s="3357"/>
      <c r="G14" s="3357"/>
      <c r="H14" s="3357"/>
      <c r="I14" s="3357"/>
    </row>
    <row r="16" spans="1:9" ht="17.399999999999999">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16" customWidth="1"/>
    <col min="2" max="3" width="22.33203125" style="1416" customWidth="1"/>
    <col min="4" max="4" width="23" style="1416" customWidth="1"/>
    <col min="5" max="16384" width="9" style="1416"/>
  </cols>
  <sheetData>
    <row r="1" spans="1:4" ht="17.399999999999999">
      <c r="A1" s="3358" t="s">
        <v>1190</v>
      </c>
      <c r="B1" s="3358"/>
      <c r="C1" s="3358"/>
      <c r="D1" s="3358"/>
    </row>
    <row r="2" spans="1:4" ht="17.399999999999999">
      <c r="A2" s="3359" t="s">
        <v>1174</v>
      </c>
      <c r="B2" s="3359"/>
      <c r="C2" s="3359"/>
      <c r="D2" s="3359"/>
    </row>
    <row r="3" spans="1:4" ht="17.399999999999999">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7.399999999999999">
      <c r="A6" s="3359" t="s">
        <v>1180</v>
      </c>
      <c r="B6" s="3359"/>
      <c r="C6" s="3359"/>
      <c r="D6" s="3359"/>
    </row>
    <row r="7" spans="1:4" ht="17.399999999999999">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7.399999999999999">
      <c r="A10" s="1455" t="s">
        <v>1182</v>
      </c>
      <c r="B10" s="678"/>
      <c r="C10" s="678"/>
      <c r="D10" s="678"/>
    </row>
    <row r="11" spans="1:4" ht="30" customHeight="1">
      <c r="A11" s="3360" t="s">
        <v>1183</v>
      </c>
      <c r="B11" s="3361"/>
      <c r="C11" s="3361"/>
      <c r="D11" s="3361"/>
    </row>
    <row r="12" spans="1:4" ht="15.6">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2"/>
      <c r="C12" s="3362"/>
      <c r="D12" s="3362"/>
    </row>
    <row r="13" spans="1:4" ht="30" customHeight="1">
      <c r="A13" s="3361" t="str">
        <f>IF(项目基本情况!B8="抵押","3.抵押双方在办理抵押登记手续时，应使用本公司出具的正式《房地产评估报告》，特提醒报告使用者注意。","——")</f>
        <v>——</v>
      </c>
      <c r="B13" s="3362"/>
      <c r="C13" s="3362"/>
      <c r="D13" s="3362"/>
    </row>
    <row r="14" spans="1:4" ht="15.75" customHeight="1">
      <c r="A14" s="3361" t="str">
        <f>IF(项目基本情况!B8="抵押","4.本次评估估价师所知悉的法定优先受偿款情况说明如下：","——")</f>
        <v>——</v>
      </c>
      <c r="B14" s="3362"/>
      <c r="C14" s="3362"/>
      <c r="D14" s="3362"/>
    </row>
    <row r="15" spans="1:4" ht="42" customHeight="1">
      <c r="A15" s="3361" t="str">
        <f>IF(项目基本情况!B8="抵押","（1）"&amp;CONCATENATE(项目基本情况!L20,项目基本情况!L21,项目基本情况!L22),"——")</f>
        <v>——</v>
      </c>
      <c r="B15" s="3361"/>
      <c r="C15" s="3361"/>
      <c r="D15" s="3361"/>
    </row>
    <row r="16" spans="1:4" ht="30" customHeight="1">
      <c r="A16" s="3364" t="s">
        <v>1184</v>
      </c>
      <c r="B16" s="3364"/>
      <c r="C16" s="3364"/>
      <c r="D16" s="3364"/>
    </row>
    <row r="17" spans="1:4" ht="144" customHeight="1">
      <c r="A17" s="3364" t="s">
        <v>1185</v>
      </c>
      <c r="B17" s="3364"/>
      <c r="C17" s="3364"/>
      <c r="D17" s="3364"/>
    </row>
    <row r="18" spans="1:4" ht="15.75" customHeight="1">
      <c r="A18" s="3361" t="str">
        <f>IF(项目基本情况!B8="抵押",结果表!K120,"——")</f>
        <v>——</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7.399999999999999">
      <c r="A25" s="1457" t="s">
        <v>1187</v>
      </c>
    </row>
    <row r="26" spans="1:4" ht="17.399999999999999">
      <c r="A26" s="1426"/>
    </row>
    <row r="27" spans="1:4" ht="17.399999999999999">
      <c r="A27" s="1426" t="s">
        <v>1188</v>
      </c>
    </row>
    <row r="30" spans="1:4" ht="17.399999999999999">
      <c r="D30" s="1457" t="s">
        <v>1189</v>
      </c>
    </row>
    <row r="31" spans="1:4" ht="13.5" customHeight="1">
      <c r="C31" s="3363">
        <v>42551</v>
      </c>
      <c r="D31" s="33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414" customWidth="1"/>
    <col min="3" max="10" width="12.44140625" style="1414" customWidth="1"/>
    <col min="11" max="16384" width="9" style="1414"/>
  </cols>
  <sheetData>
    <row r="1" spans="1:10" ht="17.399999999999999">
      <c r="A1" s="1447" t="s">
        <v>624</v>
      </c>
      <c r="B1" s="1458"/>
      <c r="C1" s="1458"/>
      <c r="D1" s="1458"/>
      <c r="E1" s="1458"/>
      <c r="F1" s="1458"/>
      <c r="G1" s="1458"/>
      <c r="H1" s="1458"/>
      <c r="I1" s="1458"/>
      <c r="J1" s="1458"/>
    </row>
    <row r="2" spans="1:10" ht="17.399999999999999">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64" customWidth="1"/>
    <col min="2" max="16384" width="14.44140625" style="1446"/>
  </cols>
  <sheetData>
    <row r="1" spans="1:7" s="1461" customFormat="1" ht="17.399999999999999">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4.4">
      <c r="A15" s="3372" t="s">
        <v>1197</v>
      </c>
      <c r="B15" s="3367" t="s">
        <v>136</v>
      </c>
      <c r="C15" s="3368"/>
    </row>
    <row r="16" spans="1:7" ht="14.4">
      <c r="A16" s="3373"/>
      <c r="B16" s="3367" t="s">
        <v>69</v>
      </c>
      <c r="C16" s="3368"/>
    </row>
    <row r="17" spans="1:3" ht="14.4">
      <c r="A17" s="3373"/>
      <c r="B17" s="3370" t="s">
        <v>1198</v>
      </c>
      <c r="C17" s="1471" t="s">
        <v>1197</v>
      </c>
    </row>
    <row r="18" spans="1:3" ht="14.4">
      <c r="A18" s="3373"/>
      <c r="B18" s="3370"/>
      <c r="C18" s="1471" t="s">
        <v>1199</v>
      </c>
    </row>
    <row r="19" spans="1:3" ht="14.4">
      <c r="A19" s="3373"/>
      <c r="B19" s="3370"/>
      <c r="C19" s="1471" t="s">
        <v>1200</v>
      </c>
    </row>
    <row r="20" spans="1:3" ht="14.4">
      <c r="A20" s="3374"/>
      <c r="B20" s="3369" t="s">
        <v>1201</v>
      </c>
      <c r="C20" s="3368"/>
    </row>
    <row r="21" spans="1:3" ht="14.4">
      <c r="A21" s="1472" t="s">
        <v>1202</v>
      </c>
      <c r="B21" s="1473"/>
      <c r="C21" s="1474"/>
    </row>
    <row r="22" spans="1:3" ht="14.4">
      <c r="A22" s="3371" t="s">
        <v>1203</v>
      </c>
      <c r="B22" s="3369" t="s">
        <v>1204</v>
      </c>
      <c r="C22" s="3368"/>
    </row>
    <row r="23" spans="1:3" ht="14.4">
      <c r="A23" s="3371"/>
      <c r="B23" s="3369" t="s">
        <v>1205</v>
      </c>
      <c r="C23" s="3368"/>
    </row>
    <row r="24" spans="1:3" ht="14.4">
      <c r="A24" s="3371"/>
      <c r="B24" s="3369" t="s">
        <v>1206</v>
      </c>
      <c r="C24" s="3368"/>
    </row>
    <row r="25" spans="1:3" ht="14.4">
      <c r="A25" s="3371"/>
      <c r="B25" s="3370" t="s">
        <v>1207</v>
      </c>
      <c r="C25" s="1471" t="s">
        <v>1208</v>
      </c>
    </row>
    <row r="26" spans="1:3" ht="14.4">
      <c r="A26" s="3371"/>
      <c r="B26" s="3370"/>
      <c r="C26" s="1471" t="s">
        <v>1209</v>
      </c>
    </row>
    <row r="27" spans="1:3" ht="14.4">
      <c r="A27" s="3371"/>
      <c r="B27" s="3370"/>
      <c r="C27" s="1471" t="s">
        <v>1210</v>
      </c>
    </row>
    <row r="28" spans="1:3" ht="14.4">
      <c r="A28" s="3371"/>
      <c r="B28" s="3370"/>
      <c r="C28" s="1471" t="s">
        <v>1211</v>
      </c>
    </row>
    <row r="29" spans="1:3" ht="14.4">
      <c r="A29" s="3371"/>
      <c r="B29" s="3370"/>
      <c r="C29" s="1471" t="s">
        <v>1212</v>
      </c>
    </row>
    <row r="30" spans="1:3" ht="14.4">
      <c r="A30" s="3371"/>
      <c r="B30" s="3370"/>
      <c r="C30" s="1471" t="s">
        <v>1213</v>
      </c>
    </row>
    <row r="31" spans="1:3" ht="14.4">
      <c r="A31" s="3371"/>
      <c r="B31" s="3370"/>
      <c r="C31" s="1471" t="s">
        <v>1214</v>
      </c>
    </row>
    <row r="32" spans="1:3" ht="14.4">
      <c r="A32" s="3371"/>
      <c r="B32" s="3370"/>
      <c r="C32" s="1471" t="s">
        <v>1215</v>
      </c>
    </row>
    <row r="33" spans="1:3" ht="14.4">
      <c r="A33" s="3371"/>
      <c r="B33" s="3370"/>
      <c r="C33" s="1471" t="s">
        <v>1216</v>
      </c>
    </row>
    <row r="34" spans="1:3">
      <c r="A34" s="1475" t="s">
        <v>76</v>
      </c>
    </row>
    <row r="37" spans="1:3">
      <c r="A37" s="1475" t="s">
        <v>1217</v>
      </c>
    </row>
    <row r="38" spans="1:3" ht="14.4">
      <c r="A38" s="1476" t="s">
        <v>77</v>
      </c>
    </row>
    <row r="39" spans="1:3" ht="14.4">
      <c r="A39" s="1476" t="s">
        <v>78</v>
      </c>
    </row>
    <row r="40" spans="1:3" ht="14.4">
      <c r="A40" s="1476" t="s">
        <v>79</v>
      </c>
    </row>
    <row r="41" spans="1:3" ht="14.4">
      <c r="A41" s="1477" t="s">
        <v>80</v>
      </c>
    </row>
    <row r="42" spans="1:3" ht="14.4">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013" customWidth="1"/>
    <col min="2" max="2" width="38.6640625" style="2013" customWidth="1"/>
    <col min="3" max="3" width="26" style="2013" customWidth="1"/>
    <col min="4" max="4" width="35" style="2013" hidden="1" customWidth="1"/>
    <col min="5" max="5" width="30.109375" style="2013" customWidth="1"/>
    <col min="6" max="6" width="35.44140625" style="2013" customWidth="1"/>
    <col min="7" max="7" width="31" style="2013" customWidth="1"/>
    <col min="8" max="8" width="37.44140625" style="2013" hidden="1" customWidth="1"/>
    <col min="9" max="16384" width="22.6640625" style="2013"/>
  </cols>
  <sheetData>
    <row r="1" spans="1:8" ht="24" customHeight="1">
      <c r="A1" s="2012"/>
      <c r="B1" s="2012"/>
      <c r="C1" s="2012"/>
      <c r="D1" s="2012"/>
      <c r="E1" s="2012"/>
      <c r="F1" s="2012"/>
      <c r="G1" s="2012"/>
      <c r="H1" s="2012"/>
    </row>
    <row r="2" spans="1:8" ht="24" customHeight="1">
      <c r="A2" s="2014" t="s">
        <v>2422</v>
      </c>
      <c r="B2" s="2015">
        <f ca="1">TODAY()</f>
        <v>44697</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2022-03-25T05:42:40Z</cp:lastPrinted>
  <dcterms:created xsi:type="dcterms:W3CDTF">2015-07-13T07:17:23Z</dcterms:created>
  <dcterms:modified xsi:type="dcterms:W3CDTF">2022-05-16T07:01:10Z</dcterms:modified>
</cp:coreProperties>
</file>