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报规文件" sheetId="86" r:id="rId13"/>
    <sheet name="6-分层分栋面积统计表（一期）" sheetId="72" state="hidden" r:id="rId14"/>
    <sheet name="8-综合经济技术指标表（一期）" sheetId="73" state="hidden" r:id="rId15"/>
    <sheet name="6-分层分栋面积统计表（二期）" sheetId="84" state="hidden" r:id="rId16"/>
    <sheet name="8-综合经济技术指标表（二期）" sheetId="85" state="hidden" r:id="rId17"/>
    <sheet name="用地规证及出让合同" sheetId="83" r:id="rId18"/>
    <sheet name="数据-汇总表" sheetId="6" r:id="rId19"/>
    <sheet name="数据-取费表" sheetId="1" r:id="rId20"/>
    <sheet name="总投测算" sheetId="75" r:id="rId21"/>
    <sheet name="估价对象房地状况" sheetId="20" r:id="rId22"/>
    <sheet name="系统读取表" sheetId="66" r:id="rId23"/>
    <sheet name="结果表" sheetId="9" r:id="rId24"/>
    <sheet name="比较法-住宅、综合（楼面价）" sheetId="87" r:id="rId25"/>
    <sheet name="比较法-住宅用途（地面价）" sheetId="39" r:id="rId26"/>
    <sheet name="比较法-商业用途（地面价）" sheetId="80" r:id="rId27"/>
    <sheet name="住宅用地案例" sheetId="69" r:id="rId28"/>
    <sheet name="商业用地案例" sheetId="70" r:id="rId29"/>
    <sheet name="案例位置" sheetId="81" r:id="rId30"/>
    <sheet name="Sheet1" sheetId="68" r:id="rId31"/>
    <sheet name="剩余法-待开发" sheetId="12" r:id="rId32"/>
    <sheet name="剩余法-现房" sheetId="43" state="hidden" r:id="rId33"/>
    <sheet name="比较法-工业" sheetId="40" state="hidden" r:id="rId34"/>
    <sheet name="基准地价" sheetId="46" state="hidden" r:id="rId35"/>
    <sheet name="修正" sheetId="49" state="hidden" r:id="rId36"/>
    <sheet name="区片价" sheetId="48" state="hidden" r:id="rId37"/>
    <sheet name="容积率修正" sheetId="45" state="hidden" r:id="rId38"/>
    <sheet name="因素修正幅度" sheetId="56" state="hidden" r:id="rId39"/>
    <sheet name="基准地价（汇总）" sheetId="67" state="hidden" r:id="rId40"/>
    <sheet name="收益还原法" sheetId="44" state="hidden" r:id="rId41"/>
    <sheet name="地价" sheetId="59" state="hidden" r:id="rId42"/>
    <sheet name="不动产收益法（酒店）" sheetId="78" r:id="rId43"/>
    <sheet name="不动产收益法（公寓）" sheetId="15" r:id="rId44"/>
    <sheet name="酒店收入计算" sheetId="57" state="hidden" r:id="rId45"/>
    <sheet name="成本逼近法" sheetId="11" state="hidden" r:id="rId46"/>
    <sheet name="不动产收益法（配套商业）" sheetId="79" r:id="rId47"/>
    <sheet name="不动产收益法（地下车位）" sheetId="82" r:id="rId48"/>
    <sheet name="不动产比较法-住宅（洋房）" sheetId="21" r:id="rId49"/>
    <sheet name="不动产比较法-商业" sheetId="33"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state="hidden" r:id="rId56"/>
    <sheet name="不动产比较法-住宅 (联排)" sheetId="76" r:id="rId57"/>
  </sheets>
  <externalReferences>
    <externalReference r:id="rId58"/>
    <externalReference r:id="rId59"/>
    <externalReference r:id="rId60"/>
  </externalReferences>
  <definedNames>
    <definedName name="_xlnm._FilterDatabase" localSheetId="33" hidden="1">'比较法-工业'!$A$1:$L$45</definedName>
    <definedName name="_xlnm._FilterDatabase" localSheetId="26" hidden="1">'比较法-商业用途（地面价）'!$A$1:$L$50</definedName>
    <definedName name="_xlnm._FilterDatabase" localSheetId="24" hidden="1">'比较法-住宅、综合（楼面价）'!$A$1:$L$50</definedName>
    <definedName name="_xlnm._FilterDatabase" localSheetId="25" hidden="1">'比较法-住宅用途（地面价）'!$A$1:$L$50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9" hidden="1">'不动产比较法-商业'!$A$1:$L$49</definedName>
    <definedName name="_xlnm._FilterDatabase" localSheetId="56" hidden="1">'不动产比较法-住宅 (联排)'!$A$1:$L$49</definedName>
    <definedName name="_xlnm._FilterDatabase" localSheetId="48" hidden="1">'不动产比较法-住宅（洋房）'!$A$1:$L$49</definedName>
    <definedName name="_xlnm._FilterDatabase" localSheetId="10" hidden="1">'数据-基础表'!$A$12:$AT$572</definedName>
    <definedName name="_xlnm._FilterDatabase" localSheetId="9" hidden="1">项目基本情况!$A$48:$N$48</definedName>
    <definedName name="_xlnm.Print_Area" localSheetId="14">'8-综合经济技术指标表（一期）'!#REF!</definedName>
    <definedName name="八级">区片价!$P$1:$P$40</definedName>
    <definedName name="办公层高" localSheetId="24">'[1]不动产比较法-办公'!$B$119:$M$119</definedName>
    <definedName name="办公层高">'不动产比较法-办公'!$B$119:$M$119</definedName>
    <definedName name="办公朝向" localSheetId="24">'[1]不动产比较法-办公'!$B$91:$M$91</definedName>
    <definedName name="办公朝向">'不动产比较法-办公'!$B$91:$M$91</definedName>
    <definedName name="办公道路级别" localSheetId="24">'[1]不动产比较法-办公'!$B$87:$M$87</definedName>
    <definedName name="办公道路级别">'不动产比较法-办公'!$B$87:$M$87</definedName>
    <definedName name="办公公共部分装修" localSheetId="24">'[1]不动产比较法-办公'!$B$108:$M$108</definedName>
    <definedName name="办公公共部分装修">'不动产比较法-办公'!$B$108:$M$108</definedName>
    <definedName name="办公基础设施水平" localSheetId="24">'[1]不动产比较法-办公'!$B$117:$M$117</definedName>
    <definedName name="办公基础设施水平">'不动产比较法-办公'!$B$117:$M$117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'不动产比较法-办公'!$B$106:$M$106</definedName>
    <definedName name="办公建筑类型" localSheetId="24">'[1]不动产比较法-办公'!$B$101:$M$101</definedName>
    <definedName name="办公建筑类型">'不动产比较法-办公'!$B$101:$M$101</definedName>
    <definedName name="办公交易情况" localSheetId="24">'[1]不动产比较法-办公'!$A$62:$M$62</definedName>
    <definedName name="办公交易情况">'不动产比较法-办公'!$A$62:$M$62</definedName>
    <definedName name="办公楼层" localSheetId="24">'[1]不动产比较法-办公'!$B$89:$M$89</definedName>
    <definedName name="办公楼层">'不动产比较法-办公'!$B$89:$M$89</definedName>
    <definedName name="办公内部装修" localSheetId="24">'[1]不动产比较法-办公'!$B$123:$M$123</definedName>
    <definedName name="办公内部装修">'不动产比较法-办公'!$B$123:$M$123</definedName>
    <definedName name="办公物业管理" localSheetId="24">'[1]不动产比较法-办公'!$B$115:$M$115</definedName>
    <definedName name="办公物业管理">'不动产比较法-办公'!$B$115:$M$115</definedName>
    <definedName name="办公用途" localSheetId="24">'[1]不动产比较法-办公'!$B$64:$M$64</definedName>
    <definedName name="办公用途">'不动产比较法-办公'!$B$64:$M$64</definedName>
    <definedName name="仓储公共部分装修" localSheetId="24">'[1]不动产比较法-仓储'!$B$77:$M$77</definedName>
    <definedName name="仓储公共部分装修">'不动产比较法-仓储'!$B$77:$M$77</definedName>
    <definedName name="仓储交易情况" localSheetId="24">'[1]不动产比较法-仓储'!$A$49:$M$49</definedName>
    <definedName name="仓储交易情况">'不动产比较法-仓储'!$A$49:$M$49</definedName>
    <definedName name="仓储楼层" localSheetId="24">'[1]不动产比较法-仓储'!$B$69:$M$69</definedName>
    <definedName name="仓储楼层">'不动产比较法-仓储'!$B$69:$M$69</definedName>
    <definedName name="仓储物业等级" localSheetId="24">'[1]不动产比较法-仓储'!$B$82:$M$82</definedName>
    <definedName name="仓储物业等级">'不动产比较法-仓储'!$B$82:$M$82</definedName>
    <definedName name="仓储用途" localSheetId="24">'[1]不动产比较法-仓储'!$B$51:$M$51</definedName>
    <definedName name="仓储用途">'不动产比较法-仓储'!$B$51:$M$51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'不动产比较法-车位'!$B$83:$M$83</definedName>
    <definedName name="车位交易情况" localSheetId="24">'[1]不动产比较法-车位'!$A$51:$M$51</definedName>
    <definedName name="车位交易情况">'不动产比较法-车位'!$A$51:$M$51</definedName>
    <definedName name="车位类型" localSheetId="24">'[1]不动产比较法-车位'!$B$93:$M$93</definedName>
    <definedName name="车位类型">'不动产比较法-车位'!$B$93:$M$93</definedName>
    <definedName name="车位楼层" localSheetId="24">'[1]不动产比较法-车位'!$B$71:$M$71</definedName>
    <definedName name="车位楼层">'不动产比较法-车位'!$B$71:$M$71</definedName>
    <definedName name="车位配套类型" localSheetId="24">'[1]不动产比较法-车位'!$B$79:$M$79</definedName>
    <definedName name="车位配套类型">'不动产比较法-车位'!$B$79:$M$79</definedName>
    <definedName name="车位物业等级" localSheetId="24">'[1]不动产比较法-车位'!$B$88:$M$88</definedName>
    <definedName name="车位物业等级">'不动产比较法-车位'!$B$88:$M$88</definedName>
    <definedName name="车位用途" localSheetId="24">'[1]不动产比较法-车位'!$B$53:$M$53</definedName>
    <definedName name="车位用途">'不动产比较法-车位'!$B$53:$M$53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区片价!$J$1:$J$20</definedName>
    <definedName name="二级分类" localSheetId="24">[1]修正!$C$17:$C$39</definedName>
    <definedName name="二级分类">修正!$C$17:$C$39</definedName>
    <definedName name="法定最高年限" localSheetId="24">[1]定义!$G$2:$G$4</definedName>
    <definedName name="法定最高年限">定义!$G$2:$G$4</definedName>
    <definedName name="工业公共部分装修" localSheetId="24">'[1]不动产比较法-工业'!$B$95:$M$95</definedName>
    <definedName name="工业公共部分装修">'不动产比较法-工业'!$B$95:$M$95</definedName>
    <definedName name="工业基础设施水平" localSheetId="24">'[1]不动产比较法-工业'!$B$102:$M$102</definedName>
    <definedName name="工业基础设施水平">'不动产比较法-工业'!$B$102:$M$102</definedName>
    <definedName name="工业建筑结构" localSheetId="24">'[1]不动产比较法-工业'!$B$93:$M$93</definedName>
    <definedName name="工业建筑结构">'不动产比较法-工业'!$B$93:$M$93</definedName>
    <definedName name="工业建筑类型" localSheetId="24">'[1]不动产比较法-工业'!$B$88:$M$88</definedName>
    <definedName name="工业建筑类型">'不动产比较法-工业'!$B$88:$M$88</definedName>
    <definedName name="工业交易情况" localSheetId="24">'[1]不动产比较法-工业'!$A$55:$M$55</definedName>
    <definedName name="工业交易情况">'不动产比较法-工业'!$A$55:$M$55</definedName>
    <definedName name="工业内部装修" localSheetId="24">'[1]不动产比较法-工业'!$B$104:$M$104</definedName>
    <definedName name="工业内部装修">'不动产比较法-工业'!$B$104:$M$104</definedName>
    <definedName name="工业物业管理" localSheetId="24">'[1]不动产比较法-工业'!$B$100:$M$100</definedName>
    <definedName name="工业物业管理">'不动产比较法-工业'!$B$100:$M$100</definedName>
    <definedName name="工业用途" localSheetId="24">'[1]不动产比较法-工业'!$B$57:$M$57</definedName>
    <definedName name="工业用途">'不动产比较法-工业'!$B$57:$M$57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基准地价!$N$19:$AG$19</definedName>
    <definedName name="季度2014">地价!$A$2:$A$22</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区片价!$Q$1:$Q$46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区片价!$N$1:$N$49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区片价!$O$1:$O$49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区片价!$K$1:$K$21</definedName>
    <definedName name="商业层高" localSheetId="24">'[1]不动产比较法-商业'!$B$116:$M$116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'不动产比较法-商业'!$B$107:$M$107</definedName>
    <definedName name="商业基础设施水平" localSheetId="24">'[1]不动产比较法-商业'!$B$112:$M$112</definedName>
    <definedName name="商业基础设施水平">'不动产比较法-商业'!$B$112:$M$112</definedName>
    <definedName name="商业建筑结构" localSheetId="24">'[1]不动产比较法-商业'!$B$105:$M$105</definedName>
    <definedName name="商业建筑结构">'不动产比较法-商业'!$B$105:$M$105</definedName>
    <definedName name="商业交易情况" localSheetId="24">'[1]不动产比较法-商业'!$A$61:$M$61</definedName>
    <definedName name="商业交易情况">'不动产比较法-商业'!$A$61:$M$61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'不动产比较法-商业'!$B$120:$M$120</definedName>
    <definedName name="商业类型" localSheetId="24">'[1]不动产比较法-商业'!$B$100:$M$100</definedName>
    <definedName name="商业类型">'不动产比较法-商业'!$B$100:$M$100</definedName>
    <definedName name="商业临街状况" localSheetId="24">'[1]不动产比较法-商业'!$B$86:$M$86</definedName>
    <definedName name="商业临街状况">'不动产比较法-商业'!$B$86:$M$86</definedName>
    <definedName name="商业楼层" localSheetId="24">'[1]不动产比较法-商业'!$B$92:$M$92</definedName>
    <definedName name="商业楼层">'不动产比较法-商业'!$B$92:$M$92</definedName>
    <definedName name="商业内部装修" localSheetId="24">'[1]不动产比较法-商业'!$B$122:$M$122</definedName>
    <definedName name="商业内部装修">'不动产比较法-商业'!$B$122:$M$122</definedName>
    <definedName name="商业人流量" localSheetId="24">'[1]不动产比较法-商业'!$B$90:$M$90</definedName>
    <definedName name="商业人流量">'不动产比较法-商业'!$B$90:$M$90</definedName>
    <definedName name="商业业态" localSheetId="24">'[1]不动产比较法-商业'!$B$114:$M$114</definedName>
    <definedName name="商业业态">'不动产比较法-商业'!$B$114:$M$114</definedName>
    <definedName name="商业用途" localSheetId="2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4">'[1]不动产比较法-仓储'!$B$89:$M$89</definedName>
    <definedName name="是否封闭">'不动产比较法-仓储'!$B$89:$M$89</definedName>
    <definedName name="是否直接入户" localSheetId="24">'[1]不动产比较法-车位'!$B$95:$M$95</definedName>
    <definedName name="是否直接入户">'不动产比较法-车位'!$B$95:$M$95</definedName>
    <definedName name="四级">区片价!$L$1:$L$28</definedName>
    <definedName name="套工工程地质条件" localSheetId="24">'[1]比较法-工业'!$B$116:$M$116</definedName>
    <definedName name="套工工程地质条件">'比较法-工业'!$B$116:$M$116</definedName>
    <definedName name="套工交易情况" localSheetId="26">'比较法-商业用途（地面价）'!$A$75:$M$75</definedName>
    <definedName name="套工交易情况" localSheetId="24">'比较法-住宅、综合（楼面价）'!$A$75:$M$75</definedName>
    <definedName name="套工交易情况">'比较法-住宅用途（地面价）'!$A$75:$M$75</definedName>
    <definedName name="套工开发程度" localSheetId="24">'[1]比较法-工业'!$B$114:$M$114</definedName>
    <definedName name="套工开发程度">'比较法-工业'!$B$114:$M$114</definedName>
    <definedName name="套工临街等级" localSheetId="24">'[1]比较法-工业'!$B$99:$M$99</definedName>
    <definedName name="套工临街等级">'比较法-工业'!$B$99:$M$99</definedName>
    <definedName name="套工土地级别" localSheetId="24">'[1]比较法-工业'!$B$101:$M$101</definedName>
    <definedName name="套工土地级别">'比较法-工业'!$B$101:$M$101</definedName>
    <definedName name="套工用途" localSheetId="24">'[1]比较法-工业'!$B$72:$M$72</definedName>
    <definedName name="套工用途">'比较法-工业'!$B$72:$M$72</definedName>
    <definedName name="套工宗地形状" localSheetId="24">'[1]比较法-工业'!$B$112:$M$112</definedName>
    <definedName name="套工宗地形状">'比较法-工业'!$B$112:$M$112</definedName>
    <definedName name="套综道路等级" localSheetId="26">'比较法-商业用途（地面价）'!$B$108:$M$108</definedName>
    <definedName name="套综道路等级" localSheetId="24">'比较法-住宅、综合（楼面价）'!$B$108:$M$108</definedName>
    <definedName name="套综道路等级">'比较法-住宅用途（地面价）'!$B$108:$M$108</definedName>
    <definedName name="套综工程地质条件" localSheetId="26">'比较法-商业用途（地面价）'!$B$127:$M$127</definedName>
    <definedName name="套综工程地质条件" localSheetId="24">'比较法-住宅、综合（楼面价）'!$B$127:$M$127</definedName>
    <definedName name="套综工程地质条件">'比较法-住宅用途（地面价）'!$B$127:$M$127</definedName>
    <definedName name="套综交易情况" localSheetId="26">'比较法-商业用途（地面价）'!$A$75:$M$75</definedName>
    <definedName name="套综交易情况" localSheetId="24">'比较法-住宅、综合（楼面价）'!$A$75:$M$75</definedName>
    <definedName name="套综交易情况">'比较法-住宅用途（地面价）'!$A$75:$M$75</definedName>
    <definedName name="套综临街宽度及深度" localSheetId="26">'比较法-商业用途（地面价）'!$B$123:$M$123</definedName>
    <definedName name="套综临街宽度及深度" localSheetId="24">'比较法-住宅、综合（楼面价）'!$B$123:$M$123</definedName>
    <definedName name="套综临街宽度及深度">'比较法-住宅用途（地面价）'!$B$123:$M$123</definedName>
    <definedName name="套综土地级别" localSheetId="26">'比较法-商业用途（地面价）'!$B$110:$M$110</definedName>
    <definedName name="套综土地级别" localSheetId="24">'比较法-住宅、综合（楼面价）'!$B$110:$M$110</definedName>
    <definedName name="套综土地级别">'比较法-住宅用途（地面价）'!$B$110:$M$110</definedName>
    <definedName name="套综用途" localSheetId="26">'比较法-商业用途（地面价）'!$B$77:$M$77</definedName>
    <definedName name="套综用途" localSheetId="24">'比较法-住宅、综合（楼面价）'!$B$77:$M$77</definedName>
    <definedName name="套综用途">'比较法-住宅用途（地面价）'!$B$77:$M$77</definedName>
    <definedName name="套综宗地内开发程度" localSheetId="26">'比较法-商业用途（地面价）'!$B$125:$M$125</definedName>
    <definedName name="套综宗地内开发程度" localSheetId="24">'比较法-住宅、综合（楼面价）'!$B$125:$M$125</definedName>
    <definedName name="套综宗地内开发程度">'比较法-住宅用途（地面价）'!$B$125:$M$125</definedName>
    <definedName name="套综宗地形状" localSheetId="26">'比较法-商业用途（地面价）'!$B$121:$M$121</definedName>
    <definedName name="套综宗地形状" localSheetId="24">'比较法-住宅、综合（楼面价）'!$B$121:$M$121</definedName>
    <definedName name="套综宗地形状">'比较法-住宅用途（地面价）'!$B$121:$M$121</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区片价!$M$1:$M$35</definedName>
    <definedName name="项目类型" localSheetId="24">'[1]数据-汇总表'!$C$17:$C$26</definedName>
    <definedName name="项目类型">'数据-汇总表'!$C$17:$C$26</definedName>
    <definedName name="写字楼等级" localSheetId="24">'[1]不动产比较法-办公'!$B$113:$M$113</definedName>
    <definedName name="写字楼等级">'不动产比较法-办公'!$B$113:$M$113</definedName>
    <definedName name="一级">区片价!$I$1:$I$6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 localSheetId="24">[1]定义!$A$1:$A$50</definedName>
    <definedName name="用途类型">定义!$A$1:$A$50</definedName>
    <definedName name="有无电梯" localSheetId="24">'[1]不动产比较法-仓储'!$B$84:$M$84</definedName>
    <definedName name="有无电梯">'不动产比较法-仓储'!$B$84:$M$84</definedName>
    <definedName name="主用途" localSheetId="24">[1]定义!$F$1:$F$10</definedName>
    <definedName name="主用途">定义!$F$1:$F$10</definedName>
    <definedName name="住宅朝向" localSheetId="24">'[1]不动产比较法-住宅（洋房）'!$B$88:$M$88</definedName>
    <definedName name="住宅朝向" localSheetId="56">'不动产比较法-住宅 (联排)'!$B$88:$M$88</definedName>
    <definedName name="住宅朝向">'不动产比较法-住宅（洋房）'!$B$88:$M$88</definedName>
    <definedName name="住宅房型" localSheetId="24">'[1]不动产比较法-住宅（洋房）'!$B$118:$M$118</definedName>
    <definedName name="住宅房型" localSheetId="56">'不动产比较法-住宅 (联排)'!$B$118:$M$118</definedName>
    <definedName name="住宅房型">'不动产比较法-住宅（洋房）'!$B$118:$M$118</definedName>
    <definedName name="住宅公共部分装修" localSheetId="24">'[1]不动产比较法-住宅（洋房）'!$B$109:$M$109</definedName>
    <definedName name="住宅公共部分装修" localSheetId="56">'不动产比较法-住宅 (联排)'!$B$109:$M$109</definedName>
    <definedName name="住宅公共部分装修">'不动产比较法-住宅（洋房）'!$B$109:$M$109</definedName>
    <definedName name="住宅基础设施水平" localSheetId="24">'[1]不动产比较法-住宅（洋房）'!$B$116:$M$116</definedName>
    <definedName name="住宅基础设施水平" localSheetId="56">'不动产比较法-住宅 (联排)'!$B$116:$M$116</definedName>
    <definedName name="住宅基础设施水平">'不动产比较法-住宅（洋房）'!$B$116:$M$116</definedName>
    <definedName name="住宅建筑结构" localSheetId="24">'[1]不动产比较法-住宅（洋房）'!$B$105:$M$105</definedName>
    <definedName name="住宅建筑结构" localSheetId="56">'不动产比较法-住宅 (联排)'!$B$105:$M$105</definedName>
    <definedName name="住宅建筑结构">'不动产比较法-住宅（洋房）'!$B$105:$M$105</definedName>
    <definedName name="住宅建筑类型" localSheetId="24">'[1]不动产比较法-住宅（洋房）'!$B$100:$M$100</definedName>
    <definedName name="住宅建筑类型" localSheetId="56">'不动产比较法-住宅 (联排)'!$B$100:$M$100</definedName>
    <definedName name="住宅建筑类型">'不动产比较法-住宅（洋房）'!$B$100:$M$100</definedName>
    <definedName name="住宅建筑品质" localSheetId="24">'[1]不动产比较法-住宅（洋房）'!$B$107:$M$107</definedName>
    <definedName name="住宅建筑品质" localSheetId="56">'不动产比较法-住宅 (联排)'!$B$107:$M$107</definedName>
    <definedName name="住宅建筑品质">'不动产比较法-住宅（洋房）'!$B$107:$M$107</definedName>
    <definedName name="住宅交易情况" localSheetId="24">'[1]不动产比较法-住宅（洋房）'!$A$61:$M$61</definedName>
    <definedName name="住宅交易情况" localSheetId="56">'不动产比较法-住宅 (联排)'!$A$61:$M$61</definedName>
    <definedName name="住宅交易情况">'不动产比较法-住宅（洋房）'!$A$61:$M$61</definedName>
    <definedName name="住宅楼层" localSheetId="24">'[1]不动产比较法-住宅（洋房）'!$B$86:$M$86</definedName>
    <definedName name="住宅楼层" localSheetId="56">'不动产比较法-住宅 (联排)'!$B$86:$M$86</definedName>
    <definedName name="住宅楼层">'不动产比较法-住宅（洋房）'!$B$86:$M$86</definedName>
    <definedName name="住宅内部装修" localSheetId="24">'[1]不动产比较法-住宅（洋房）'!$B$122:$M$122</definedName>
    <definedName name="住宅内部装修" localSheetId="56">'不动产比较法-住宅 (联排)'!$B$122:$M$122</definedName>
    <definedName name="住宅内部装修">'不动产比较法-住宅（洋房）'!$B$122:$M$122</definedName>
    <definedName name="住宅物业管理" localSheetId="24">'[1]不动产比较法-住宅（洋房）'!$B$114:$M$114</definedName>
    <definedName name="住宅物业管理" localSheetId="56">'不动产比较法-住宅 (联排)'!$B$114:$M$114</definedName>
    <definedName name="住宅物业管理">'不动产比较法-住宅（洋房）'!$B$114:$M$114</definedName>
    <definedName name="住宅用途" localSheetId="24">'[1]不动产比较法-住宅（洋房）'!$B$63:$M$63</definedName>
    <definedName name="住宅用途" localSheetId="56">'不动产比较法-住宅 (联排)'!$B$63:$M$63</definedName>
    <definedName name="住宅用途">'不动产比较法-住宅（洋房）'!$B$63:$M$63</definedName>
    <definedName name="住宅主力户型面积" localSheetId="56">'不动产比较法-住宅 (联排)'!$B$120:$M$120</definedName>
    <definedName name="住宅主力户型面积">'不动产比较法-住宅（洋房）'!$B$120:$M$120</definedName>
    <definedName name="注册房地产估价师">估价师及机构信息!$A$3:$A$24</definedName>
  </definedNames>
  <calcPr calcId="145621"/>
</workbook>
</file>

<file path=xl/calcChain.xml><?xml version="1.0" encoding="utf-8"?>
<calcChain xmlns="http://schemas.openxmlformats.org/spreadsheetml/2006/main">
  <c r="I47" i="76" l="1"/>
  <c r="G47" i="76"/>
  <c r="E47" i="76"/>
  <c r="E77" i="87"/>
  <c r="D77" i="87"/>
  <c r="C40" i="87"/>
  <c r="I40" i="87"/>
  <c r="G40" i="87"/>
  <c r="E40" i="87"/>
  <c r="J12" i="87"/>
  <c r="H12" i="87"/>
  <c r="F12" i="87"/>
  <c r="I9" i="87" l="1"/>
  <c r="G9" i="87"/>
  <c r="E9" i="87"/>
  <c r="I8" i="87"/>
  <c r="G8" i="87"/>
  <c r="E8" i="87"/>
  <c r="I7" i="87"/>
  <c r="G7" i="87"/>
  <c r="E7" i="87"/>
  <c r="B133" i="87"/>
  <c r="B131" i="87"/>
  <c r="B129" i="87"/>
  <c r="D128" i="87"/>
  <c r="E128" i="87" s="1"/>
  <c r="F128" i="87" s="1"/>
  <c r="G128" i="87" s="1"/>
  <c r="H128" i="87" s="1"/>
  <c r="I128" i="87" s="1"/>
  <c r="J128" i="87" s="1"/>
  <c r="K128" i="87" s="1"/>
  <c r="L128" i="87" s="1"/>
  <c r="M128" i="87" s="1"/>
  <c r="D126" i="87"/>
  <c r="E126" i="87" s="1"/>
  <c r="F126" i="87" s="1"/>
  <c r="G126" i="87" s="1"/>
  <c r="H126" i="87" s="1"/>
  <c r="I126" i="87" s="1"/>
  <c r="J126" i="87" s="1"/>
  <c r="K126" i="87" s="1"/>
  <c r="L126" i="87" s="1"/>
  <c r="M126" i="87" s="1"/>
  <c r="D124" i="87"/>
  <c r="E124" i="87" s="1"/>
  <c r="F124" i="87" s="1"/>
  <c r="G124" i="87" s="1"/>
  <c r="H124" i="87" s="1"/>
  <c r="I124" i="87" s="1"/>
  <c r="J124" i="87" s="1"/>
  <c r="K124" i="87" s="1"/>
  <c r="L124" i="87" s="1"/>
  <c r="M124" i="87" s="1"/>
  <c r="D122" i="87"/>
  <c r="E122" i="87" s="1"/>
  <c r="F122" i="87" s="1"/>
  <c r="G122" i="87" s="1"/>
  <c r="H122" i="87" s="1"/>
  <c r="I122" i="87" s="1"/>
  <c r="J122" i="87" s="1"/>
  <c r="K122" i="87" s="1"/>
  <c r="L122" i="87" s="1"/>
  <c r="M122" i="87" s="1"/>
  <c r="M118" i="87"/>
  <c r="L118" i="87"/>
  <c r="K118" i="87"/>
  <c r="J118" i="87"/>
  <c r="I118" i="87"/>
  <c r="H118" i="87"/>
  <c r="G118" i="87"/>
  <c r="F118" i="87"/>
  <c r="E118" i="87"/>
  <c r="D118" i="87"/>
  <c r="C118" i="87"/>
  <c r="B116" i="87"/>
  <c r="B114" i="87"/>
  <c r="B112" i="87"/>
  <c r="D111" i="87"/>
  <c r="E111" i="87" s="1"/>
  <c r="F111" i="87" s="1"/>
  <c r="G111" i="87" s="1"/>
  <c r="H111" i="87" s="1"/>
  <c r="I111" i="87" s="1"/>
  <c r="J111" i="87" s="1"/>
  <c r="K111" i="87" s="1"/>
  <c r="L111" i="87" s="1"/>
  <c r="M111" i="87" s="1"/>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B106" i="87"/>
  <c r="E105" i="87"/>
  <c r="F105" i="87" s="1"/>
  <c r="G105" i="87" s="1"/>
  <c r="D105" i="87"/>
  <c r="E103" i="87"/>
  <c r="F103" i="87" s="1"/>
  <c r="G103" i="87" s="1"/>
  <c r="D103" i="87"/>
  <c r="E101" i="87"/>
  <c r="F101" i="87" s="1"/>
  <c r="G101" i="87" s="1"/>
  <c r="D101" i="87"/>
  <c r="E99" i="87"/>
  <c r="F99" i="87" s="1"/>
  <c r="G99" i="87" s="1"/>
  <c r="D99" i="87"/>
  <c r="E97" i="87"/>
  <c r="F97" i="87" s="1"/>
  <c r="G97" i="87" s="1"/>
  <c r="D97" i="87"/>
  <c r="E95" i="87"/>
  <c r="F95" i="87" s="1"/>
  <c r="G95" i="87" s="1"/>
  <c r="D95" i="87"/>
  <c r="E93" i="87"/>
  <c r="F93" i="87" s="1"/>
  <c r="G93" i="87" s="1"/>
  <c r="D93" i="87"/>
  <c r="E91" i="87"/>
  <c r="F91" i="87" s="1"/>
  <c r="G91" i="87" s="1"/>
  <c r="D91" i="87"/>
  <c r="B88" i="87"/>
  <c r="B86" i="87"/>
  <c r="B84" i="87"/>
  <c r="D83" i="87"/>
  <c r="E83" i="87" s="1"/>
  <c r="F83" i="87" s="1"/>
  <c r="G83" i="87" s="1"/>
  <c r="H83" i="87" s="1"/>
  <c r="I83" i="87" s="1"/>
  <c r="J83" i="87" s="1"/>
  <c r="K83" i="87" s="1"/>
  <c r="L83" i="87" s="1"/>
  <c r="M83" i="87" s="1"/>
  <c r="M81" i="87"/>
  <c r="L81" i="87"/>
  <c r="K81" i="87"/>
  <c r="J81" i="87"/>
  <c r="I81" i="87"/>
  <c r="H81" i="87"/>
  <c r="G81" i="87"/>
  <c r="F81" i="87"/>
  <c r="E81" i="87"/>
  <c r="D81" i="87"/>
  <c r="C81" i="87"/>
  <c r="D73" i="87"/>
  <c r="E73" i="87" s="1"/>
  <c r="F73" i="87" s="1"/>
  <c r="G73" i="87" s="1"/>
  <c r="H73" i="87" s="1"/>
  <c r="I73" i="87" s="1"/>
  <c r="J73" i="87" s="1"/>
  <c r="K73" i="87" s="1"/>
  <c r="L73" i="87" s="1"/>
  <c r="M73" i="87" s="1"/>
  <c r="N73" i="87" s="1"/>
  <c r="B73" i="87"/>
  <c r="H67" i="87"/>
  <c r="I67" i="87" s="1"/>
  <c r="C67" i="87" s="1"/>
  <c r="E67" i="87"/>
  <c r="H66" i="87"/>
  <c r="I66" i="87" s="1"/>
  <c r="C66" i="87" s="1"/>
  <c r="E66" i="87"/>
  <c r="H65" i="87"/>
  <c r="I65" i="87" s="1"/>
  <c r="C65" i="87" s="1"/>
  <c r="E65" i="87"/>
  <c r="H64" i="87"/>
  <c r="I64" i="87" s="1"/>
  <c r="C64" i="87" s="1"/>
  <c r="E64" i="87"/>
  <c r="H63" i="87"/>
  <c r="I63" i="87" s="1"/>
  <c r="C63" i="87" s="1"/>
  <c r="E63" i="87"/>
  <c r="H62" i="87"/>
  <c r="I62" i="87" s="1"/>
  <c r="C62" i="87"/>
  <c r="I61" i="87"/>
  <c r="C61" i="87" s="1"/>
  <c r="H61" i="87"/>
  <c r="I60" i="87"/>
  <c r="C60" i="87" s="1"/>
  <c r="H60" i="87"/>
  <c r="H59" i="87"/>
  <c r="I59" i="87" s="1"/>
  <c r="C59" i="87" s="1"/>
  <c r="E58" i="87"/>
  <c r="E68" i="87" s="1"/>
  <c r="J57" i="87"/>
  <c r="P50" i="87"/>
  <c r="P49" i="87"/>
  <c r="P48" i="87"/>
  <c r="I48" i="87"/>
  <c r="I55" i="87" s="1"/>
  <c r="J55" i="87" s="1"/>
  <c r="G48" i="87"/>
  <c r="T48" i="87" s="1"/>
  <c r="E48" i="87"/>
  <c r="E55" i="87" s="1"/>
  <c r="F55" i="87" s="1"/>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H40" i="87"/>
  <c r="F40" i="87"/>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J36" i="87"/>
  <c r="AC36" i="87" s="1"/>
  <c r="H36" i="87"/>
  <c r="AB36" i="87" s="1"/>
  <c r="F36" i="87"/>
  <c r="AA36" i="87" s="1"/>
  <c r="Q34" i="87"/>
  <c r="Z34" i="87" s="1"/>
  <c r="J34" i="87"/>
  <c r="AC34" i="87" s="1"/>
  <c r="H34" i="87"/>
  <c r="AB34" i="87" s="1"/>
  <c r="F34" i="87"/>
  <c r="AA34" i="87" s="1"/>
  <c r="Q33" i="87"/>
  <c r="Z33" i="87" s="1"/>
  <c r="J33" i="87"/>
  <c r="AC33" i="87" s="1"/>
  <c r="H33" i="87"/>
  <c r="AB33" i="87" s="1"/>
  <c r="F33" i="87"/>
  <c r="AA33" i="87" s="1"/>
  <c r="Q31" i="87"/>
  <c r="Z31" i="87" s="1"/>
  <c r="J31" i="87"/>
  <c r="AC31" i="87" s="1"/>
  <c r="H31" i="87"/>
  <c r="AB31" i="87" s="1"/>
  <c r="F31" i="87"/>
  <c r="AA31" i="87" s="1"/>
  <c r="C31" i="87"/>
  <c r="Q29" i="87"/>
  <c r="Z29" i="87" s="1"/>
  <c r="J29" i="87"/>
  <c r="AC29" i="87" s="1"/>
  <c r="H29" i="87"/>
  <c r="AB29" i="87" s="1"/>
  <c r="F29" i="87"/>
  <c r="AA29" i="87" s="1"/>
  <c r="C29" i="87"/>
  <c r="AC27" i="87"/>
  <c r="W27" i="87"/>
  <c r="Q27" i="87"/>
  <c r="Z27" i="87" s="1"/>
  <c r="J27" i="87"/>
  <c r="H27" i="87"/>
  <c r="AB27" i="87" s="1"/>
  <c r="F27" i="87"/>
  <c r="AA27" i="87" s="1"/>
  <c r="C27" i="87"/>
  <c r="Q25" i="87"/>
  <c r="Z25" i="87" s="1"/>
  <c r="J25" i="87"/>
  <c r="AC25" i="87" s="1"/>
  <c r="H25" i="87"/>
  <c r="AB25" i="87" s="1"/>
  <c r="F25" i="87"/>
  <c r="AA25" i="87" s="1"/>
  <c r="C25" i="87"/>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6" i="87"/>
  <c r="Z16" i="87" s="1"/>
  <c r="J16" i="87"/>
  <c r="AC16" i="87" s="1"/>
  <c r="H16" i="87"/>
  <c r="AB16" i="87" s="1"/>
  <c r="F16" i="87"/>
  <c r="S16" i="87" s="1"/>
  <c r="Q15" i="87"/>
  <c r="Z15" i="87" s="1"/>
  <c r="J15" i="87"/>
  <c r="AC15" i="87" s="1"/>
  <c r="H15" i="87"/>
  <c r="U15" i="87" s="1"/>
  <c r="F15" i="87"/>
  <c r="AA15" i="87" s="1"/>
  <c r="Q14" i="87"/>
  <c r="Z14" i="87" s="1"/>
  <c r="J14" i="87"/>
  <c r="AC14" i="87" s="1"/>
  <c r="H14" i="87"/>
  <c r="AB14" i="87" s="1"/>
  <c r="F14" i="87"/>
  <c r="AA14" i="87" s="1"/>
  <c r="Q13" i="87"/>
  <c r="Z13" i="87" s="1"/>
  <c r="J13" i="87"/>
  <c r="AC13" i="87" s="1"/>
  <c r="H13" i="87"/>
  <c r="AB13" i="87" s="1"/>
  <c r="F13" i="87"/>
  <c r="AA13" i="87" s="1"/>
  <c r="Q12" i="87"/>
  <c r="Z12" i="87" s="1"/>
  <c r="AC12" i="87"/>
  <c r="AA12" i="87"/>
  <c r="C12" i="87"/>
  <c r="Q11" i="87"/>
  <c r="Z11" i="87" s="1"/>
  <c r="J11" i="87"/>
  <c r="AC11" i="87" s="1"/>
  <c r="H11" i="87"/>
  <c r="AB11" i="87" s="1"/>
  <c r="F11" i="87"/>
  <c r="AA11" i="87" s="1"/>
  <c r="W10" i="87"/>
  <c r="S10" i="87"/>
  <c r="J10" i="87"/>
  <c r="AC10" i="87" s="1"/>
  <c r="H10" i="87"/>
  <c r="U10" i="87" s="1"/>
  <c r="F10" i="87"/>
  <c r="AA10" i="87" s="1"/>
  <c r="C9" i="87"/>
  <c r="C70" i="87" s="1"/>
  <c r="AB12" i="87" l="1"/>
  <c r="U12" i="87"/>
  <c r="D70" i="87"/>
  <c r="C72" i="87"/>
  <c r="AB10" i="87"/>
  <c r="S11" i="87"/>
  <c r="W11" i="87"/>
  <c r="S12" i="87"/>
  <c r="W12" i="87"/>
  <c r="U13" i="87"/>
  <c r="S14" i="87"/>
  <c r="W14" i="87"/>
  <c r="AB15" i="87"/>
  <c r="AA16" i="87"/>
  <c r="S17" i="87"/>
  <c r="U11" i="87"/>
  <c r="S13" i="87"/>
  <c r="W13" i="87"/>
  <c r="U14" i="87"/>
  <c r="S15" i="87"/>
  <c r="W15" i="87"/>
  <c r="U16" i="87"/>
  <c r="U17" i="87"/>
  <c r="U19" i="87"/>
  <c r="U21" i="87"/>
  <c r="U23" i="87"/>
  <c r="W25" i="87"/>
  <c r="S27" i="87"/>
  <c r="W29" i="87"/>
  <c r="AB40" i="87"/>
  <c r="U40" i="87"/>
  <c r="W16" i="87"/>
  <c r="W17" i="87"/>
  <c r="S19" i="87"/>
  <c r="W19" i="87"/>
  <c r="S21" i="87"/>
  <c r="W21" i="87"/>
  <c r="S23" i="87"/>
  <c r="W23" i="87"/>
  <c r="S25" i="87"/>
  <c r="S29" i="87"/>
  <c r="AA40" i="87"/>
  <c r="S40" i="87"/>
  <c r="AC40" i="87"/>
  <c r="W40" i="87"/>
  <c r="U25" i="87"/>
  <c r="U27" i="87"/>
  <c r="U29" i="87"/>
  <c r="U31" i="87"/>
  <c r="S33" i="87"/>
  <c r="W33" i="87"/>
  <c r="U34" i="87"/>
  <c r="S36" i="87"/>
  <c r="W36" i="87"/>
  <c r="U37" i="87"/>
  <c r="S38" i="87"/>
  <c r="W38" i="87"/>
  <c r="U39" i="87"/>
  <c r="U41" i="87"/>
  <c r="S42" i="87"/>
  <c r="W42" i="87"/>
  <c r="U43" i="87"/>
  <c r="S44" i="87"/>
  <c r="W44" i="87"/>
  <c r="U45" i="87"/>
  <c r="S46" i="87"/>
  <c r="W46" i="87"/>
  <c r="U47" i="87"/>
  <c r="R48" i="87"/>
  <c r="V48" i="87"/>
  <c r="G55" i="87"/>
  <c r="H55" i="87" s="1"/>
  <c r="S31" i="87"/>
  <c r="W31" i="87"/>
  <c r="U33" i="87"/>
  <c r="S34" i="87"/>
  <c r="W34" i="87"/>
  <c r="U36" i="87"/>
  <c r="S37" i="87"/>
  <c r="W37" i="87"/>
  <c r="U38" i="87"/>
  <c r="S39" i="87"/>
  <c r="W39" i="87"/>
  <c r="S41" i="87"/>
  <c r="W41" i="87"/>
  <c r="U42" i="87"/>
  <c r="S43" i="87"/>
  <c r="W43" i="87"/>
  <c r="U44" i="87"/>
  <c r="S45" i="87"/>
  <c r="W45" i="87"/>
  <c r="U46" i="87"/>
  <c r="S47" i="87"/>
  <c r="W47" i="87"/>
  <c r="D72" i="87" l="1"/>
  <c r="E70" i="87"/>
  <c r="F70" i="87" l="1"/>
  <c r="E72" i="87"/>
  <c r="F72" i="87" l="1"/>
  <c r="G70" i="87"/>
  <c r="H70" i="87" l="1"/>
  <c r="G72" i="87"/>
  <c r="H72" i="87" l="1"/>
  <c r="I70" i="87"/>
  <c r="J70" i="87" l="1"/>
  <c r="I72" i="87"/>
  <c r="J72" i="87" l="1"/>
  <c r="K70" i="87"/>
  <c r="L70" i="87" l="1"/>
  <c r="K72" i="87"/>
  <c r="L72" i="87" l="1"/>
  <c r="M70" i="87"/>
  <c r="N70" i="87" l="1"/>
  <c r="N72" i="87" s="1"/>
  <c r="M72" i="87"/>
  <c r="H9" i="87" l="1"/>
  <c r="J9" i="87"/>
  <c r="F9" i="87"/>
  <c r="AC9" i="87" l="1"/>
  <c r="V49" i="87" s="1"/>
  <c r="I49" i="87" s="1"/>
  <c r="W9" i="87"/>
  <c r="AA9" i="87"/>
  <c r="R49" i="87" s="1"/>
  <c r="S9" i="87"/>
  <c r="U9" i="87"/>
  <c r="AB9" i="87"/>
  <c r="T49" i="87" s="1"/>
  <c r="G49" i="87" s="1"/>
  <c r="G54" i="87" l="1"/>
  <c r="H54" i="87" s="1"/>
  <c r="G53" i="87"/>
  <c r="H53" i="87" s="1"/>
  <c r="R50" i="87"/>
  <c r="E49" i="87"/>
  <c r="I54" i="87" s="1"/>
  <c r="J54" i="87" s="1"/>
  <c r="I53" i="87"/>
  <c r="J53" i="87" s="1"/>
  <c r="E54" i="87" l="1"/>
  <c r="F54" i="87" s="1"/>
  <c r="E53" i="87"/>
  <c r="F53" i="87" s="1"/>
  <c r="C50" i="87"/>
  <c r="C49" i="87"/>
  <c r="B62" i="87" l="1"/>
  <c r="F62" i="87" s="1"/>
  <c r="B66" i="87"/>
  <c r="F66" i="87" s="1"/>
  <c r="B64" i="87"/>
  <c r="F64" i="87" s="1"/>
  <c r="B60" i="87"/>
  <c r="F60" i="87" s="1"/>
  <c r="B58" i="87"/>
  <c r="F58" i="87" s="1"/>
  <c r="B67" i="87"/>
  <c r="F67" i="87" s="1"/>
  <c r="B65" i="87"/>
  <c r="F65" i="87" s="1"/>
  <c r="B63" i="87"/>
  <c r="F63" i="87" s="1"/>
  <c r="B61" i="87"/>
  <c r="F61" i="87" s="1"/>
  <c r="B59" i="87"/>
  <c r="F59" i="87" s="1"/>
  <c r="F68" i="87" l="1"/>
  <c r="B2" i="87" s="1"/>
  <c r="B5" i="87" l="1"/>
  <c r="B3" i="87"/>
  <c r="B4" i="87"/>
  <c r="L5" i="9" l="1"/>
  <c r="I47" i="21" l="1"/>
  <c r="G16" i="86" l="1"/>
  <c r="G15" i="86"/>
  <c r="K42" i="80" l="1"/>
  <c r="K43" i="80"/>
  <c r="K44" i="80"/>
  <c r="K41" i="80"/>
  <c r="K34" i="80"/>
  <c r="K31" i="80"/>
  <c r="K29" i="80"/>
  <c r="K27" i="80"/>
  <c r="K25" i="80"/>
  <c r="K23" i="80"/>
  <c r="AR13" i="3"/>
  <c r="AP13" i="3"/>
  <c r="AL13" i="3"/>
  <c r="E9" i="6" s="1"/>
  <c r="Q13" i="3"/>
  <c r="O13" i="3"/>
  <c r="M13" i="3"/>
  <c r="K13" i="3"/>
  <c r="I13" i="3"/>
  <c r="F16" i="86"/>
  <c r="F15" i="86"/>
  <c r="E16" i="86"/>
  <c r="E17" i="86"/>
  <c r="E15" i="86"/>
  <c r="D17" i="86"/>
  <c r="F10" i="86"/>
  <c r="F2" i="86"/>
  <c r="F13" i="86"/>
  <c r="F12" i="86"/>
  <c r="F8" i="86"/>
  <c r="D12" i="83"/>
  <c r="E47" i="21"/>
  <c r="G47" i="21"/>
  <c r="H97" i="85"/>
  <c r="H94" i="85"/>
  <c r="H93" i="85"/>
  <c r="I92" i="85"/>
  <c r="H90" i="85"/>
  <c r="H88" i="85" s="1"/>
  <c r="H87" i="85"/>
  <c r="H85" i="85"/>
  <c r="H77" i="85"/>
  <c r="H76" i="85"/>
  <c r="H79" i="85" s="1"/>
  <c r="H75" i="85"/>
  <c r="H74" i="85"/>
  <c r="I73" i="85"/>
  <c r="H71" i="85"/>
  <c r="H58" i="85"/>
  <c r="H56" i="85"/>
  <c r="H55" i="85"/>
  <c r="H54" i="85" s="1"/>
  <c r="I46" i="85" s="1"/>
  <c r="H9" i="85"/>
  <c r="H8" i="85"/>
  <c r="H6" i="85"/>
  <c r="H70" i="85" s="1"/>
  <c r="H5" i="85"/>
  <c r="H4" i="85" s="1"/>
  <c r="V49" i="84"/>
  <c r="X49" i="84" s="1"/>
  <c r="Y49" i="84" s="1"/>
  <c r="S48" i="84"/>
  <c r="Z43" i="84"/>
  <c r="Y43" i="84"/>
  <c r="X43" i="84"/>
  <c r="W43" i="84"/>
  <c r="V43" i="84"/>
  <c r="U43" i="84"/>
  <c r="T43" i="84"/>
  <c r="S43" i="84"/>
  <c r="R43" i="84"/>
  <c r="Q43" i="84"/>
  <c r="P43" i="84"/>
  <c r="O43" i="84"/>
  <c r="N43" i="84"/>
  <c r="M43" i="84"/>
  <c r="L43" i="84"/>
  <c r="J43" i="84"/>
  <c r="I43" i="84"/>
  <c r="F38" i="84"/>
  <c r="F35" i="84"/>
  <c r="F34" i="84"/>
  <c r="G23" i="84"/>
  <c r="F23" i="84" s="1"/>
  <c r="K22" i="84"/>
  <c r="H22" i="84"/>
  <c r="G22" i="84"/>
  <c r="F22" i="84" s="1"/>
  <c r="K21" i="84"/>
  <c r="H21" i="84"/>
  <c r="G21" i="84"/>
  <c r="K20" i="84"/>
  <c r="H20" i="84"/>
  <c r="G20" i="84"/>
  <c r="E20" i="84"/>
  <c r="G19" i="84"/>
  <c r="F19" i="84"/>
  <c r="K18" i="84"/>
  <c r="H18" i="84"/>
  <c r="G18" i="84"/>
  <c r="F18" i="84" s="1"/>
  <c r="K17" i="84"/>
  <c r="H17" i="84"/>
  <c r="G17" i="84"/>
  <c r="K16" i="84"/>
  <c r="H16" i="84"/>
  <c r="G16" i="84"/>
  <c r="F16" i="84" s="1"/>
  <c r="E16" i="84"/>
  <c r="K15" i="84"/>
  <c r="H15" i="84"/>
  <c r="G15" i="84"/>
  <c r="F15" i="84" s="1"/>
  <c r="K14" i="84"/>
  <c r="H14" i="84"/>
  <c r="G14" i="84"/>
  <c r="F14" i="84"/>
  <c r="K13" i="84"/>
  <c r="H13" i="84"/>
  <c r="G13" i="84"/>
  <c r="E13" i="84"/>
  <c r="G12" i="84"/>
  <c r="F12" i="84"/>
  <c r="G11" i="84"/>
  <c r="F11" i="84"/>
  <c r="K10" i="84"/>
  <c r="H10" i="84"/>
  <c r="G10" i="84"/>
  <c r="F10" i="84" s="1"/>
  <c r="K9" i="84"/>
  <c r="H9" i="84"/>
  <c r="G9" i="84"/>
  <c r="F9" i="84" s="1"/>
  <c r="K8" i="84"/>
  <c r="H8" i="84"/>
  <c r="G8" i="84"/>
  <c r="F8" i="84" s="1"/>
  <c r="K7" i="84"/>
  <c r="H7" i="84"/>
  <c r="G7" i="84"/>
  <c r="F7" i="84" s="1"/>
  <c r="E7" i="84"/>
  <c r="E15" i="84" s="1"/>
  <c r="K6" i="84"/>
  <c r="H6" i="84"/>
  <c r="G6" i="84"/>
  <c r="E6" i="84"/>
  <c r="E17" i="84" s="1"/>
  <c r="K5" i="84"/>
  <c r="H5" i="84"/>
  <c r="G5" i="84"/>
  <c r="F5" i="84" s="1"/>
  <c r="K4" i="84"/>
  <c r="K43" i="84" s="1"/>
  <c r="H4" i="84"/>
  <c r="G4" i="84"/>
  <c r="F4" i="84" s="1"/>
  <c r="G3" i="84"/>
  <c r="F3" i="84"/>
  <c r="C12" i="39"/>
  <c r="J12" i="39" s="1"/>
  <c r="H12" i="39"/>
  <c r="N34" i="73"/>
  <c r="G43" i="84" l="1"/>
  <c r="G45" i="84" s="1"/>
  <c r="G46" i="84" s="1"/>
  <c r="F6" i="84"/>
  <c r="F17" i="84"/>
  <c r="F20" i="84"/>
  <c r="H43" i="84"/>
  <c r="G47" i="84" s="1"/>
  <c r="F45" i="84" s="1"/>
  <c r="F13" i="84"/>
  <c r="F21" i="84"/>
  <c r="E14" i="84"/>
  <c r="E18" i="84"/>
  <c r="F12" i="39"/>
  <c r="J12" i="80"/>
  <c r="H12" i="80"/>
  <c r="F12" i="80"/>
  <c r="C12" i="80"/>
  <c r="M11" i="9"/>
  <c r="F6" i="83"/>
  <c r="G6" i="83" s="1"/>
  <c r="G5" i="83" s="1"/>
  <c r="H5" i="83" s="1"/>
  <c r="F12" i="83"/>
  <c r="F13" i="83" s="1"/>
  <c r="F43" i="84" l="1"/>
  <c r="E7" i="39"/>
  <c r="E8" i="39"/>
  <c r="E40" i="39"/>
  <c r="F5" i="83"/>
  <c r="F7" i="83" s="1"/>
  <c r="P75" i="82" l="1"/>
  <c r="Q73" i="82"/>
  <c r="P62" i="82"/>
  <c r="Q60" i="82"/>
  <c r="D60" i="82"/>
  <c r="Q59" i="82"/>
  <c r="K59" i="82"/>
  <c r="F58" i="82"/>
  <c r="Q52" i="82"/>
  <c r="J50" i="82"/>
  <c r="J51" i="82" s="1"/>
  <c r="M47" i="82"/>
  <c r="L46" i="82" s="1"/>
  <c r="F33" i="82"/>
  <c r="F60" i="82" s="1"/>
  <c r="F31" i="82"/>
  <c r="F23" i="82"/>
  <c r="D24" i="82" s="1"/>
  <c r="F21" i="82"/>
  <c r="F20" i="82"/>
  <c r="M19" i="82"/>
  <c r="F18" i="82"/>
  <c r="M17" i="82"/>
  <c r="F17" i="82"/>
  <c r="F15" i="82"/>
  <c r="I8" i="80"/>
  <c r="G8" i="80"/>
  <c r="E8" i="80"/>
  <c r="I40" i="80"/>
  <c r="G40" i="80"/>
  <c r="E40" i="80"/>
  <c r="I40" i="39"/>
  <c r="G40" i="39"/>
  <c r="I8" i="39"/>
  <c r="G8" i="39"/>
  <c r="D22" i="82" l="1"/>
  <c r="D23" i="82"/>
  <c r="I48" i="39"/>
  <c r="G48" i="39"/>
  <c r="E48" i="39"/>
  <c r="D77" i="39"/>
  <c r="D73" i="39"/>
  <c r="E73" i="39" s="1"/>
  <c r="F73" i="39" s="1"/>
  <c r="G73" i="39" s="1"/>
  <c r="H73" i="39" s="1"/>
  <c r="I73" i="39" s="1"/>
  <c r="J73" i="39" s="1"/>
  <c r="K73" i="39" s="1"/>
  <c r="L73" i="39" s="1"/>
  <c r="M73" i="39" s="1"/>
  <c r="N73" i="39" s="1"/>
  <c r="I9" i="39"/>
  <c r="G9" i="39"/>
  <c r="E9" i="39"/>
  <c r="I7" i="39"/>
  <c r="G7" i="39"/>
  <c r="I48" i="80"/>
  <c r="V48" i="80" s="1"/>
  <c r="G48" i="80"/>
  <c r="E48" i="80"/>
  <c r="I55" i="80" s="1"/>
  <c r="J55" i="80" s="1"/>
  <c r="E77" i="80"/>
  <c r="D77" i="80"/>
  <c r="E73" i="80"/>
  <c r="F73" i="80" s="1"/>
  <c r="G73" i="80" s="1"/>
  <c r="H73" i="80" s="1"/>
  <c r="I73" i="80" s="1"/>
  <c r="J73" i="80" s="1"/>
  <c r="K73" i="80" s="1"/>
  <c r="L73" i="80" s="1"/>
  <c r="M73" i="80" s="1"/>
  <c r="N73" i="80" s="1"/>
  <c r="D73" i="80"/>
  <c r="I9" i="80"/>
  <c r="E9" i="80"/>
  <c r="G9" i="80"/>
  <c r="I7" i="80"/>
  <c r="G7" i="80"/>
  <c r="E7" i="80"/>
  <c r="B133" i="80"/>
  <c r="H47" i="80" s="1"/>
  <c r="AB47" i="80" s="1"/>
  <c r="B131" i="80"/>
  <c r="B129" i="80"/>
  <c r="H45" i="80" s="1"/>
  <c r="AB45" i="80" s="1"/>
  <c r="D128" i="80"/>
  <c r="E128" i="80" s="1"/>
  <c r="F128" i="80" s="1"/>
  <c r="G128" i="80" s="1"/>
  <c r="H128" i="80" s="1"/>
  <c r="I128" i="80" s="1"/>
  <c r="J128" i="80" s="1"/>
  <c r="K128" i="80" s="1"/>
  <c r="L128" i="80" s="1"/>
  <c r="M128" i="80" s="1"/>
  <c r="D126" i="80"/>
  <c r="E126" i="80" s="1"/>
  <c r="F126" i="80" s="1"/>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s="1"/>
  <c r="G122" i="80" s="1"/>
  <c r="H122" i="80" s="1"/>
  <c r="I122" i="80" s="1"/>
  <c r="J122" i="80" s="1"/>
  <c r="K122" i="80" s="1"/>
  <c r="L122" i="80" s="1"/>
  <c r="M122" i="80" s="1"/>
  <c r="M118" i="80"/>
  <c r="L118" i="80"/>
  <c r="K118" i="80"/>
  <c r="J118" i="80"/>
  <c r="I118" i="80"/>
  <c r="H118" i="80"/>
  <c r="G118" i="80"/>
  <c r="F118" i="80"/>
  <c r="E118" i="80"/>
  <c r="D118" i="80"/>
  <c r="C118" i="80"/>
  <c r="B116" i="80"/>
  <c r="J39" i="80" s="1"/>
  <c r="AC39" i="80" s="1"/>
  <c r="B114" i="80"/>
  <c r="B112" i="80"/>
  <c r="J37" i="80" s="1"/>
  <c r="AC37" i="80" s="1"/>
  <c r="D111" i="80"/>
  <c r="E111" i="80" s="1"/>
  <c r="F111" i="80" s="1"/>
  <c r="G111" i="80" s="1"/>
  <c r="H111" i="80" s="1"/>
  <c r="I111" i="80" s="1"/>
  <c r="J111" i="80" s="1"/>
  <c r="K111" i="80" s="1"/>
  <c r="L111" i="80" s="1"/>
  <c r="M111" i="80" s="1"/>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B106" i="80"/>
  <c r="J33" i="80" s="1"/>
  <c r="AC33" i="80" s="1"/>
  <c r="D105" i="80"/>
  <c r="E105" i="80" s="1"/>
  <c r="F105" i="80" s="1"/>
  <c r="G105" i="80" s="1"/>
  <c r="D103" i="80"/>
  <c r="E103" i="80" s="1"/>
  <c r="F103" i="80" s="1"/>
  <c r="G103" i="80" s="1"/>
  <c r="D101" i="80"/>
  <c r="E101" i="80" s="1"/>
  <c r="F101" i="80" s="1"/>
  <c r="G101" i="80" s="1"/>
  <c r="D99" i="80"/>
  <c r="E99" i="80" s="1"/>
  <c r="F99" i="80" s="1"/>
  <c r="G99" i="80" s="1"/>
  <c r="D97" i="80"/>
  <c r="E97" i="80" s="1"/>
  <c r="F97" i="80" s="1"/>
  <c r="G97" i="80" s="1"/>
  <c r="D95" i="80"/>
  <c r="E95" i="80" s="1"/>
  <c r="F95" i="80" s="1"/>
  <c r="G95" i="80" s="1"/>
  <c r="D93" i="80"/>
  <c r="E93" i="80" s="1"/>
  <c r="F93" i="80" s="1"/>
  <c r="G93" i="80" s="1"/>
  <c r="D91" i="80"/>
  <c r="E91" i="80" s="1"/>
  <c r="F91" i="80" s="1"/>
  <c r="G91" i="80" s="1"/>
  <c r="B88" i="80"/>
  <c r="J16" i="80" s="1"/>
  <c r="AC16" i="80" s="1"/>
  <c r="B86" i="80"/>
  <c r="B84" i="80"/>
  <c r="D83" i="80"/>
  <c r="E83" i="80" s="1"/>
  <c r="F83" i="80" s="1"/>
  <c r="G83" i="80" s="1"/>
  <c r="H83" i="80" s="1"/>
  <c r="I83" i="80" s="1"/>
  <c r="J83" i="80" s="1"/>
  <c r="K83" i="80" s="1"/>
  <c r="L83" i="80" s="1"/>
  <c r="M83" i="80" s="1"/>
  <c r="M81" i="80"/>
  <c r="L81" i="80"/>
  <c r="K81" i="80"/>
  <c r="J81" i="80"/>
  <c r="I81" i="80"/>
  <c r="H81" i="80"/>
  <c r="G81" i="80"/>
  <c r="F81" i="80"/>
  <c r="E81" i="80"/>
  <c r="D81" i="80"/>
  <c r="C81" i="80"/>
  <c r="H67" i="80"/>
  <c r="I67" i="80" s="1"/>
  <c r="C67" i="80" s="1"/>
  <c r="H66" i="80"/>
  <c r="I66" i="80" s="1"/>
  <c r="C66" i="80" s="1"/>
  <c r="H65" i="80"/>
  <c r="I65" i="80" s="1"/>
  <c r="C65" i="80" s="1"/>
  <c r="H64" i="80"/>
  <c r="I64" i="80" s="1"/>
  <c r="C64" i="80" s="1"/>
  <c r="H63" i="80"/>
  <c r="I63" i="80" s="1"/>
  <c r="C63" i="80" s="1"/>
  <c r="H62" i="80"/>
  <c r="I62" i="80" s="1"/>
  <c r="C62" i="80"/>
  <c r="I61" i="80"/>
  <c r="C61" i="80" s="1"/>
  <c r="H61" i="80"/>
  <c r="H60" i="80"/>
  <c r="I60" i="80" s="1"/>
  <c r="C60" i="80" s="1"/>
  <c r="I59" i="80"/>
  <c r="C59" i="80" s="1"/>
  <c r="H59" i="80"/>
  <c r="J57" i="80"/>
  <c r="G55" i="80"/>
  <c r="H55" i="80" s="1"/>
  <c r="P50" i="80"/>
  <c r="P49" i="80"/>
  <c r="T48" i="80"/>
  <c r="R48" i="80"/>
  <c r="P48" i="80"/>
  <c r="Q47" i="80"/>
  <c r="Z47" i="80" s="1"/>
  <c r="J47" i="80"/>
  <c r="AC47" i="80" s="1"/>
  <c r="Q46" i="80"/>
  <c r="Z46" i="80" s="1"/>
  <c r="J46" i="80"/>
  <c r="AC46" i="80" s="1"/>
  <c r="H46" i="80"/>
  <c r="AB46" i="80" s="1"/>
  <c r="F46" i="80"/>
  <c r="AA46" i="80" s="1"/>
  <c r="Q45" i="80"/>
  <c r="Z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Q39" i="80"/>
  <c r="Z39" i="80" s="1"/>
  <c r="H39" i="80"/>
  <c r="AB39" i="80" s="1"/>
  <c r="Q38" i="80"/>
  <c r="Z38" i="80" s="1"/>
  <c r="J38" i="80"/>
  <c r="AC38" i="80" s="1"/>
  <c r="H38" i="80"/>
  <c r="AB38" i="80" s="1"/>
  <c r="F38" i="80"/>
  <c r="AA38" i="80" s="1"/>
  <c r="Q37" i="80"/>
  <c r="Z37" i="80" s="1"/>
  <c r="H37" i="80"/>
  <c r="AB37" i="80" s="1"/>
  <c r="F37" i="80"/>
  <c r="AA37" i="80" s="1"/>
  <c r="Q36" i="80"/>
  <c r="Z36" i="80" s="1"/>
  <c r="J36" i="80"/>
  <c r="AC36" i="80" s="1"/>
  <c r="H36" i="80"/>
  <c r="AB36" i="80" s="1"/>
  <c r="F36" i="80"/>
  <c r="AA36" i="80" s="1"/>
  <c r="Q34" i="80"/>
  <c r="Z34" i="80" s="1"/>
  <c r="J34" i="80"/>
  <c r="AC34" i="80" s="1"/>
  <c r="H34" i="80"/>
  <c r="AB34" i="80" s="1"/>
  <c r="F34" i="80"/>
  <c r="AA34" i="80" s="1"/>
  <c r="Q33" i="80"/>
  <c r="Z33" i="80" s="1"/>
  <c r="H33" i="80"/>
  <c r="AB33" i="80" s="1"/>
  <c r="Q31" i="80"/>
  <c r="Z31" i="80" s="1"/>
  <c r="J31" i="80"/>
  <c r="AC31" i="80" s="1"/>
  <c r="H31" i="80"/>
  <c r="AB31" i="80" s="1"/>
  <c r="F31" i="80"/>
  <c r="AA31" i="80" s="1"/>
  <c r="Q29" i="80"/>
  <c r="Z29" i="80" s="1"/>
  <c r="J29" i="80"/>
  <c r="AC29" i="80" s="1"/>
  <c r="H29" i="80"/>
  <c r="AB29" i="80" s="1"/>
  <c r="F29" i="80"/>
  <c r="AA29" i="80" s="1"/>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F23" i="80"/>
  <c r="AA23" i="80" s="1"/>
  <c r="Q21" i="80"/>
  <c r="Z21" i="80" s="1"/>
  <c r="J21" i="80"/>
  <c r="AC21" i="80" s="1"/>
  <c r="H21" i="80"/>
  <c r="AB21" i="80" s="1"/>
  <c r="F21" i="80"/>
  <c r="AA21" i="80" s="1"/>
  <c r="Q19" i="80"/>
  <c r="Z19" i="80" s="1"/>
  <c r="J19" i="80"/>
  <c r="AC19" i="80" s="1"/>
  <c r="H19" i="80"/>
  <c r="AB19" i="80" s="1"/>
  <c r="F19" i="80"/>
  <c r="AA19" i="80" s="1"/>
  <c r="Q17" i="80"/>
  <c r="Z17" i="80" s="1"/>
  <c r="J17" i="80"/>
  <c r="AC17" i="80" s="1"/>
  <c r="H17" i="80"/>
  <c r="AB17" i="80" s="1"/>
  <c r="F17" i="80"/>
  <c r="AA17" i="80" s="1"/>
  <c r="Q16" i="80"/>
  <c r="Z16" i="80" s="1"/>
  <c r="Q15" i="80"/>
  <c r="Z15" i="80" s="1"/>
  <c r="J15" i="80"/>
  <c r="AC15" i="80" s="1"/>
  <c r="H15" i="80"/>
  <c r="AB15" i="80" s="1"/>
  <c r="F15" i="80"/>
  <c r="AA15" i="80" s="1"/>
  <c r="Q14" i="80"/>
  <c r="Z14" i="80" s="1"/>
  <c r="J14" i="80"/>
  <c r="AC14" i="80" s="1"/>
  <c r="H14" i="80"/>
  <c r="AB14" i="80" s="1"/>
  <c r="F14" i="80"/>
  <c r="AA14" i="80" s="1"/>
  <c r="Q13" i="80"/>
  <c r="Z13" i="80" s="1"/>
  <c r="J13" i="80"/>
  <c r="AC13" i="80" s="1"/>
  <c r="H13" i="80"/>
  <c r="AB13" i="80" s="1"/>
  <c r="F13" i="80"/>
  <c r="AA13" i="80" s="1"/>
  <c r="Q12" i="80"/>
  <c r="Z12" i="80" s="1"/>
  <c r="Q11" i="80"/>
  <c r="Z11" i="80" s="1"/>
  <c r="J11" i="80"/>
  <c r="AC11" i="80" s="1"/>
  <c r="H11" i="80"/>
  <c r="AB11" i="80" s="1"/>
  <c r="F11" i="80"/>
  <c r="AA11" i="80" s="1"/>
  <c r="J10" i="80"/>
  <c r="W10" i="80" s="1"/>
  <c r="H10" i="80"/>
  <c r="AB10" i="80" s="1"/>
  <c r="F10" i="80"/>
  <c r="S10" i="80" s="1"/>
  <c r="S3" i="70"/>
  <c r="S4" i="70"/>
  <c r="S5" i="70"/>
  <c r="S6" i="70"/>
  <c r="S7" i="70"/>
  <c r="S8" i="70"/>
  <c r="S9" i="70"/>
  <c r="S10" i="70"/>
  <c r="S11" i="70"/>
  <c r="S12" i="70"/>
  <c r="S13" i="70"/>
  <c r="S14" i="70"/>
  <c r="S15" i="70"/>
  <c r="S16" i="70"/>
  <c r="S17" i="70"/>
  <c r="S18" i="70"/>
  <c r="S19" i="70"/>
  <c r="S20" i="70"/>
  <c r="S21" i="70"/>
  <c r="S22" i="70"/>
  <c r="S2" i="70"/>
  <c r="T3" i="69"/>
  <c r="T4" i="69"/>
  <c r="T5" i="69"/>
  <c r="T6" i="69"/>
  <c r="T7" i="69"/>
  <c r="T8" i="69"/>
  <c r="T9" i="69"/>
  <c r="T10" i="69"/>
  <c r="T11" i="69"/>
  <c r="T12" i="69"/>
  <c r="T13" i="69"/>
  <c r="T14" i="69"/>
  <c r="T15" i="69"/>
  <c r="T16" i="69"/>
  <c r="T17" i="69"/>
  <c r="T18" i="69"/>
  <c r="T19" i="69"/>
  <c r="T20" i="69"/>
  <c r="T21" i="69"/>
  <c r="T22" i="69"/>
  <c r="T23" i="69"/>
  <c r="T24" i="69"/>
  <c r="T25" i="69"/>
  <c r="T26" i="69"/>
  <c r="T27" i="69"/>
  <c r="T28" i="69"/>
  <c r="T29" i="69"/>
  <c r="T30" i="69"/>
  <c r="T31" i="69"/>
  <c r="T32" i="69"/>
  <c r="T33" i="69"/>
  <c r="T34" i="69"/>
  <c r="T35" i="69"/>
  <c r="T36" i="69"/>
  <c r="T37" i="69"/>
  <c r="T38" i="69"/>
  <c r="T39" i="69"/>
  <c r="T40" i="69"/>
  <c r="T41" i="69"/>
  <c r="T42" i="69"/>
  <c r="T43" i="69"/>
  <c r="T44" i="69"/>
  <c r="T45" i="69"/>
  <c r="T46" i="69"/>
  <c r="T47" i="69"/>
  <c r="T48" i="69"/>
  <c r="T49" i="69"/>
  <c r="T50" i="69"/>
  <c r="T51" i="69"/>
  <c r="T52" i="69"/>
  <c r="T53" i="69"/>
  <c r="T54" i="69"/>
  <c r="T55" i="69"/>
  <c r="T56" i="69"/>
  <c r="T57" i="69"/>
  <c r="T58" i="69"/>
  <c r="T59" i="69"/>
  <c r="T60" i="69"/>
  <c r="T61" i="69"/>
  <c r="T62" i="69"/>
  <c r="T63" i="69"/>
  <c r="T64" i="69"/>
  <c r="T65" i="69"/>
  <c r="T66" i="69"/>
  <c r="T67" i="69"/>
  <c r="T68" i="69"/>
  <c r="T69" i="69"/>
  <c r="T70" i="69"/>
  <c r="T71" i="69"/>
  <c r="T72" i="69"/>
  <c r="T73" i="69"/>
  <c r="T74" i="69"/>
  <c r="T75" i="69"/>
  <c r="T76" i="69"/>
  <c r="T77" i="69"/>
  <c r="T78" i="69"/>
  <c r="T79" i="69"/>
  <c r="T80" i="69"/>
  <c r="T81" i="69"/>
  <c r="T82" i="69"/>
  <c r="T83" i="69"/>
  <c r="T84" i="69"/>
  <c r="T85" i="69"/>
  <c r="T86" i="69"/>
  <c r="T87" i="69"/>
  <c r="T88" i="69"/>
  <c r="T89" i="69"/>
  <c r="T90" i="69"/>
  <c r="T91" i="69"/>
  <c r="T92" i="69"/>
  <c r="T93" i="69"/>
  <c r="T94" i="69"/>
  <c r="T95" i="69"/>
  <c r="T96" i="69"/>
  <c r="T97" i="69"/>
  <c r="T98" i="69"/>
  <c r="T99" i="69"/>
  <c r="T100" i="69"/>
  <c r="T101" i="69"/>
  <c r="T2" i="69"/>
  <c r="H16" i="80" l="1"/>
  <c r="AB16" i="80" s="1"/>
  <c r="E55" i="80"/>
  <c r="F55" i="80" s="1"/>
  <c r="J45" i="80"/>
  <c r="AC45" i="80" s="1"/>
  <c r="F47" i="80"/>
  <c r="AA47" i="80" s="1"/>
  <c r="F33" i="80"/>
  <c r="AA33" i="80" s="1"/>
  <c r="F39" i="80"/>
  <c r="AA39" i="80" s="1"/>
  <c r="F16" i="80"/>
  <c r="AA16" i="80" s="1"/>
  <c r="U10" i="80"/>
  <c r="U11" i="80"/>
  <c r="U13" i="80"/>
  <c r="S14" i="80"/>
  <c r="W14" i="80"/>
  <c r="U15" i="80"/>
  <c r="W16" i="80"/>
  <c r="S17" i="80"/>
  <c r="W17" i="80"/>
  <c r="S19" i="80"/>
  <c r="W19" i="80"/>
  <c r="S21" i="80"/>
  <c r="W21" i="80"/>
  <c r="S23" i="80"/>
  <c r="AA10" i="80"/>
  <c r="AC10" i="80"/>
  <c r="S11" i="80"/>
  <c r="W11" i="80"/>
  <c r="S13" i="80"/>
  <c r="W13" i="80"/>
  <c r="U14" i="80"/>
  <c r="S15" i="80"/>
  <c r="W15" i="80"/>
  <c r="U16" i="80"/>
  <c r="U17" i="80"/>
  <c r="U19" i="80"/>
  <c r="U21" i="80"/>
  <c r="AB23" i="80"/>
  <c r="U23" i="80"/>
  <c r="W23" i="80"/>
  <c r="S25" i="80"/>
  <c r="W25" i="80"/>
  <c r="S27" i="80"/>
  <c r="W27" i="80"/>
  <c r="S29" i="80"/>
  <c r="W29" i="80"/>
  <c r="S31" i="80"/>
  <c r="W31" i="80"/>
  <c r="U33" i="80"/>
  <c r="S34" i="80"/>
  <c r="W34" i="80"/>
  <c r="U36" i="80"/>
  <c r="S37" i="80"/>
  <c r="W37" i="80"/>
  <c r="U38" i="80"/>
  <c r="S39" i="80"/>
  <c r="W39" i="80"/>
  <c r="S41" i="80"/>
  <c r="W41" i="80"/>
  <c r="U42" i="80"/>
  <c r="S43" i="80"/>
  <c r="W43" i="80"/>
  <c r="U44" i="80"/>
  <c r="S45" i="80"/>
  <c r="U46" i="80"/>
  <c r="S47" i="80"/>
  <c r="W47" i="80"/>
  <c r="U25" i="80"/>
  <c r="U27" i="80"/>
  <c r="U29" i="80"/>
  <c r="U31" i="80"/>
  <c r="W33" i="80"/>
  <c r="U34" i="80"/>
  <c r="S36" i="80"/>
  <c r="W36" i="80"/>
  <c r="U37" i="80"/>
  <c r="S38" i="80"/>
  <c r="W38" i="80"/>
  <c r="U39" i="80"/>
  <c r="U41" i="80"/>
  <c r="S42" i="80"/>
  <c r="W42" i="80"/>
  <c r="U43" i="80"/>
  <c r="S44" i="80"/>
  <c r="W44" i="80"/>
  <c r="U45" i="80"/>
  <c r="S46" i="80"/>
  <c r="W46" i="80"/>
  <c r="U47" i="80"/>
  <c r="P75" i="79"/>
  <c r="Q73" i="79"/>
  <c r="P62" i="79"/>
  <c r="Q60" i="79"/>
  <c r="D60" i="79"/>
  <c r="Q59" i="79"/>
  <c r="K59" i="79"/>
  <c r="F58" i="79"/>
  <c r="Q52" i="79"/>
  <c r="J50" i="79"/>
  <c r="J51" i="79" s="1"/>
  <c r="M47" i="79"/>
  <c r="L46" i="79" s="1"/>
  <c r="F33" i="79"/>
  <c r="F60" i="79" s="1"/>
  <c r="F31" i="79"/>
  <c r="F23" i="79"/>
  <c r="D24" i="79" s="1"/>
  <c r="F21" i="79"/>
  <c r="F20" i="79"/>
  <c r="M19" i="79"/>
  <c r="F18" i="79"/>
  <c r="M17" i="79"/>
  <c r="F17" i="79"/>
  <c r="F15" i="79"/>
  <c r="P75" i="78"/>
  <c r="Q73" i="78"/>
  <c r="P62" i="78"/>
  <c r="Q60" i="78"/>
  <c r="D60" i="78"/>
  <c r="Q59" i="78"/>
  <c r="K59" i="78"/>
  <c r="F58" i="78"/>
  <c r="Q52" i="78"/>
  <c r="J50" i="78"/>
  <c r="J51" i="78" s="1"/>
  <c r="M47" i="78"/>
  <c r="L46" i="78" s="1"/>
  <c r="F33" i="78"/>
  <c r="F60" i="78" s="1"/>
  <c r="F31" i="78"/>
  <c r="F23" i="78"/>
  <c r="D24" i="78" s="1"/>
  <c r="F21" i="78"/>
  <c r="F20" i="78"/>
  <c r="M19" i="78"/>
  <c r="F18" i="78"/>
  <c r="M17" i="78"/>
  <c r="F17" i="78"/>
  <c r="F15" i="78"/>
  <c r="T47" i="76"/>
  <c r="C145" i="76"/>
  <c r="J142" i="76"/>
  <c r="J140" i="76"/>
  <c r="K145" i="76" s="1"/>
  <c r="K139" i="76"/>
  <c r="K143" i="76" s="1"/>
  <c r="B130" i="76"/>
  <c r="B128" i="76"/>
  <c r="B126" i="76"/>
  <c r="E125" i="76"/>
  <c r="F125" i="76" s="1"/>
  <c r="G125" i="76" s="1"/>
  <c r="D125" i="76"/>
  <c r="E123" i="76"/>
  <c r="F123" i="76" s="1"/>
  <c r="G123" i="76" s="1"/>
  <c r="H123" i="76" s="1"/>
  <c r="I123" i="76" s="1"/>
  <c r="J123" i="76" s="1"/>
  <c r="K123" i="76" s="1"/>
  <c r="L123" i="76" s="1"/>
  <c r="M123" i="76" s="1"/>
  <c r="D123" i="76"/>
  <c r="D119" i="76"/>
  <c r="E119" i="76" s="1"/>
  <c r="F119" i="76" s="1"/>
  <c r="G119" i="76" s="1"/>
  <c r="H119" i="76" s="1"/>
  <c r="I119" i="76" s="1"/>
  <c r="J119" i="76" s="1"/>
  <c r="K119" i="76" s="1"/>
  <c r="L119" i="76" s="1"/>
  <c r="M119" i="76" s="1"/>
  <c r="E117" i="76"/>
  <c r="F117" i="76" s="1"/>
  <c r="G117" i="76" s="1"/>
  <c r="D117" i="76"/>
  <c r="E115" i="76"/>
  <c r="F115" i="76" s="1"/>
  <c r="G115" i="76" s="1"/>
  <c r="H115" i="76" s="1"/>
  <c r="I115" i="76" s="1"/>
  <c r="J115" i="76" s="1"/>
  <c r="K115" i="76" s="1"/>
  <c r="L115" i="76" s="1"/>
  <c r="M115" i="76" s="1"/>
  <c r="D115" i="76"/>
  <c r="D113" i="76"/>
  <c r="E113" i="76" s="1"/>
  <c r="F113" i="76" s="1"/>
  <c r="G113" i="76" s="1"/>
  <c r="H113" i="76" s="1"/>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D85" i="76"/>
  <c r="E85" i="76" s="1"/>
  <c r="F85" i="76" s="1"/>
  <c r="G85" i="76" s="1"/>
  <c r="E83" i="76"/>
  <c r="F83" i="76" s="1"/>
  <c r="G83" i="76" s="1"/>
  <c r="D83" i="76"/>
  <c r="D81" i="76"/>
  <c r="E81" i="76" s="1"/>
  <c r="D79" i="76"/>
  <c r="E79" i="76" s="1"/>
  <c r="D77" i="76"/>
  <c r="E77" i="76" s="1"/>
  <c r="F77" i="76" s="1"/>
  <c r="G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s="1"/>
  <c r="F66" i="76" s="1"/>
  <c r="G66" i="76" s="1"/>
  <c r="H66" i="76" s="1"/>
  <c r="I66" i="76" s="1"/>
  <c r="C63" i="76"/>
  <c r="P49" i="76"/>
  <c r="P48"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U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Q23" i="76"/>
  <c r="Z23" i="76" s="1"/>
  <c r="J23" i="76"/>
  <c r="AC23" i="76" s="1"/>
  <c r="H23" i="76"/>
  <c r="AB23" i="76" s="1"/>
  <c r="F23" i="76"/>
  <c r="AA23" i="76" s="1"/>
  <c r="C23" i="76"/>
  <c r="Q21" i="76"/>
  <c r="Z21" i="76" s="1"/>
  <c r="J21" i="76"/>
  <c r="AC21" i="76" s="1"/>
  <c r="H21" i="76"/>
  <c r="AB21" i="76" s="1"/>
  <c r="F21" i="76"/>
  <c r="AA21" i="76" s="1"/>
  <c r="C21" i="76"/>
  <c r="Q19" i="76"/>
  <c r="Z19" i="76" s="1"/>
  <c r="C19" i="76"/>
  <c r="Q17" i="76"/>
  <c r="Z17" i="76" s="1"/>
  <c r="C17" i="76"/>
  <c r="Q15" i="76"/>
  <c r="Z15" i="76" s="1"/>
  <c r="J15" i="76"/>
  <c r="H15" i="76"/>
  <c r="AB15" i="76" s="1"/>
  <c r="F15" i="76"/>
  <c r="C15" i="76"/>
  <c r="AC14" i="76"/>
  <c r="W14" i="76"/>
  <c r="Q14" i="76"/>
  <c r="Z14" i="76" s="1"/>
  <c r="J14" i="76"/>
  <c r="H14" i="76"/>
  <c r="AB14" i="76" s="1"/>
  <c r="F14" i="76"/>
  <c r="AA14" i="76" s="1"/>
  <c r="AB13" i="76"/>
  <c r="U13" i="76"/>
  <c r="Q13" i="76"/>
  <c r="Z13" i="76" s="1"/>
  <c r="J13" i="76"/>
  <c r="AC13" i="76" s="1"/>
  <c r="H13" i="76"/>
  <c r="F13" i="76"/>
  <c r="AA13" i="76" s="1"/>
  <c r="Q12" i="76"/>
  <c r="Z12" i="76" s="1"/>
  <c r="J12" i="76"/>
  <c r="AC12" i="76" s="1"/>
  <c r="H12" i="76"/>
  <c r="AB12" i="76" s="1"/>
  <c r="F12" i="76"/>
  <c r="AA12" i="76" s="1"/>
  <c r="Q11" i="76"/>
  <c r="Z11" i="76" s="1"/>
  <c r="Q10" i="76"/>
  <c r="Z10" i="76" s="1"/>
  <c r="J10" i="76"/>
  <c r="AC10" i="76" s="1"/>
  <c r="H10" i="76"/>
  <c r="AB10" i="76" s="1"/>
  <c r="F10" i="76"/>
  <c r="AA10" i="76" s="1"/>
  <c r="AC9" i="76"/>
  <c r="W9" i="76"/>
  <c r="Q9" i="76"/>
  <c r="Z9" i="76" s="1"/>
  <c r="J9" i="76"/>
  <c r="H9" i="76"/>
  <c r="AB9" i="76" s="1"/>
  <c r="F9" i="76"/>
  <c r="AA9" i="76" s="1"/>
  <c r="W8" i="76"/>
  <c r="J8" i="76"/>
  <c r="AC8" i="76" s="1"/>
  <c r="H8" i="76"/>
  <c r="AB8" i="76" s="1"/>
  <c r="F8" i="76"/>
  <c r="S8" i="76" s="1"/>
  <c r="I7" i="76"/>
  <c r="G7" i="76"/>
  <c r="D3" i="76"/>
  <c r="I7" i="21"/>
  <c r="G7" i="21"/>
  <c r="F79" i="76" l="1"/>
  <c r="G79" i="76" s="1"/>
  <c r="J17" i="76"/>
  <c r="AC17" i="76" s="1"/>
  <c r="F81" i="76"/>
  <c r="G81" i="76" s="1"/>
  <c r="J19" i="76"/>
  <c r="AC19" i="76" s="1"/>
  <c r="H19" i="76"/>
  <c r="AB19" i="76" s="1"/>
  <c r="F19" i="76"/>
  <c r="AA19" i="76" s="1"/>
  <c r="D22" i="79"/>
  <c r="F17" i="76"/>
  <c r="AA17" i="76" s="1"/>
  <c r="H17" i="76"/>
  <c r="AB17" i="76" s="1"/>
  <c r="D22" i="78"/>
  <c r="D23" i="79"/>
  <c r="D23" i="78"/>
  <c r="W45" i="80"/>
  <c r="S33" i="80"/>
  <c r="S16" i="80"/>
  <c r="E54" i="76"/>
  <c r="F54" i="76" s="1"/>
  <c r="I54" i="76"/>
  <c r="J54" i="76" s="1"/>
  <c r="U8" i="76"/>
  <c r="AA8" i="76"/>
  <c r="S9" i="76"/>
  <c r="U10" i="76"/>
  <c r="W12" i="76"/>
  <c r="S14" i="76"/>
  <c r="S12" i="76"/>
  <c r="AA15" i="76"/>
  <c r="S15" i="76"/>
  <c r="AC15" i="76"/>
  <c r="W15" i="76"/>
  <c r="U9" i="76"/>
  <c r="S10" i="76"/>
  <c r="W10" i="76"/>
  <c r="U12" i="76"/>
  <c r="S13" i="76"/>
  <c r="W13" i="76"/>
  <c r="U14" i="76"/>
  <c r="U15" i="76"/>
  <c r="U19" i="76"/>
  <c r="U21" i="76"/>
  <c r="U23" i="76"/>
  <c r="S25" i="76"/>
  <c r="W25" i="76"/>
  <c r="U26" i="76"/>
  <c r="S27" i="76"/>
  <c r="W27" i="76"/>
  <c r="U28" i="76"/>
  <c r="S29" i="76"/>
  <c r="W29" i="76"/>
  <c r="U30" i="76"/>
  <c r="S31" i="76"/>
  <c r="W31" i="76"/>
  <c r="U32" i="76"/>
  <c r="U34" i="76"/>
  <c r="S35" i="76"/>
  <c r="W35" i="76"/>
  <c r="U36" i="76"/>
  <c r="S37" i="76"/>
  <c r="W37" i="76"/>
  <c r="U38" i="76"/>
  <c r="S39" i="76"/>
  <c r="W39" i="76"/>
  <c r="U40" i="76"/>
  <c r="S41" i="76"/>
  <c r="W41" i="76"/>
  <c r="U42" i="76"/>
  <c r="S43" i="76"/>
  <c r="W43" i="76"/>
  <c r="AB43" i="76"/>
  <c r="W17" i="76"/>
  <c r="W19" i="76"/>
  <c r="S21" i="76"/>
  <c r="W21" i="76"/>
  <c r="S23" i="76"/>
  <c r="W23" i="76"/>
  <c r="U25" i="76"/>
  <c r="S26" i="76"/>
  <c r="W26" i="76"/>
  <c r="U27" i="76"/>
  <c r="S28" i="76"/>
  <c r="W28" i="76"/>
  <c r="U29" i="76"/>
  <c r="S30" i="76"/>
  <c r="W30" i="76"/>
  <c r="U31" i="76"/>
  <c r="S32" i="76"/>
  <c r="W32" i="76"/>
  <c r="S34" i="76"/>
  <c r="W34" i="76"/>
  <c r="U35" i="76"/>
  <c r="S36" i="76"/>
  <c r="W36" i="76"/>
  <c r="U37" i="76"/>
  <c r="S38" i="76"/>
  <c r="W38" i="76"/>
  <c r="U39" i="76"/>
  <c r="S40" i="76"/>
  <c r="W40" i="76"/>
  <c r="U41" i="76"/>
  <c r="S42" i="76"/>
  <c r="W42" i="76"/>
  <c r="U44" i="76"/>
  <c r="S45" i="76"/>
  <c r="W45" i="76"/>
  <c r="U46" i="76"/>
  <c r="R47" i="76"/>
  <c r="V47" i="76"/>
  <c r="G54" i="76"/>
  <c r="H54" i="76" s="1"/>
  <c r="K141" i="76"/>
  <c r="S44" i="76"/>
  <c r="W44" i="76"/>
  <c r="U45" i="76"/>
  <c r="S46" i="76"/>
  <c r="W46" i="76"/>
  <c r="K144" i="76"/>
  <c r="N44" i="72"/>
  <c r="Y50" i="72"/>
  <c r="Z50" i="72" s="1"/>
  <c r="W50" i="72"/>
  <c r="T49" i="72"/>
  <c r="AA44" i="72"/>
  <c r="Z44" i="72"/>
  <c r="Y44" i="72"/>
  <c r="X44" i="72"/>
  <c r="W44" i="72"/>
  <c r="V44" i="72"/>
  <c r="U44" i="72"/>
  <c r="T44" i="72"/>
  <c r="S44" i="72"/>
  <c r="R44" i="72"/>
  <c r="Q44" i="72"/>
  <c r="P44" i="72"/>
  <c r="O44" i="72"/>
  <c r="J44" i="72"/>
  <c r="I44" i="72"/>
  <c r="AC36" i="72"/>
  <c r="F34" i="72"/>
  <c r="F33" i="72"/>
  <c r="K29" i="72"/>
  <c r="G29" i="72" s="1"/>
  <c r="H29" i="72"/>
  <c r="M28" i="72"/>
  <c r="K28" i="72"/>
  <c r="H28" i="72"/>
  <c r="E28" i="72"/>
  <c r="M27" i="72"/>
  <c r="K27" i="72"/>
  <c r="H27" i="72"/>
  <c r="E27" i="72"/>
  <c r="M26" i="72"/>
  <c r="K26" i="72"/>
  <c r="H26" i="72"/>
  <c r="M25" i="72"/>
  <c r="K25" i="72"/>
  <c r="H25" i="72"/>
  <c r="M24" i="72"/>
  <c r="K24" i="72"/>
  <c r="H24" i="72"/>
  <c r="G24" i="72"/>
  <c r="F24" i="72" s="1"/>
  <c r="M23" i="72"/>
  <c r="K23" i="72"/>
  <c r="H23" i="72"/>
  <c r="G23" i="72"/>
  <c r="M22" i="72"/>
  <c r="K22" i="72"/>
  <c r="H22" i="72"/>
  <c r="G22" i="72"/>
  <c r="M21" i="72"/>
  <c r="K21" i="72"/>
  <c r="H21" i="72"/>
  <c r="G21" i="72"/>
  <c r="L20" i="72"/>
  <c r="H20" i="72"/>
  <c r="G20" i="72"/>
  <c r="F20" i="72" s="1"/>
  <c r="L19" i="72"/>
  <c r="H19" i="72"/>
  <c r="G19" i="72"/>
  <c r="L18" i="72"/>
  <c r="H18" i="72"/>
  <c r="G18" i="72"/>
  <c r="F18" i="72" s="1"/>
  <c r="L17" i="72"/>
  <c r="H17" i="72"/>
  <c r="G17" i="72"/>
  <c r="L16" i="72"/>
  <c r="H16" i="72"/>
  <c r="G16" i="72"/>
  <c r="F16" i="72" s="1"/>
  <c r="L15" i="72"/>
  <c r="H15" i="72"/>
  <c r="G15" i="72"/>
  <c r="L14" i="72"/>
  <c r="H14" i="72"/>
  <c r="G14" i="72"/>
  <c r="F14" i="72" s="1"/>
  <c r="L13" i="72"/>
  <c r="H13" i="72"/>
  <c r="G13" i="72"/>
  <c r="L12" i="72"/>
  <c r="H12" i="72"/>
  <c r="G12" i="72"/>
  <c r="F12" i="72" s="1"/>
  <c r="L11" i="72"/>
  <c r="H11" i="72"/>
  <c r="G11" i="72"/>
  <c r="L10" i="72"/>
  <c r="H10" i="72"/>
  <c r="G10" i="72"/>
  <c r="F10" i="72" s="1"/>
  <c r="L9" i="72"/>
  <c r="H9" i="72"/>
  <c r="G9" i="72"/>
  <c r="L8" i="72"/>
  <c r="H8" i="72"/>
  <c r="G8" i="72"/>
  <c r="F8" i="72" s="1"/>
  <c r="L7" i="72"/>
  <c r="H7" i="72"/>
  <c r="G7" i="72"/>
  <c r="L6" i="72"/>
  <c r="H6" i="72"/>
  <c r="G6" i="72"/>
  <c r="F6" i="72" s="1"/>
  <c r="L5" i="72"/>
  <c r="H5" i="72"/>
  <c r="G5" i="72"/>
  <c r="L4" i="72"/>
  <c r="L44" i="72" s="1"/>
  <c r="H4" i="72"/>
  <c r="G4" i="72"/>
  <c r="F4" i="72" s="1"/>
  <c r="M3" i="72"/>
  <c r="M44" i="72" s="1"/>
  <c r="H3" i="72"/>
  <c r="H44" i="72" s="1"/>
  <c r="E22" i="4"/>
  <c r="B7" i="4"/>
  <c r="B5" i="4"/>
  <c r="D3" i="4"/>
  <c r="F22" i="72" l="1"/>
  <c r="F23" i="72"/>
  <c r="F29" i="72"/>
  <c r="G25" i="72"/>
  <c r="F25" i="72" s="1"/>
  <c r="F5" i="72"/>
  <c r="F7" i="72"/>
  <c r="F9" i="72"/>
  <c r="F11" i="72"/>
  <c r="F13" i="72"/>
  <c r="F15" i="72"/>
  <c r="F17" i="72"/>
  <c r="F19" i="72"/>
  <c r="F21" i="72"/>
  <c r="K44" i="72"/>
  <c r="G26" i="72"/>
  <c r="F26" i="72" s="1"/>
  <c r="G27" i="72"/>
  <c r="F27" i="72" s="1"/>
  <c r="G28" i="72"/>
  <c r="F28" i="72" s="1"/>
  <c r="G3" i="72"/>
  <c r="S19" i="76"/>
  <c r="S17" i="76"/>
  <c r="U17" i="76"/>
  <c r="G44" i="72"/>
  <c r="G46" i="72" s="1"/>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B66" i="63" s="1"/>
  <c r="A10" i="55"/>
  <c r="A9" i="55"/>
  <c r="B60" i="63" s="1"/>
  <c r="A8" i="55"/>
  <c r="A6" i="54"/>
  <c r="A8" i="54"/>
  <c r="A7" i="54"/>
  <c r="B51" i="63" s="1"/>
  <c r="A27" i="51"/>
  <c r="D5" i="46"/>
  <c r="Q8" i="59"/>
  <c r="O8" i="59"/>
  <c r="N9" i="59"/>
  <c r="O9" i="59"/>
  <c r="P9" i="59"/>
  <c r="Q9" i="59"/>
  <c r="N8" i="59"/>
  <c r="P8" i="59"/>
  <c r="K75" i="9"/>
  <c r="K6" i="4"/>
  <c r="O76" i="9" s="1"/>
  <c r="L76" i="9"/>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s="1"/>
  <c r="C5" i="59"/>
  <c r="D5" i="59" s="1"/>
  <c r="T6" i="59"/>
  <c r="D6"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B41" i="63"/>
  <c r="G5" i="54"/>
  <c r="B34" i="63" s="1"/>
  <c r="E5" i="54"/>
  <c r="B32" i="63" s="1"/>
  <c r="R2" i="54"/>
  <c r="B24" i="63" s="1"/>
  <c r="B49" i="50"/>
  <c r="B5" i="63"/>
  <c r="B40" i="50"/>
  <c r="B3" i="63" s="1"/>
  <c r="B67" i="63"/>
  <c r="I19" i="46"/>
  <c r="Q10" i="59"/>
  <c r="P10" i="59"/>
  <c r="O10" i="59"/>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c r="N35" i="59"/>
  <c r="B36" i="59"/>
  <c r="B37" i="59" s="1"/>
  <c r="B38" i="59" s="1"/>
  <c r="S38" i="59" s="1"/>
  <c r="D35" i="59"/>
  <c r="Q34" i="59"/>
  <c r="P34" i="59"/>
  <c r="O34" i="59"/>
  <c r="N34" i="59"/>
  <c r="Q33" i="59"/>
  <c r="P33" i="59"/>
  <c r="O33" i="59"/>
  <c r="N33" i="59"/>
  <c r="Q32" i="59"/>
  <c r="P32" i="59"/>
  <c r="O32" i="59"/>
  <c r="N32" i="59"/>
  <c r="Q31" i="59"/>
  <c r="F32" i="59"/>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29" i="59"/>
  <c r="F30" i="59"/>
  <c r="V30" i="59" s="1"/>
  <c r="F37" i="59"/>
  <c r="F38" i="59" s="1"/>
  <c r="V38" i="59" s="1"/>
  <c r="F41" i="59"/>
  <c r="F42" i="59"/>
  <c r="V42" i="59" s="1"/>
  <c r="F45" i="59"/>
  <c r="F46" i="59" s="1"/>
  <c r="V46" i="59" s="1"/>
  <c r="D12" i="59"/>
  <c r="C21" i="59"/>
  <c r="D20" i="59"/>
  <c r="C29" i="59"/>
  <c r="D29" i="59"/>
  <c r="D28" i="59"/>
  <c r="C33" i="59"/>
  <c r="C34" i="59" s="1"/>
  <c r="D32" i="59"/>
  <c r="C37" i="59"/>
  <c r="C38" i="59" s="1"/>
  <c r="D36" i="59"/>
  <c r="C41" i="59"/>
  <c r="D41" i="59" s="1"/>
  <c r="D40" i="59"/>
  <c r="C45" i="59"/>
  <c r="C46" i="59" s="1"/>
  <c r="D44" i="59"/>
  <c r="E48" i="59"/>
  <c r="P47" i="59" s="1"/>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M16" i="4"/>
  <c r="K16" i="4"/>
  <c r="P48" i="59"/>
  <c r="C68" i="59"/>
  <c r="D68" i="59" s="1"/>
  <c r="D61" i="59"/>
  <c r="C60" i="59"/>
  <c r="D60" i="59"/>
  <c r="D53" i="59"/>
  <c r="C52" i="59"/>
  <c r="D52" i="59" s="1"/>
  <c r="C48" i="59"/>
  <c r="O48" i="59" s="1"/>
  <c r="O49" i="59"/>
  <c r="D49" i="59"/>
  <c r="D65" i="59"/>
  <c r="C64" i="59"/>
  <c r="D64" i="59" s="1"/>
  <c r="D57" i="59"/>
  <c r="C56" i="59"/>
  <c r="D56" i="59"/>
  <c r="D45" i="59"/>
  <c r="C42" i="59"/>
  <c r="T42" i="59" s="1"/>
  <c r="D37" i="59"/>
  <c r="D33" i="59"/>
  <c r="C22" i="59"/>
  <c r="D21" i="59"/>
  <c r="D42" i="59"/>
  <c r="T22" i="59"/>
  <c r="D22" i="59"/>
  <c r="D48" i="59"/>
  <c r="O27" i="6"/>
  <c r="N27" i="6"/>
  <c r="P26" i="6"/>
  <c r="L26" i="6"/>
  <c r="P25" i="6"/>
  <c r="L25" i="6"/>
  <c r="P24" i="6"/>
  <c r="L24" i="6"/>
  <c r="P23" i="6"/>
  <c r="L23" i="6"/>
  <c r="P22" i="6"/>
  <c r="P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C31" i="39" s="1"/>
  <c r="S18" i="36"/>
  <c r="S18" i="35"/>
  <c r="S21" i="37"/>
  <c r="S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AZ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c r="H111" i="33" s="1"/>
  <c r="I111" i="33"/>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c r="B120" i="40"/>
  <c r="B118" i="40"/>
  <c r="F40" i="40" s="1"/>
  <c r="AA40" i="40"/>
  <c r="D117" i="40"/>
  <c r="E117" i="40"/>
  <c r="F117" i="40" s="1"/>
  <c r="G117" i="40"/>
  <c r="H117" i="40" s="1"/>
  <c r="I117" i="40" s="1"/>
  <c r="J117" i="40" s="1"/>
  <c r="K117" i="40" s="1"/>
  <c r="L117" i="40" s="1"/>
  <c r="M117" i="40" s="1"/>
  <c r="D115" i="40"/>
  <c r="J38" i="40"/>
  <c r="AC38" i="40" s="1"/>
  <c r="E115" i="40"/>
  <c r="F115" i="40" s="1"/>
  <c r="G115" i="40"/>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c r="G102" i="40" s="1"/>
  <c r="H102" i="40"/>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c r="G83" i="36" s="1"/>
  <c r="H83" i="36"/>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c r="D64" i="35"/>
  <c r="E64" i="35"/>
  <c r="F64" i="35" s="1"/>
  <c r="G64" i="35"/>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c r="I102" i="34" s="1"/>
  <c r="J102" i="34" s="1"/>
  <c r="K102" i="34" s="1"/>
  <c r="L102" i="34" s="1"/>
  <c r="M102" i="34" s="1"/>
  <c r="H33" i="34"/>
  <c r="U33" i="34" s="1"/>
  <c r="D92" i="34"/>
  <c r="E92" i="34" s="1"/>
  <c r="F92" i="34"/>
  <c r="G92" i="34" s="1"/>
  <c r="H92" i="34"/>
  <c r="I92" i="34" s="1"/>
  <c r="J92" i="34" s="1"/>
  <c r="K92" i="34" s="1"/>
  <c r="L92" i="34" s="1"/>
  <c r="M92" i="34" s="1"/>
  <c r="B91" i="34"/>
  <c r="F28" i="34" s="1"/>
  <c r="AA28" i="34" s="1"/>
  <c r="S28" i="34"/>
  <c r="B89" i="34"/>
  <c r="J27" i="34"/>
  <c r="D88" i="34"/>
  <c r="E88" i="34"/>
  <c r="F88" i="34" s="1"/>
  <c r="G88" i="34"/>
  <c r="H88" i="34" s="1"/>
  <c r="I88" i="34"/>
  <c r="J88" i="34" s="1"/>
  <c r="K88" i="34" s="1"/>
  <c r="L88" i="34" s="1"/>
  <c r="M88" i="34" s="1"/>
  <c r="D86" i="34"/>
  <c r="E86" i="34"/>
  <c r="D82" i="34"/>
  <c r="E82" i="34"/>
  <c r="F82" i="34" s="1"/>
  <c r="G82" i="34"/>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c r="G91" i="33" s="1"/>
  <c r="H91" i="33" s="1"/>
  <c r="I91" i="33" s="1"/>
  <c r="J91" i="33"/>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s="1"/>
  <c r="K69" i="33" s="1"/>
  <c r="L69" i="33"/>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9" i="80" s="1"/>
  <c r="C20" i="20"/>
  <c r="C18" i="20"/>
  <c r="C17" i="20"/>
  <c r="C16" i="20"/>
  <c r="C15" i="20"/>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19" i="6" s="1"/>
  <c r="E19" i="6" s="1"/>
  <c r="J5" i="3"/>
  <c r="BE10" i="3"/>
  <c r="BD13" i="3"/>
  <c r="BE13" i="3"/>
  <c r="BF13"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21" i="6" s="1"/>
  <c r="L5" i="3"/>
  <c r="M5" i="3"/>
  <c r="F20" i="6" s="1"/>
  <c r="N5" i="3"/>
  <c r="O5" i="3"/>
  <c r="G23" i="6" s="1"/>
  <c r="E23" i="6" s="1"/>
  <c r="P5" i="3"/>
  <c r="Q5" i="3"/>
  <c r="F22" i="6" s="1"/>
  <c r="E22" i="6" s="1"/>
  <c r="R5" i="3"/>
  <c r="S5" i="3"/>
  <c r="T5" i="3"/>
  <c r="U5" i="3"/>
  <c r="V5" i="3"/>
  <c r="W5" i="3"/>
  <c r="X5" i="3"/>
  <c r="Y5" i="3"/>
  <c r="Z5" i="3"/>
  <c r="AA5" i="3"/>
  <c r="AB5" i="3"/>
  <c r="H570" i="3"/>
  <c r="G570" i="3"/>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H35" i="21"/>
  <c r="AB35" i="21" s="1"/>
  <c r="J8" i="21"/>
  <c r="J9" i="21"/>
  <c r="AC9" i="21" s="1"/>
  <c r="H8" i="21"/>
  <c r="H10" i="21"/>
  <c r="U10" i="21"/>
  <c r="H39" i="21"/>
  <c r="AB39" i="21" s="1"/>
  <c r="J34" i="21"/>
  <c r="W34" i="21" s="1"/>
  <c r="H36" i="21"/>
  <c r="U36" i="21" s="1"/>
  <c r="F35" i="21"/>
  <c r="AA35" i="21" s="1"/>
  <c r="J10" i="21"/>
  <c r="AC10" i="21" s="1"/>
  <c r="H26" i="21"/>
  <c r="J12" i="21"/>
  <c r="H12" i="21"/>
  <c r="U12" i="21" s="1"/>
  <c r="J26" i="21"/>
  <c r="W26" i="21" s="1"/>
  <c r="F26" i="21"/>
  <c r="AA26" i="21" s="1"/>
  <c r="AB41" i="21"/>
  <c r="AA41" i="21"/>
  <c r="S10" i="39"/>
  <c r="E103" i="37"/>
  <c r="F103" i="37" s="1"/>
  <c r="F39" i="37"/>
  <c r="W39" i="37"/>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H39" i="37"/>
  <c r="AB39" i="37" s="1"/>
  <c r="AB27" i="35"/>
  <c r="S10" i="40"/>
  <c r="W10" i="40"/>
  <c r="S11" i="40"/>
  <c r="U11" i="40"/>
  <c r="S36" i="40"/>
  <c r="U36" i="40"/>
  <c r="S36" i="39"/>
  <c r="AA38" i="21"/>
  <c r="AC35" i="21"/>
  <c r="C23" i="39"/>
  <c r="U36" i="39"/>
  <c r="S42" i="39"/>
  <c r="H32" i="33"/>
  <c r="AB32" i="33"/>
  <c r="F86" i="40"/>
  <c r="G86" i="40" s="1"/>
  <c r="AA12" i="33"/>
  <c r="J27" i="36"/>
  <c r="W27" i="36"/>
  <c r="J30" i="35"/>
  <c r="W30" i="35"/>
  <c r="F22" i="35"/>
  <c r="AA22" i="35"/>
  <c r="H10" i="35"/>
  <c r="U10" i="35"/>
  <c r="U29" i="36"/>
  <c r="E85" i="36"/>
  <c r="F85" i="36" s="1"/>
  <c r="G85" i="36"/>
  <c r="H85" i="36" s="1"/>
  <c r="I85" i="36"/>
  <c r="J85" i="36" s="1"/>
  <c r="K85" i="36" s="1"/>
  <c r="L85" i="36" s="1"/>
  <c r="M85" i="36" s="1"/>
  <c r="J29" i="36"/>
  <c r="AC29" i="36"/>
  <c r="F12" i="36"/>
  <c r="S12" i="36"/>
  <c r="S10" i="36"/>
  <c r="AB8" i="36"/>
  <c r="H16" i="35"/>
  <c r="U16" i="35"/>
  <c r="H33" i="35"/>
  <c r="AB33" i="35"/>
  <c r="W8" i="35"/>
  <c r="AC8" i="35"/>
  <c r="F35" i="37"/>
  <c r="E101" i="37"/>
  <c r="F101" i="37" s="1"/>
  <c r="G101" i="37"/>
  <c r="H101" i="37" s="1"/>
  <c r="I101" i="37"/>
  <c r="J101" i="37" s="1"/>
  <c r="K101" i="37" s="1"/>
  <c r="L101" i="37" s="1"/>
  <c r="M101" i="37" s="1"/>
  <c r="J34" i="37"/>
  <c r="W34" i="37"/>
  <c r="H43" i="34"/>
  <c r="U42" i="34"/>
  <c r="E114" i="34"/>
  <c r="H36" i="34"/>
  <c r="U36" i="34"/>
  <c r="F37" i="34"/>
  <c r="AA37" i="34"/>
  <c r="F33" i="34"/>
  <c r="S33" i="34"/>
  <c r="F19" i="34"/>
  <c r="AA19" i="34" s="1"/>
  <c r="J10" i="34"/>
  <c r="AC10" i="34" s="1"/>
  <c r="U9" i="34"/>
  <c r="J28" i="34"/>
  <c r="W28" i="34" s="1"/>
  <c r="S38" i="33"/>
  <c r="F36" i="33"/>
  <c r="S36" i="33" s="1"/>
  <c r="F19" i="33"/>
  <c r="S19" i="33" s="1"/>
  <c r="J19" i="33"/>
  <c r="W40" i="33"/>
  <c r="G125" i="21"/>
  <c r="AB30" i="36"/>
  <c r="S22" i="35"/>
  <c r="H29" i="35"/>
  <c r="U34" i="37"/>
  <c r="AA34" i="37"/>
  <c r="AB42" i="34"/>
  <c r="AB40" i="34"/>
  <c r="W36" i="34"/>
  <c r="J19" i="34"/>
  <c r="AC19" i="34"/>
  <c r="G113" i="33"/>
  <c r="H113" i="33" s="1"/>
  <c r="I113" i="33"/>
  <c r="J113" i="33" s="1"/>
  <c r="K113" i="33" s="1"/>
  <c r="L113" i="33" s="1"/>
  <c r="M113" i="33"/>
  <c r="H37" i="33"/>
  <c r="AB37" i="33"/>
  <c r="S37" i="33"/>
  <c r="W43" i="34"/>
  <c r="W42" i="34"/>
  <c r="AA42" i="34"/>
  <c r="S42" i="34"/>
  <c r="W38" i="34"/>
  <c r="S38" i="34"/>
  <c r="J37" i="33"/>
  <c r="W37" i="33"/>
  <c r="J42" i="21"/>
  <c r="AC42" i="21" s="1"/>
  <c r="J44" i="34"/>
  <c r="AC44" i="34"/>
  <c r="F44" i="34"/>
  <c r="S44" i="34"/>
  <c r="J10" i="35"/>
  <c r="W10" i="35"/>
  <c r="AL5" i="3"/>
  <c r="BQ13" i="3"/>
  <c r="BQ5" i="3" s="1"/>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AA46" i="21" s="1"/>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J27" i="33"/>
  <c r="AC27" i="33"/>
  <c r="F27" i="33"/>
  <c r="S27" i="33"/>
  <c r="S13" i="33"/>
  <c r="W29" i="33"/>
  <c r="J45" i="33"/>
  <c r="W45" i="33" s="1"/>
  <c r="F45" i="33"/>
  <c r="S45" i="33" s="1"/>
  <c r="F11" i="35"/>
  <c r="S11" i="35" s="1"/>
  <c r="H28" i="36"/>
  <c r="U28" i="36" s="1"/>
  <c r="H32" i="36"/>
  <c r="AB32" i="36" s="1"/>
  <c r="J32" i="36"/>
  <c r="J11" i="36"/>
  <c r="W11" i="36"/>
  <c r="E89" i="37"/>
  <c r="F89" i="37"/>
  <c r="G89" i="37" s="1"/>
  <c r="H89" i="37"/>
  <c r="I89" i="37" s="1"/>
  <c r="J89" i="37" s="1"/>
  <c r="K89" i="37" s="1"/>
  <c r="L89" i="37" s="1"/>
  <c r="M89" i="37" s="1"/>
  <c r="J29" i="37"/>
  <c r="W29" i="37" s="1"/>
  <c r="F29" i="37"/>
  <c r="AA29" i="37" s="1"/>
  <c r="F105" i="37"/>
  <c r="G105" i="37" s="1"/>
  <c r="AB36" i="37"/>
  <c r="F107" i="37"/>
  <c r="J37" i="37"/>
  <c r="AC37" i="37"/>
  <c r="H37" i="37"/>
  <c r="U37"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S28" i="21"/>
  <c r="AB14" i="21"/>
  <c r="AC14" i="21"/>
  <c r="W31" i="34"/>
  <c r="S46" i="33"/>
  <c r="U36" i="37"/>
  <c r="AB45" i="33"/>
  <c r="AA27" i="33"/>
  <c r="U28" i="21"/>
  <c r="G521" i="3"/>
  <c r="G513" i="3"/>
  <c r="G499" i="3"/>
  <c r="G485" i="3"/>
  <c r="G565" i="3"/>
  <c r="G557" i="3"/>
  <c r="G545" i="3"/>
  <c r="BL569" i="3"/>
  <c r="BL561" i="3"/>
  <c r="BL553" i="3"/>
  <c r="BL535" i="3"/>
  <c r="BL519" i="3"/>
  <c r="BL501" i="3"/>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c r="AZ560" i="3" s="1"/>
  <c r="BQ558" i="3"/>
  <c r="BL558" i="3"/>
  <c r="BQ556" i="3"/>
  <c r="BL556" i="3"/>
  <c r="BQ554" i="3"/>
  <c r="BQ552" i="3"/>
  <c r="BL552" i="3" s="1"/>
  <c r="BQ550" i="3"/>
  <c r="BL550" i="3" s="1"/>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c r="H17" i="37"/>
  <c r="U17" i="37"/>
  <c r="F23" i="37"/>
  <c r="S23" i="37"/>
  <c r="F79" i="37"/>
  <c r="G79" i="37" s="1"/>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c r="F17" i="37"/>
  <c r="AA17" i="37"/>
  <c r="AB43" i="33"/>
  <c r="AC33" i="36"/>
  <c r="AC12" i="35"/>
  <c r="W23" i="35"/>
  <c r="AC23" i="37"/>
  <c r="S27" i="37"/>
  <c r="U39" i="37"/>
  <c r="AC8" i="37"/>
  <c r="S25" i="37"/>
  <c r="AC36" i="34"/>
  <c r="AB8" i="34"/>
  <c r="AC37" i="33"/>
  <c r="AA13" i="33"/>
  <c r="AC45" i="33"/>
  <c r="AA36" i="21"/>
  <c r="S39" i="33"/>
  <c r="F43" i="33"/>
  <c r="AA43" i="33"/>
  <c r="AA23" i="37"/>
  <c r="S10" i="35"/>
  <c r="AB44" i="33"/>
  <c r="G107" i="37"/>
  <c r="H107" i="37" s="1"/>
  <c r="I107" i="37" s="1"/>
  <c r="J107" i="37" s="1"/>
  <c r="K107" i="37" s="1"/>
  <c r="L107" i="37" s="1"/>
  <c r="M107" i="37" s="1"/>
  <c r="H19" i="34"/>
  <c r="AB19" i="34"/>
  <c r="J10" i="37"/>
  <c r="W10" i="37"/>
  <c r="F36" i="35"/>
  <c r="S36" i="35" s="1"/>
  <c r="J9" i="37"/>
  <c r="W9" i="37" s="1"/>
  <c r="H9" i="37"/>
  <c r="U9" i="37" s="1"/>
  <c r="F9" i="37"/>
  <c r="S9" i="37" s="1"/>
  <c r="F11" i="37"/>
  <c r="S11" i="37"/>
  <c r="J12" i="37"/>
  <c r="AC12" i="37"/>
  <c r="H12" i="37"/>
  <c r="AB12" i="37"/>
  <c r="F12" i="37"/>
  <c r="AA12" i="37"/>
  <c r="H15" i="37"/>
  <c r="U15" i="37"/>
  <c r="E94" i="37"/>
  <c r="F31" i="37"/>
  <c r="S31" i="37"/>
  <c r="F94" i="37"/>
  <c r="G94" i="37"/>
  <c r="H94" i="37" s="1"/>
  <c r="I94" i="37" s="1"/>
  <c r="J94" i="37" s="1"/>
  <c r="K94" i="37" s="1"/>
  <c r="L94" i="37" s="1"/>
  <c r="M94" i="37" s="1"/>
  <c r="H31" i="37"/>
  <c r="AB31" i="37"/>
  <c r="J15" i="37"/>
  <c r="W15" i="37"/>
  <c r="U12" i="37"/>
  <c r="AB10" i="37"/>
  <c r="J11" i="37"/>
  <c r="W11" i="37"/>
  <c r="U31" i="37"/>
  <c r="E90" i="40"/>
  <c r="F21" i="40"/>
  <c r="S21" i="40"/>
  <c r="W36" i="40"/>
  <c r="F90" i="40"/>
  <c r="J21" i="40"/>
  <c r="AC21" i="40"/>
  <c r="G90" i="40"/>
  <c r="S27" i="31"/>
  <c r="AZ540" i="3"/>
  <c r="G483" i="3"/>
  <c r="G515" i="3"/>
  <c r="G507" i="3"/>
  <c r="G501" i="3"/>
  <c r="BA15" i="3"/>
  <c r="BL17" i="3"/>
  <c r="BL15" i="3"/>
  <c r="BA14" i="3"/>
  <c r="AZ14" i="3" s="1"/>
  <c r="J57" i="39"/>
  <c r="H13" i="40"/>
  <c r="U13" i="40"/>
  <c r="H12" i="48"/>
  <c r="I4" i="4"/>
  <c r="K141" i="21"/>
  <c r="K143" i="21"/>
  <c r="K144" i="21"/>
  <c r="I59" i="40"/>
  <c r="C59" i="40"/>
  <c r="I60" i="40"/>
  <c r="C60" i="40"/>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185" i="3"/>
  <c r="AZ94" i="3"/>
  <c r="AZ102" i="3"/>
  <c r="AZ110" i="3"/>
  <c r="G491" i="3"/>
  <c r="BA298" i="3"/>
  <c r="AZ298" i="3"/>
  <c r="BA299" i="3"/>
  <c r="AZ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6" i="3"/>
  <c r="AZ170" i="3"/>
  <c r="AZ174" i="3"/>
  <c r="AZ179" i="3"/>
  <c r="AZ183" i="3"/>
  <c r="AZ191" i="3"/>
  <c r="AZ199" i="3"/>
  <c r="AZ203" i="3"/>
  <c r="G523" i="3"/>
  <c r="BL297" i="3"/>
  <c r="AZ297" i="3"/>
  <c r="G298" i="3"/>
  <c r="BA300" i="3"/>
  <c r="AZ300" i="3" s="1"/>
  <c r="BL301" i="3"/>
  <c r="AZ301" i="3"/>
  <c r="G302" i="3"/>
  <c r="BA304" i="3"/>
  <c r="AZ304" i="3" s="1"/>
  <c r="BL305" i="3"/>
  <c r="AZ305" i="3" s="1"/>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209" i="3"/>
  <c r="AZ221" i="3"/>
  <c r="AZ225" i="3"/>
  <c r="AZ237" i="3"/>
  <c r="AZ241" i="3"/>
  <c r="AZ309" i="3"/>
  <c r="AZ321" i="3"/>
  <c r="AZ333" i="3"/>
  <c r="AZ363" i="3"/>
  <c r="G368" i="3"/>
  <c r="BA370" i="3"/>
  <c r="AZ370" i="3" s="1"/>
  <c r="BL371" i="3"/>
  <c r="AZ371" i="3" s="1"/>
  <c r="G372" i="3"/>
  <c r="BA374" i="3"/>
  <c r="AZ374" i="3"/>
  <c r="BL375" i="3"/>
  <c r="G376" i="3"/>
  <c r="BA378" i="3"/>
  <c r="AZ378" i="3"/>
  <c r="BL379" i="3"/>
  <c r="AZ379" i="3"/>
  <c r="G380" i="3"/>
  <c r="BA382" i="3"/>
  <c r="BL383" i="3"/>
  <c r="G384" i="3"/>
  <c r="AZ253" i="3"/>
  <c r="AZ257" i="3"/>
  <c r="AZ375" i="3"/>
  <c r="AZ383" i="3"/>
  <c r="AZ270" i="3"/>
  <c r="AZ282" i="3"/>
  <c r="AZ286" i="3"/>
  <c r="AZ295" i="3"/>
  <c r="AZ303" i="3"/>
  <c r="AZ347" i="3"/>
  <c r="AZ351" i="3"/>
  <c r="AZ361" i="3"/>
  <c r="AZ385" i="3"/>
  <c r="AZ394" i="3"/>
  <c r="AZ410" i="3"/>
  <c r="AZ418" i="3"/>
  <c r="AZ426" i="3"/>
  <c r="AZ430" i="3"/>
  <c r="AZ442" i="3"/>
  <c r="AZ446" i="3"/>
  <c r="AZ459" i="3"/>
  <c r="AZ475"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c r="AC26" i="36"/>
  <c r="AZ354" i="3"/>
  <c r="AZ322" i="3"/>
  <c r="F13" i="39"/>
  <c r="S13" i="39" s="1"/>
  <c r="H11" i="37"/>
  <c r="AB11" i="37"/>
  <c r="W37" i="37"/>
  <c r="AA30" i="33"/>
  <c r="AA36" i="37"/>
  <c r="S42" i="33"/>
  <c r="U32" i="33"/>
  <c r="AB17" i="37"/>
  <c r="AC29" i="33"/>
  <c r="AA45" i="33"/>
  <c r="AC11" i="36"/>
  <c r="AC10" i="36"/>
  <c r="AB45" i="34"/>
  <c r="W44" i="33"/>
  <c r="AC30" i="33"/>
  <c r="W30" i="33"/>
  <c r="AC29" i="37"/>
  <c r="W32" i="36"/>
  <c r="AC32" i="36"/>
  <c r="U28" i="33"/>
  <c r="AB28" i="33"/>
  <c r="J33" i="34"/>
  <c r="AC33" i="34"/>
  <c r="AB36" i="34"/>
  <c r="J40" i="34"/>
  <c r="W40" i="34"/>
  <c r="F16" i="35"/>
  <c r="AA16" i="35"/>
  <c r="W42" i="33"/>
  <c r="J35" i="34"/>
  <c r="W35" i="34"/>
  <c r="F107" i="34"/>
  <c r="G107" i="34"/>
  <c r="H107" i="34" s="1"/>
  <c r="I107" i="34" s="1"/>
  <c r="J107" i="34" s="1"/>
  <c r="K107" i="34" s="1"/>
  <c r="L107" i="34" s="1"/>
  <c r="M107" i="34" s="1"/>
  <c r="S30" i="36"/>
  <c r="H16" i="36"/>
  <c r="AB16" i="36"/>
  <c r="G103" i="37"/>
  <c r="H103" i="37"/>
  <c r="I103" i="37"/>
  <c r="J103" i="37" s="1"/>
  <c r="K103" i="37" s="1"/>
  <c r="L103" i="37" s="1"/>
  <c r="M103" i="37" s="1"/>
  <c r="H35" i="37"/>
  <c r="AB35" i="37"/>
  <c r="S26" i="21"/>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G80" i="34" s="1"/>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S45" i="34"/>
  <c r="U31" i="34"/>
  <c r="W27" i="33"/>
  <c r="S28" i="33"/>
  <c r="S14" i="21"/>
  <c r="AA44" i="34"/>
  <c r="AB29" i="35"/>
  <c r="U29" i="35"/>
  <c r="AC19" i="33"/>
  <c r="W19" i="33"/>
  <c r="U43" i="34"/>
  <c r="AB43" i="34"/>
  <c r="AC34" i="37"/>
  <c r="S35" i="37"/>
  <c r="AA35" i="37"/>
  <c r="AB10" i="35"/>
  <c r="S32" i="21"/>
  <c r="U38" i="21"/>
  <c r="BL571" i="3"/>
  <c r="BA571" i="3"/>
  <c r="AZ571" i="3" s="1"/>
  <c r="BL570" i="3"/>
  <c r="BE5" i="3"/>
  <c r="F42" i="21"/>
  <c r="AA42" i="21" s="1"/>
  <c r="AB40" i="33"/>
  <c r="U40" i="33"/>
  <c r="AA35" i="34"/>
  <c r="S35" i="34"/>
  <c r="E90" i="34"/>
  <c r="H27" i="34"/>
  <c r="AB27" i="34"/>
  <c r="AB8" i="35"/>
  <c r="U8" i="35"/>
  <c r="S9" i="35"/>
  <c r="J14" i="35"/>
  <c r="AC14" i="35"/>
  <c r="F14" i="35"/>
  <c r="H14" i="35"/>
  <c r="U14" i="35"/>
  <c r="E80" i="35"/>
  <c r="E94" i="35"/>
  <c r="F94" i="35"/>
  <c r="G94" i="35" s="1"/>
  <c r="H94" i="35"/>
  <c r="I94" i="35" s="1"/>
  <c r="J94" i="35" s="1"/>
  <c r="K94" i="35" s="1"/>
  <c r="L94" i="35" s="1"/>
  <c r="M94" i="35" s="1"/>
  <c r="J32" i="35"/>
  <c r="AC32" i="35"/>
  <c r="H11" i="36"/>
  <c r="AB11" i="36"/>
  <c r="F11" i="36"/>
  <c r="S11" i="36"/>
  <c r="W16" i="36"/>
  <c r="AC16" i="36"/>
  <c r="E78" i="36"/>
  <c r="F78" i="36"/>
  <c r="G78" i="36"/>
  <c r="H78" i="36" s="1"/>
  <c r="I78" i="36"/>
  <c r="J78" i="36" s="1"/>
  <c r="K78" i="36" s="1"/>
  <c r="L78" i="36" s="1"/>
  <c r="M78" i="36" s="1"/>
  <c r="F26" i="36"/>
  <c r="S26" i="36"/>
  <c r="H33" i="36"/>
  <c r="U33" i="36"/>
  <c r="F33" i="36"/>
  <c r="AA33" i="36"/>
  <c r="H27" i="36"/>
  <c r="AB27" i="36"/>
  <c r="AA31" i="36"/>
  <c r="AC25" i="37"/>
  <c r="AC26" i="37"/>
  <c r="W26" i="37"/>
  <c r="AB29" i="37"/>
  <c r="AA30" i="37"/>
  <c r="S30" i="37"/>
  <c r="AC30" i="37"/>
  <c r="AC31" i="37"/>
  <c r="W31" i="37"/>
  <c r="F21" i="39"/>
  <c r="S21" i="39" s="1"/>
  <c r="H21" i="39"/>
  <c r="U21" i="39" s="1"/>
  <c r="J21" i="39"/>
  <c r="W21" i="39"/>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G103" i="39" s="1"/>
  <c r="H29" i="39"/>
  <c r="U29" i="39" s="1"/>
  <c r="F34" i="39"/>
  <c r="AA34" i="39" s="1"/>
  <c r="H34" i="39"/>
  <c r="AB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BA553" i="3"/>
  <c r="AZ553" i="3" s="1"/>
  <c r="BA552" i="3"/>
  <c r="AZ552" i="3" s="1"/>
  <c r="BL549" i="3"/>
  <c r="BA549" i="3"/>
  <c r="BL548" i="3"/>
  <c r="BA548" i="3"/>
  <c r="BL547" i="3"/>
  <c r="BA547" i="3"/>
  <c r="BL539" i="3"/>
  <c r="BA539" i="3"/>
  <c r="AZ539" i="3"/>
  <c r="BA538" i="3"/>
  <c r="AZ538" i="3"/>
  <c r="BL537" i="3"/>
  <c r="BA537" i="3"/>
  <c r="BL536" i="3"/>
  <c r="BA535" i="3"/>
  <c r="AZ535" i="3"/>
  <c r="BA534" i="3"/>
  <c r="BA533" i="3"/>
  <c r="AZ533" i="3"/>
  <c r="BL531" i="3"/>
  <c r="AZ531" i="3"/>
  <c r="BL530" i="3"/>
  <c r="BA530" i="3"/>
  <c r="BL529" i="3"/>
  <c r="BA529" i="3"/>
  <c r="BL528" i="3"/>
  <c r="BA527" i="3"/>
  <c r="BA526" i="3"/>
  <c r="BA525" i="3"/>
  <c r="BL523" i="3"/>
  <c r="BA523" i="3"/>
  <c r="AZ523" i="3" s="1"/>
  <c r="BL522" i="3"/>
  <c r="BA522" i="3"/>
  <c r="AZ522" i="3"/>
  <c r="BL521" i="3"/>
  <c r="BA519" i="3"/>
  <c r="AZ519" i="3"/>
  <c r="BL518" i="3"/>
  <c r="BA518" i="3"/>
  <c r="AZ518" i="3" s="1"/>
  <c r="BL517" i="3"/>
  <c r="BA517" i="3"/>
  <c r="AZ517" i="3"/>
  <c r="BL515" i="3"/>
  <c r="BA515" i="3"/>
  <c r="BA514" i="3"/>
  <c r="BL513" i="3"/>
  <c r="BA513" i="3"/>
  <c r="AZ513" i="3" s="1"/>
  <c r="BL512" i="3"/>
  <c r="AZ512" i="3" s="1"/>
  <c r="BA511" i="3"/>
  <c r="BA510" i="3"/>
  <c r="AZ510" i="3" s="1"/>
  <c r="BL509" i="3"/>
  <c r="AZ509" i="3" s="1"/>
  <c r="BL507" i="3"/>
  <c r="BA507" i="3"/>
  <c r="AZ507" i="3"/>
  <c r="BL506" i="3"/>
  <c r="BA506" i="3"/>
  <c r="AZ506" i="3" s="1"/>
  <c r="BL505" i="3"/>
  <c r="BL504" i="3"/>
  <c r="BA504" i="3"/>
  <c r="BA503" i="3"/>
  <c r="BA500" i="3"/>
  <c r="AZ500" i="3" s="1"/>
  <c r="BL499" i="3"/>
  <c r="BA499" i="3"/>
  <c r="AZ499" i="3"/>
  <c r="BL498" i="3"/>
  <c r="AZ498" i="3"/>
  <c r="BL497" i="3"/>
  <c r="BA497" i="3"/>
  <c r="AZ497" i="3" s="1"/>
  <c r="BL496" i="3"/>
  <c r="BA496" i="3"/>
  <c r="AZ496" i="3" s="1"/>
  <c r="BA495" i="3"/>
  <c r="AZ495" i="3" s="1"/>
  <c r="BL494" i="3"/>
  <c r="BA494" i="3"/>
  <c r="AZ494" i="3"/>
  <c r="G494" i="3"/>
  <c r="BA491" i="3"/>
  <c r="BL490" i="3"/>
  <c r="BA490" i="3"/>
  <c r="AZ490" i="3"/>
  <c r="BL489" i="3"/>
  <c r="BA489" i="3"/>
  <c r="AZ489" i="3" s="1"/>
  <c r="BL487" i="3"/>
  <c r="BL486" i="3"/>
  <c r="BA486" i="3"/>
  <c r="BA485" i="3"/>
  <c r="BA483" i="3"/>
  <c r="AZ483" i="3" s="1"/>
  <c r="BA482" i="3"/>
  <c r="AZ482" i="3" s="1"/>
  <c r="BL481" i="3"/>
  <c r="BJ5" i="3"/>
  <c r="BA481" i="3"/>
  <c r="AZ481" i="3" s="1"/>
  <c r="BB5" i="3"/>
  <c r="BL19" i="3"/>
  <c r="AZ19" i="3" s="1"/>
  <c r="BA18" i="3"/>
  <c r="F36" i="44"/>
  <c r="F114" i="34"/>
  <c r="G114" i="34"/>
  <c r="H114" i="34"/>
  <c r="I114" i="34" s="1"/>
  <c r="J114" i="34" s="1"/>
  <c r="K114" i="34" s="1"/>
  <c r="L114" i="34" s="1"/>
  <c r="M114" i="34" s="1"/>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s="1"/>
  <c r="F15" i="40"/>
  <c r="AA15" i="40"/>
  <c r="J15" i="40"/>
  <c r="H15" i="40"/>
  <c r="AB15" i="40"/>
  <c r="E92" i="40"/>
  <c r="F92" i="40"/>
  <c r="G92" i="40" s="1"/>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W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9" i="3"/>
  <c r="AZ403" i="3"/>
  <c r="AZ415" i="3"/>
  <c r="AZ431" i="3"/>
  <c r="AZ439" i="3"/>
  <c r="B41" i="1"/>
  <c r="F27" i="43" s="1"/>
  <c r="C27" i="43" s="1"/>
  <c r="J42" i="40"/>
  <c r="AC42" i="40"/>
  <c r="J40" i="40"/>
  <c r="AC40" i="40"/>
  <c r="J34" i="40"/>
  <c r="AC34" i="40"/>
  <c r="H16" i="40"/>
  <c r="AB16" i="40"/>
  <c r="H14" i="40"/>
  <c r="U14" i="40"/>
  <c r="F32" i="40"/>
  <c r="AA32" i="40"/>
  <c r="AZ401" i="3"/>
  <c r="AZ428" i="3"/>
  <c r="AZ433" i="3"/>
  <c r="AZ441" i="3"/>
  <c r="AZ444" i="3"/>
  <c r="M1" i="46"/>
  <c r="M6" i="46"/>
  <c r="M10" i="46"/>
  <c r="N2" i="46"/>
  <c r="N5" i="46"/>
  <c r="F58" i="46"/>
  <c r="F47" i="46"/>
  <c r="H49" i="46"/>
  <c r="N7" i="46"/>
  <c r="AZ461" i="3"/>
  <c r="AZ466" i="3"/>
  <c r="AZ477" i="3"/>
  <c r="AZ220" i="3"/>
  <c r="AZ223" i="3"/>
  <c r="AZ236" i="3"/>
  <c r="AZ239" i="3"/>
  <c r="AZ252" i="3"/>
  <c r="AZ255" i="3"/>
  <c r="AZ268" i="3"/>
  <c r="AZ273" i="3"/>
  <c r="AZ284" i="3"/>
  <c r="AZ289" i="3"/>
  <c r="AZ137" i="3"/>
  <c r="AZ152" i="3"/>
  <c r="M7" i="46"/>
  <c r="M11" i="46"/>
  <c r="N3" i="46"/>
  <c r="N6" i="46"/>
  <c r="N10" i="46"/>
  <c r="AZ164" i="3"/>
  <c r="AZ177" i="3"/>
  <c r="AZ40" i="3"/>
  <c r="AZ91" i="3"/>
  <c r="AZ107" i="3"/>
  <c r="AZ112" i="3"/>
  <c r="H47" i="46"/>
  <c r="J13" i="40"/>
  <c r="W13" i="40"/>
  <c r="AB14" i="40"/>
  <c r="W40" i="40"/>
  <c r="F34" i="44"/>
  <c r="F66" i="9"/>
  <c r="P72" i="9" s="1"/>
  <c r="F72" i="9"/>
  <c r="AC14" i="40"/>
  <c r="W35" i="40"/>
  <c r="S33" i="40"/>
  <c r="AB32" i="40"/>
  <c r="AC47" i="39"/>
  <c r="U37" i="34"/>
  <c r="AB37" i="34"/>
  <c r="AC41" i="40"/>
  <c r="W41" i="40"/>
  <c r="U41" i="40"/>
  <c r="J23" i="40"/>
  <c r="AC23" i="40"/>
  <c r="F23" i="40"/>
  <c r="S23" i="40"/>
  <c r="AC15" i="40"/>
  <c r="W15" i="40"/>
  <c r="U23" i="35"/>
  <c r="AB23" i="35"/>
  <c r="H20" i="35"/>
  <c r="F20" i="35"/>
  <c r="S20" i="35"/>
  <c r="H15" i="34"/>
  <c r="AB15" i="34"/>
  <c r="F78" i="34"/>
  <c r="G78" i="34"/>
  <c r="J15" i="34"/>
  <c r="H41" i="33"/>
  <c r="U41" i="33"/>
  <c r="F121" i="33"/>
  <c r="G121" i="33"/>
  <c r="H121" i="33"/>
  <c r="I121" i="33" s="1"/>
  <c r="J121" i="33" s="1"/>
  <c r="K121" i="33" s="1"/>
  <c r="L121" i="33" s="1"/>
  <c r="M121" i="33" s="1"/>
  <c r="F30" i="40"/>
  <c r="AA30" i="40"/>
  <c r="H100" i="40"/>
  <c r="I100" i="40"/>
  <c r="J100" i="40"/>
  <c r="K100" i="40" s="1"/>
  <c r="L100" i="40"/>
  <c r="M100" i="40" s="1"/>
  <c r="AB38" i="34"/>
  <c r="AZ486" i="3"/>
  <c r="AZ504" i="3"/>
  <c r="AZ515" i="3"/>
  <c r="AZ529" i="3"/>
  <c r="AZ530" i="3"/>
  <c r="AZ537" i="3"/>
  <c r="AZ547" i="3"/>
  <c r="AZ548" i="3"/>
  <c r="AZ549" i="3"/>
  <c r="AB37" i="39"/>
  <c r="AA29" i="35"/>
  <c r="U39" i="39"/>
  <c r="AB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H23" i="39"/>
  <c r="AB23" i="39" s="1"/>
  <c r="J23" i="39"/>
  <c r="AC23" i="39" s="1"/>
  <c r="F97" i="39"/>
  <c r="G97" i="39"/>
  <c r="S15" i="34"/>
  <c r="AA15" i="34"/>
  <c r="AA41" i="33"/>
  <c r="AA34" i="33"/>
  <c r="F106" i="33"/>
  <c r="G106" i="33"/>
  <c r="H106" i="33"/>
  <c r="I106" i="33" s="1"/>
  <c r="J106" i="33"/>
  <c r="K106" i="33" s="1"/>
  <c r="L106" i="33" s="1"/>
  <c r="M106" i="33" s="1"/>
  <c r="J34" i="33"/>
  <c r="AC34" i="33"/>
  <c r="U30" i="40"/>
  <c r="AA37" i="39"/>
  <c r="W29" i="35"/>
  <c r="AC39" i="39"/>
  <c r="W39" i="39"/>
  <c r="AA39" i="39"/>
  <c r="S39" i="39"/>
  <c r="AB46" i="39"/>
  <c r="AA33" i="39"/>
  <c r="S33" i="39"/>
  <c r="U11" i="36"/>
  <c r="F80" i="35"/>
  <c r="G80" i="35"/>
  <c r="H80" i="35" s="1"/>
  <c r="I80" i="35" s="1"/>
  <c r="J80" i="35" s="1"/>
  <c r="K80" i="35" s="1"/>
  <c r="L80" i="35" s="1"/>
  <c r="M80" i="35" s="1"/>
  <c r="W14" i="35"/>
  <c r="F90" i="34"/>
  <c r="G90" i="34"/>
  <c r="H90" i="34"/>
  <c r="I90" i="34" s="1"/>
  <c r="J90" i="34"/>
  <c r="K90" i="34" s="1"/>
  <c r="L90" i="34" s="1"/>
  <c r="M90" i="34" s="1"/>
  <c r="F27" i="34"/>
  <c r="S27" i="34"/>
  <c r="AA43" i="39"/>
  <c r="S43" i="39"/>
  <c r="AA19" i="39"/>
  <c r="G96" i="37"/>
  <c r="H96" i="37"/>
  <c r="I96" i="37" s="1"/>
  <c r="J96" i="37" s="1"/>
  <c r="K96" i="37" s="1"/>
  <c r="L96" i="37" s="1"/>
  <c r="M96" i="37" s="1"/>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s="1"/>
  <c r="K99" i="37"/>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AA23" i="21" s="1"/>
  <c r="H23" i="21"/>
  <c r="AB23" i="21" s="1"/>
  <c r="AC21" i="21"/>
  <c r="W21" i="21"/>
  <c r="W44"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s="1"/>
  <c r="J113" i="40" s="1"/>
  <c r="K113" i="40" s="1"/>
  <c r="L113" i="40" s="1"/>
  <c r="M113" i="40" s="1"/>
  <c r="F39" i="40"/>
  <c r="S38" i="40"/>
  <c r="H39" i="40"/>
  <c r="J39" i="40"/>
  <c r="W38" i="40"/>
  <c r="F29" i="40"/>
  <c r="H29" i="40"/>
  <c r="J29" i="40"/>
  <c r="F98" i="40"/>
  <c r="G98" i="40"/>
  <c r="H98" i="40"/>
  <c r="I98" i="40" s="1"/>
  <c r="J98" i="40"/>
  <c r="K98" i="40" s="1"/>
  <c r="L98" i="40" s="1"/>
  <c r="M98" i="40" s="1"/>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AC21" i="39"/>
  <c r="U11" i="39"/>
  <c r="AB38" i="39"/>
  <c r="U31" i="39"/>
  <c r="AB31" i="39"/>
  <c r="S38" i="39"/>
  <c r="S22" i="31"/>
  <c r="D18" i="9"/>
  <c r="M44" i="9" s="1"/>
  <c r="M43" i="9"/>
  <c r="M20" i="15"/>
  <c r="D96" i="9"/>
  <c r="F28" i="15"/>
  <c r="M18" i="15"/>
  <c r="BA16" i="3"/>
  <c r="BA17" i="3"/>
  <c r="AZ17" i="3" s="1"/>
  <c r="F3" i="35"/>
  <c r="K1" i="43"/>
  <c r="K1" i="12"/>
  <c r="G1" i="44"/>
  <c r="I4" i="6"/>
  <c r="G3" i="46" s="1"/>
  <c r="AZ15" i="3"/>
  <c r="BK5" i="3"/>
  <c r="BO5" i="3"/>
  <c r="BP5" i="3"/>
  <c r="BN5" i="3"/>
  <c r="BL18" i="3"/>
  <c r="BC5" i="3"/>
  <c r="BD5" i="3"/>
  <c r="BR5"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s="1"/>
  <c r="E47" i="46"/>
  <c r="E58" i="46"/>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s="1"/>
  <c r="B46" i="50"/>
  <c r="B4" i="63" s="1"/>
  <c r="C46" i="36"/>
  <c r="D46" i="36" s="1"/>
  <c r="E46" i="36" s="1"/>
  <c r="F46" i="36" s="1"/>
  <c r="C59" i="34"/>
  <c r="D59" i="34" s="1"/>
  <c r="E59" i="34" s="1"/>
  <c r="F59" i="34" s="1"/>
  <c r="G59" i="34" s="1"/>
  <c r="C48" i="35"/>
  <c r="D48" i="35" s="1"/>
  <c r="E48" i="35" s="1"/>
  <c r="F48" i="35" s="1"/>
  <c r="C52" i="37"/>
  <c r="D52" i="37" s="1"/>
  <c r="E52" i="37" s="1"/>
  <c r="F52" i="37" s="1"/>
  <c r="G52" i="37" s="1"/>
  <c r="C67" i="40"/>
  <c r="D65" i="40"/>
  <c r="P24" i="46"/>
  <c r="B68" i="40" s="1"/>
  <c r="P25" i="46"/>
  <c r="P23" i="46"/>
  <c r="P21" i="46"/>
  <c r="B73" i="80" s="1"/>
  <c r="P22" i="46"/>
  <c r="O19" i="46"/>
  <c r="H77" i="46"/>
  <c r="H73" i="46"/>
  <c r="H69" i="46"/>
  <c r="H74" i="46"/>
  <c r="H86" i="46"/>
  <c r="H82" i="46"/>
  <c r="H63" i="46"/>
  <c r="H59" i="46"/>
  <c r="H64" i="46"/>
  <c r="H60" i="46"/>
  <c r="H10" i="48"/>
  <c r="H87" i="46"/>
  <c r="H85" i="46"/>
  <c r="H83" i="46"/>
  <c r="O13" i="1"/>
  <c r="P13" i="1" s="1"/>
  <c r="S11" i="1"/>
  <c r="R11" i="1"/>
  <c r="S13" i="1"/>
  <c r="R13" i="1"/>
  <c r="B6" i="1"/>
  <c r="E6" i="1" s="1"/>
  <c r="B10" i="1"/>
  <c r="E10" i="1" s="1"/>
  <c r="B8" i="1"/>
  <c r="E8" i="1" s="1"/>
  <c r="B12" i="1"/>
  <c r="E12" i="1" s="1"/>
  <c r="S12" i="1"/>
  <c r="G1" i="15"/>
  <c r="F66" i="36"/>
  <c r="H18" i="36"/>
  <c r="U16" i="36"/>
  <c r="S25"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AA25" i="21"/>
  <c r="G96" i="40"/>
  <c r="J27" i="40"/>
  <c r="W37" i="40"/>
  <c r="S17" i="40"/>
  <c r="W30" i="40"/>
  <c r="S34" i="40"/>
  <c r="U17" i="40"/>
  <c r="U38" i="40"/>
  <c r="S40" i="40"/>
  <c r="S42" i="40"/>
  <c r="G105" i="39"/>
  <c r="J31" i="39"/>
  <c r="W31" i="39" s="1"/>
  <c r="S45" i="39"/>
  <c r="AB43" i="39"/>
  <c r="AB33" i="39"/>
  <c r="AC46" i="39"/>
  <c r="W42" i="39"/>
  <c r="W36" i="39"/>
  <c r="AC37" i="39"/>
  <c r="W16"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T6" i="3"/>
  <c r="G29" i="6"/>
  <c r="AZ16" i="3"/>
  <c r="H70" i="46"/>
  <c r="H72" i="46"/>
  <c r="D67" i="40"/>
  <c r="E65" i="40"/>
  <c r="F65" i="40" s="1"/>
  <c r="G39" i="46"/>
  <c r="I39" i="46" s="1"/>
  <c r="E4" i="4"/>
  <c r="B21" i="55" s="1"/>
  <c r="B72" i="63" s="1"/>
  <c r="G66" i="36"/>
  <c r="J18" i="36"/>
  <c r="W18" i="36"/>
  <c r="AC18" i="36"/>
  <c r="AG6" i="1"/>
  <c r="L20" i="6"/>
  <c r="L19" i="6"/>
  <c r="E67" i="40"/>
  <c r="C45" i="9"/>
  <c r="H14" i="66" s="1"/>
  <c r="B7" i="66" s="1"/>
  <c r="K31" i="9"/>
  <c r="K32" i="9" s="1"/>
  <c r="N76" i="9"/>
  <c r="C46" i="9"/>
  <c r="K33" i="9" s="1"/>
  <c r="F33" i="44"/>
  <c r="F31" i="15"/>
  <c r="F6" i="15"/>
  <c r="L47" i="15"/>
  <c r="E9" i="67"/>
  <c r="M10" i="44"/>
  <c r="F16" i="15"/>
  <c r="B8" i="67"/>
  <c r="M11" i="44"/>
  <c r="F9" i="15"/>
  <c r="E11" i="67"/>
  <c r="F8" i="44"/>
  <c r="F10" i="67"/>
  <c r="E10" i="67"/>
  <c r="E12" i="67"/>
  <c r="F8" i="67"/>
  <c r="E8" i="67"/>
  <c r="F10" i="44"/>
  <c r="E13" i="67"/>
  <c r="N4" i="65"/>
  <c r="F18" i="44"/>
  <c r="M9" i="15"/>
  <c r="M27" i="15"/>
  <c r="M24" i="15"/>
  <c r="F40" i="15"/>
  <c r="F13" i="15"/>
  <c r="B9" i="67"/>
  <c r="E14" i="67"/>
  <c r="N5" i="65"/>
  <c r="B12" i="67"/>
  <c r="M24" i="44"/>
  <c r="F14" i="67"/>
  <c r="F46" i="44"/>
  <c r="M8" i="44"/>
  <c r="L48" i="15"/>
  <c r="F40" i="44"/>
  <c r="F11" i="44"/>
  <c r="M26" i="15"/>
  <c r="F9" i="67"/>
  <c r="M25" i="44"/>
  <c r="M29" i="44"/>
  <c r="F38" i="44"/>
  <c r="J36" i="15"/>
  <c r="F11" i="67"/>
  <c r="L48" i="44"/>
  <c r="F38" i="15"/>
  <c r="F45" i="44"/>
  <c r="F15" i="44"/>
  <c r="F37" i="15"/>
  <c r="B10" i="67"/>
  <c r="F12" i="67"/>
  <c r="M28" i="44"/>
  <c r="F36" i="15"/>
  <c r="F13" i="67"/>
  <c r="F28" i="44"/>
  <c r="J17" i="44"/>
  <c r="B14" i="67"/>
  <c r="F39" i="44"/>
  <c r="M23" i="15"/>
  <c r="N6" i="65"/>
  <c r="B11" i="67"/>
  <c r="F26" i="15"/>
  <c r="L49" i="44"/>
  <c r="M28" i="15"/>
  <c r="J15" i="15"/>
  <c r="F8" i="15"/>
  <c r="N7" i="65"/>
  <c r="M26" i="44"/>
  <c r="M22" i="15"/>
  <c r="M6" i="15"/>
  <c r="M8" i="15"/>
  <c r="F42" i="15"/>
  <c r="M30" i="44"/>
  <c r="F43" i="44"/>
  <c r="B13" i="67"/>
  <c r="B76" i="46" l="1"/>
  <c r="C27" i="80"/>
  <c r="B65" i="46"/>
  <c r="C31" i="80"/>
  <c r="B70" i="46"/>
  <c r="C23" i="80"/>
  <c r="B58" i="46"/>
  <c r="C21" i="80"/>
  <c r="B47" i="46"/>
  <c r="C19" i="80"/>
  <c r="B69" i="46"/>
  <c r="C17" i="80"/>
  <c r="AB3" i="72"/>
  <c r="F3" i="72"/>
  <c r="F44" i="72" s="1"/>
  <c r="A4" i="51"/>
  <c r="B6" i="63" s="1"/>
  <c r="C51" i="10"/>
  <c r="A4" i="64"/>
  <c r="U14" i="39"/>
  <c r="G27" i="6"/>
  <c r="G46" i="3"/>
  <c r="BL47" i="3"/>
  <c r="BL49" i="3"/>
  <c r="BL50" i="3"/>
  <c r="BL52" i="3"/>
  <c r="BL53" i="3"/>
  <c r="BL57" i="3"/>
  <c r="G58" i="3"/>
  <c r="G60" i="3"/>
  <c r="BL61" i="3"/>
  <c r="G62" i="3"/>
  <c r="BL65" i="3"/>
  <c r="G66" i="3"/>
  <c r="BL67" i="3"/>
  <c r="G68" i="3"/>
  <c r="BL70" i="3"/>
  <c r="G71" i="3"/>
  <c r="BL72" i="3"/>
  <c r="G73" i="3"/>
  <c r="G77" i="3"/>
  <c r="BL78" i="3"/>
  <c r="G79" i="3"/>
  <c r="BL80" i="3"/>
  <c r="G81" i="3"/>
  <c r="BL84" i="3"/>
  <c r="G85" i="3"/>
  <c r="BL88" i="3"/>
  <c r="G89" i="3"/>
  <c r="G91" i="3"/>
  <c r="G94" i="3"/>
  <c r="G97" i="3"/>
  <c r="BL98" i="3"/>
  <c r="G99" i="3"/>
  <c r="K10" i="1"/>
  <c r="G9" i="12"/>
  <c r="K6" i="1"/>
  <c r="M6" i="1" s="1"/>
  <c r="O6" i="1" s="1"/>
  <c r="P6" i="1" s="1"/>
  <c r="C9" i="12"/>
  <c r="AZ18" i="3"/>
  <c r="BA54" i="3"/>
  <c r="BA56" i="3"/>
  <c r="AZ56" i="3" s="1"/>
  <c r="BA61" i="3"/>
  <c r="AZ61" i="3" s="1"/>
  <c r="BA62" i="3"/>
  <c r="AZ62" i="3" s="1"/>
  <c r="BA63" i="3"/>
  <c r="AZ63" i="3" s="1"/>
  <c r="BA67" i="3"/>
  <c r="AZ67" i="3" s="1"/>
  <c r="BA68" i="3"/>
  <c r="AZ68" i="3" s="1"/>
  <c r="BA70" i="3"/>
  <c r="AZ70" i="3" s="1"/>
  <c r="BA80" i="3"/>
  <c r="BA81" i="3"/>
  <c r="AZ81" i="3" s="1"/>
  <c r="BA82" i="3"/>
  <c r="AZ82" i="3" s="1"/>
  <c r="BA84" i="3"/>
  <c r="AZ84" i="3" s="1"/>
  <c r="BA85" i="3"/>
  <c r="AZ85" i="3" s="1"/>
  <c r="BA86" i="3"/>
  <c r="AZ86" i="3" s="1"/>
  <c r="BL30" i="3"/>
  <c r="BL32" i="3"/>
  <c r="BA41" i="3"/>
  <c r="BA45" i="3"/>
  <c r="BL45" i="3"/>
  <c r="BL46" i="3"/>
  <c r="BL48" i="3"/>
  <c r="BL51" i="3"/>
  <c r="BF5" i="3"/>
  <c r="F9" i="12"/>
  <c r="K9" i="1"/>
  <c r="M9" i="1" s="1"/>
  <c r="O9" i="1" s="1"/>
  <c r="P9" i="1" s="1"/>
  <c r="G43" i="3"/>
  <c r="E29" i="6"/>
  <c r="K15" i="1" s="1"/>
  <c r="C25" i="12"/>
  <c r="C31" i="43"/>
  <c r="F71" i="9"/>
  <c r="C28" i="15"/>
  <c r="C30" i="44"/>
  <c r="F32" i="82"/>
  <c r="F59" i="82" s="1"/>
  <c r="F28" i="82"/>
  <c r="C28" i="82" s="1"/>
  <c r="M18" i="82"/>
  <c r="F32" i="79"/>
  <c r="F59" i="79" s="1"/>
  <c r="F28" i="79"/>
  <c r="C28" i="79" s="1"/>
  <c r="M18" i="79"/>
  <c r="M18" i="78"/>
  <c r="F32" i="78"/>
  <c r="F59" i="78" s="1"/>
  <c r="F28" i="78"/>
  <c r="C28" i="78" s="1"/>
  <c r="C9" i="80"/>
  <c r="C70" i="80" s="1"/>
  <c r="C7" i="76"/>
  <c r="C58" i="76" s="1"/>
  <c r="F67" i="40"/>
  <c r="G65" i="40"/>
  <c r="C72" i="39"/>
  <c r="D70" i="39"/>
  <c r="B73" i="39"/>
  <c r="E20" i="6"/>
  <c r="D9" i="12" s="1"/>
  <c r="E21" i="6"/>
  <c r="D3" i="21" s="1"/>
  <c r="K12" i="1"/>
  <c r="G1" i="82"/>
  <c r="G1" i="79"/>
  <c r="G1" i="78"/>
  <c r="W41" i="21"/>
  <c r="F34" i="15"/>
  <c r="F61" i="15" s="1"/>
  <c r="F34" i="82"/>
  <c r="F61" i="82" s="1"/>
  <c r="M20" i="82"/>
  <c r="F34" i="79"/>
  <c r="F61" i="79" s="1"/>
  <c r="M20" i="79"/>
  <c r="F34" i="78"/>
  <c r="F61" i="78" s="1"/>
  <c r="M20" i="78"/>
  <c r="U23" i="21"/>
  <c r="S23" i="21"/>
  <c r="S16" i="39"/>
  <c r="W14" i="39"/>
  <c r="S14" i="39"/>
  <c r="AA13" i="39"/>
  <c r="AC43" i="39"/>
  <c r="F29" i="39"/>
  <c r="AA29" i="39" s="1"/>
  <c r="J29" i="39"/>
  <c r="AC29" i="39" s="1"/>
  <c r="F101" i="39"/>
  <c r="G101" i="39" s="1"/>
  <c r="J27" i="39"/>
  <c r="AC27" i="39" s="1"/>
  <c r="H27" i="39"/>
  <c r="AB27" i="39" s="1"/>
  <c r="AA23" i="39"/>
  <c r="S23" i="39"/>
  <c r="G91" i="39"/>
  <c r="F17" i="39"/>
  <c r="J17" i="39"/>
  <c r="H17" i="39"/>
  <c r="U17" i="39" s="1"/>
  <c r="G109" i="39"/>
  <c r="H109" i="39" s="1"/>
  <c r="I109" i="39" s="1"/>
  <c r="J109" i="39" s="1"/>
  <c r="K109" i="39" s="1"/>
  <c r="L109" i="39" s="1"/>
  <c r="M109" i="39" s="1"/>
  <c r="J34" i="39"/>
  <c r="AC34" i="39" s="1"/>
  <c r="AB29" i="39"/>
  <c r="U27" i="39"/>
  <c r="AB25" i="39"/>
  <c r="S29" i="39"/>
  <c r="S27" i="39"/>
  <c r="S25" i="39"/>
  <c r="W34" i="39"/>
  <c r="S34" i="39"/>
  <c r="U34" i="39"/>
  <c r="W27" i="39"/>
  <c r="W23" i="39"/>
  <c r="U23" i="39"/>
  <c r="S15" i="39"/>
  <c r="AB16" i="39"/>
  <c r="F83" i="39"/>
  <c r="G83" i="39" s="1"/>
  <c r="H83" i="39" s="1"/>
  <c r="I83" i="39" s="1"/>
  <c r="J83" i="39" s="1"/>
  <c r="K83" i="39" s="1"/>
  <c r="L83" i="39" s="1"/>
  <c r="M83" i="39" s="1"/>
  <c r="H13" i="39"/>
  <c r="J13" i="39"/>
  <c r="AC13" i="39" s="1"/>
  <c r="S41" i="39"/>
  <c r="AA44" i="39"/>
  <c r="AB44" i="39"/>
  <c r="U41" i="39"/>
  <c r="AC41" i="39"/>
  <c r="W13" i="39"/>
  <c r="AC33" i="39"/>
  <c r="U47" i="39"/>
  <c r="S47" i="39"/>
  <c r="AB15" i="39"/>
  <c r="W15" i="39"/>
  <c r="E10" i="52"/>
  <c r="E32" i="6"/>
  <c r="E9" i="12"/>
  <c r="M10" i="1"/>
  <c r="E5" i="52"/>
  <c r="B9" i="52"/>
  <c r="H113" i="21"/>
  <c r="J37" i="21"/>
  <c r="H37" i="21"/>
  <c r="F37" i="21"/>
  <c r="U39" i="21"/>
  <c r="W42" i="21"/>
  <c r="K8" i="1"/>
  <c r="M8" i="1" s="1"/>
  <c r="B16" i="52"/>
  <c r="B8" i="52"/>
  <c r="B7" i="52"/>
  <c r="G81" i="21"/>
  <c r="F19" i="21"/>
  <c r="AA19" i="21" s="1"/>
  <c r="J19" i="21"/>
  <c r="W19" i="21" s="1"/>
  <c r="H19" i="21"/>
  <c r="AB19" i="21" s="1"/>
  <c r="F79" i="21"/>
  <c r="G79" i="21" s="1"/>
  <c r="H17" i="21"/>
  <c r="AB17" i="21" s="1"/>
  <c r="F17" i="21"/>
  <c r="S17" i="21" s="1"/>
  <c r="J17" i="21"/>
  <c r="W17" i="21" s="1"/>
  <c r="J15" i="21"/>
  <c r="F15" i="21"/>
  <c r="S15" i="21" s="1"/>
  <c r="G77" i="21"/>
  <c r="H15" i="21"/>
  <c r="AB32" i="21"/>
  <c r="AB36" i="21"/>
  <c r="U43" i="21"/>
  <c r="U42" i="21"/>
  <c r="AA40" i="21"/>
  <c r="S34" i="21"/>
  <c r="AC23" i="21"/>
  <c r="S21" i="21"/>
  <c r="AC17" i="21"/>
  <c r="S10" i="21"/>
  <c r="S8" i="21"/>
  <c r="W9" i="21"/>
  <c r="S42" i="21"/>
  <c r="AB34" i="21"/>
  <c r="W32" i="21"/>
  <c r="B6" i="52"/>
  <c r="B23" i="52"/>
  <c r="E9" i="52"/>
  <c r="B4" i="52"/>
  <c r="B10" i="52"/>
  <c r="BL41" i="3"/>
  <c r="AZ41" i="3" s="1"/>
  <c r="G45" i="3"/>
  <c r="G48" i="3"/>
  <c r="G51" i="3"/>
  <c r="G54" i="3"/>
  <c r="G56" i="3"/>
  <c r="G61" i="3"/>
  <c r="G40" i="3"/>
  <c r="G48" i="72"/>
  <c r="F46" i="72" s="1"/>
  <c r="G47" i="72"/>
  <c r="G17" i="3"/>
  <c r="G16" i="3"/>
  <c r="G24" i="3"/>
  <c r="G26" i="3"/>
  <c r="G28" i="3"/>
  <c r="G30" i="3"/>
  <c r="G32" i="3"/>
  <c r="G39" i="3"/>
  <c r="G31" i="3"/>
  <c r="G33" i="3"/>
  <c r="BA21" i="3"/>
  <c r="AZ21" i="3" s="1"/>
  <c r="AZ570" i="3"/>
  <c r="AZ542" i="3"/>
  <c r="AZ550" i="3"/>
  <c r="H5" i="3"/>
  <c r="BA572" i="3"/>
  <c r="G569" i="3"/>
  <c r="G564" i="3"/>
  <c r="G555" i="3"/>
  <c r="BA554" i="3"/>
  <c r="AZ554" i="3" s="1"/>
  <c r="G554" i="3"/>
  <c r="G543" i="3"/>
  <c r="BL541" i="3"/>
  <c r="G535" i="3"/>
  <c r="BL534" i="3"/>
  <c r="AZ534" i="3" s="1"/>
  <c r="G534" i="3"/>
  <c r="BL532" i="3"/>
  <c r="AZ532" i="3" s="1"/>
  <c r="G528" i="3"/>
  <c r="BL527" i="3"/>
  <c r="AZ527" i="3" s="1"/>
  <c r="BL526" i="3"/>
  <c r="AZ526" i="3" s="1"/>
  <c r="G526" i="3"/>
  <c r="BL525" i="3"/>
  <c r="AZ525" i="3" s="1"/>
  <c r="G520" i="3"/>
  <c r="G517" i="3"/>
  <c r="BL516" i="3"/>
  <c r="BA516" i="3"/>
  <c r="AZ516" i="3" s="1"/>
  <c r="G511" i="3"/>
  <c r="BA508" i="3"/>
  <c r="G508" i="3"/>
  <c r="BA505" i="3"/>
  <c r="AZ505" i="3" s="1"/>
  <c r="G500" i="3"/>
  <c r="G490" i="3"/>
  <c r="BA488" i="3"/>
  <c r="AZ488" i="3" s="1"/>
  <c r="BA487" i="3"/>
  <c r="AZ487" i="3" s="1"/>
  <c r="G482" i="3"/>
  <c r="G14" i="3"/>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AZ508" i="3"/>
  <c r="AZ484" i="3"/>
  <c r="AZ541" i="3"/>
  <c r="AZ557" i="3"/>
  <c r="BA569" i="3"/>
  <c r="BL564" i="3"/>
  <c r="AZ564" i="3" s="1"/>
  <c r="BL562" i="3"/>
  <c r="BA562" i="3"/>
  <c r="AZ562" i="3" s="1"/>
  <c r="BA561" i="3"/>
  <c r="AZ561" i="3" s="1"/>
  <c r="BL559" i="3"/>
  <c r="BA559" i="3"/>
  <c r="BA558" i="3"/>
  <c r="AZ558" i="3" s="1"/>
  <c r="BL557" i="3"/>
  <c r="BL555" i="3"/>
  <c r="AZ555" i="3" s="1"/>
  <c r="BL546" i="3"/>
  <c r="AZ546" i="3" s="1"/>
  <c r="BL545" i="3"/>
  <c r="AZ545" i="3" s="1"/>
  <c r="BL544" i="3"/>
  <c r="BA544" i="3"/>
  <c r="AZ544" i="3" s="1"/>
  <c r="BA543" i="3"/>
  <c r="BA536" i="3"/>
  <c r="AZ536" i="3" s="1"/>
  <c r="BA528" i="3"/>
  <c r="AZ528" i="3" s="1"/>
  <c r="BL524" i="3"/>
  <c r="AZ524" i="3" s="1"/>
  <c r="BA521" i="3"/>
  <c r="AZ521" i="3" s="1"/>
  <c r="BA520" i="3"/>
  <c r="AZ520" i="3" s="1"/>
  <c r="BL514" i="3"/>
  <c r="AZ514" i="3" s="1"/>
  <c r="BL511" i="3"/>
  <c r="AZ511" i="3" s="1"/>
  <c r="BL503" i="3"/>
  <c r="AZ503" i="3" s="1"/>
  <c r="BA493" i="3"/>
  <c r="AZ493" i="3" s="1"/>
  <c r="BA492" i="3"/>
  <c r="AZ492" i="3" s="1"/>
  <c r="BL491" i="3"/>
  <c r="AZ491" i="3" s="1"/>
  <c r="BL485" i="3"/>
  <c r="AZ485" i="3" s="1"/>
  <c r="AZ395" i="3"/>
  <c r="AZ402" i="3"/>
  <c r="AZ411" i="3"/>
  <c r="AZ417" i="3"/>
  <c r="AZ420" i="3"/>
  <c r="AZ427" i="3"/>
  <c r="AZ432" i="3"/>
  <c r="AZ443" i="3"/>
  <c r="AZ462" i="3"/>
  <c r="G347" i="3"/>
  <c r="BA349" i="3"/>
  <c r="AZ349" i="3" s="1"/>
  <c r="BL350" i="3"/>
  <c r="G352" i="3"/>
  <c r="BL360" i="3"/>
  <c r="AZ360" i="3" s="1"/>
  <c r="BL366" i="3"/>
  <c r="AZ366" i="3" s="1"/>
  <c r="BA368" i="3"/>
  <c r="AZ368" i="3" s="1"/>
  <c r="G375" i="3"/>
  <c r="BL376" i="3"/>
  <c r="AZ376" i="3" s="1"/>
  <c r="BL382" i="3"/>
  <c r="AZ382" i="3" s="1"/>
  <c r="BA384" i="3"/>
  <c r="AZ384" i="3" s="1"/>
  <c r="BA387" i="3"/>
  <c r="AZ387" i="3" s="1"/>
  <c r="BA388" i="3"/>
  <c r="AZ388" i="3" s="1"/>
  <c r="BA205" i="3"/>
  <c r="AZ205" i="3" s="1"/>
  <c r="BL207" i="3"/>
  <c r="AZ207"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G21" i="3"/>
  <c r="G22" i="3"/>
  <c r="G23" i="3"/>
  <c r="G25" i="3"/>
  <c r="BA26" i="3"/>
  <c r="BL26" i="3"/>
  <c r="G27" i="3"/>
  <c r="BL28" i="3"/>
  <c r="G29" i="3"/>
  <c r="BA31" i="3"/>
  <c r="AZ31" i="3" s="1"/>
  <c r="BA32" i="3"/>
  <c r="AZ32" i="3" s="1"/>
  <c r="BL34" i="3"/>
  <c r="G35" i="3"/>
  <c r="BA36" i="3"/>
  <c r="BL36" i="3"/>
  <c r="G37" i="3"/>
  <c r="G38" i="3"/>
  <c r="BL39" i="3"/>
  <c r="G42" i="3"/>
  <c r="BL42" i="3"/>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BL71" i="3"/>
  <c r="AZ71" i="3" s="1"/>
  <c r="BA72" i="3"/>
  <c r="AZ72" i="3" s="1"/>
  <c r="AZ96" i="3"/>
  <c r="AZ109" i="3"/>
  <c r="AZ42" i="3"/>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BA97" i="3"/>
  <c r="AZ97" i="3" s="1"/>
  <c r="BA98" i="3"/>
  <c r="AZ98" i="3" s="1"/>
  <c r="BA99" i="3"/>
  <c r="AZ99" i="3" s="1"/>
  <c r="G102" i="3"/>
  <c r="G103" i="3"/>
  <c r="BL103" i="3"/>
  <c r="AZ103" i="3" s="1"/>
  <c r="BA104" i="3"/>
  <c r="AZ104" i="3" s="1"/>
  <c r="BL106" i="3"/>
  <c r="AZ106" i="3" s="1"/>
  <c r="G109" i="3"/>
  <c r="BL109" i="3"/>
  <c r="G112" i="3"/>
  <c r="BA37" i="3"/>
  <c r="AZ37" i="3" s="1"/>
  <c r="BA39" i="3"/>
  <c r="BA24" i="3"/>
  <c r="BA27" i="3"/>
  <c r="BA30" i="3"/>
  <c r="AZ30" i="3" s="1"/>
  <c r="E8" i="6"/>
  <c r="AZ20" i="3"/>
  <c r="G15" i="3"/>
  <c r="BL27" i="3"/>
  <c r="BA28" i="3"/>
  <c r="AZ28" i="3" s="1"/>
  <c r="BL33" i="3"/>
  <c r="AZ33" i="3" s="1"/>
  <c r="BA34" i="3"/>
  <c r="AZ34" i="3" s="1"/>
  <c r="BA35" i="3"/>
  <c r="AZ35" i="3" s="1"/>
  <c r="BL38" i="3"/>
  <c r="AZ38" i="3" s="1"/>
  <c r="AZ23" i="3"/>
  <c r="F28" i="6"/>
  <c r="F30" i="6" s="1"/>
  <c r="G28" i="6"/>
  <c r="G30" i="6" s="1"/>
  <c r="G31" i="6" s="1"/>
  <c r="BL22" i="3"/>
  <c r="AZ22" i="3" s="1"/>
  <c r="BL24" i="3"/>
  <c r="BA25" i="3"/>
  <c r="AZ25" i="3" s="1"/>
  <c r="E4" i="52"/>
  <c r="E16" i="52"/>
  <c r="B11" i="52"/>
  <c r="E8" i="52"/>
  <c r="B5" i="52"/>
  <c r="B13" i="52"/>
  <c r="B22" i="52"/>
  <c r="E21" i="52"/>
  <c r="B14" i="52"/>
  <c r="E6" i="52"/>
  <c r="E11" i="52"/>
  <c r="AB44" i="21"/>
  <c r="U46" i="21"/>
  <c r="W30" i="21"/>
  <c r="O11" i="1"/>
  <c r="P11" i="1" s="1"/>
  <c r="BL13" i="3"/>
  <c r="H22" i="46"/>
  <c r="AB11" i="46"/>
  <c r="AB13" i="46" s="1"/>
  <c r="AJ11" i="46"/>
  <c r="AJ13" i="46" s="1"/>
  <c r="AF11" i="46"/>
  <c r="AF13" i="46" s="1"/>
  <c r="AA11" i="46"/>
  <c r="Y11" i="46"/>
  <c r="Y13" i="46" s="1"/>
  <c r="AG11" i="46"/>
  <c r="AG13" i="46" s="1"/>
  <c r="AC11" i="46"/>
  <c r="AC13" i="46" s="1"/>
  <c r="E22" i="46"/>
  <c r="H101" i="46"/>
  <c r="M101" i="46"/>
  <c r="D101" i="46"/>
  <c r="I101" i="46"/>
  <c r="G22" i="46"/>
  <c r="AE11" i="46"/>
  <c r="AI11" i="46"/>
  <c r="C23" i="46"/>
  <c r="C21" i="46" s="1"/>
  <c r="AH11" i="46"/>
  <c r="AH13" i="46" s="1"/>
  <c r="AD11" i="46"/>
  <c r="AD13" i="46" s="1"/>
  <c r="Z11" i="46"/>
  <c r="Z13" i="46" s="1"/>
  <c r="F101" i="46"/>
  <c r="N101" i="46"/>
  <c r="K101" i="46"/>
  <c r="Z7" i="46"/>
  <c r="E101" i="46"/>
  <c r="F22" i="46"/>
  <c r="L101" i="46"/>
  <c r="N104" i="45"/>
  <c r="B113" i="46"/>
  <c r="J101" i="46"/>
  <c r="G101" i="46"/>
  <c r="C101" i="46"/>
  <c r="J22" i="46"/>
  <c r="A18" i="51"/>
  <c r="B14" i="63" s="1"/>
  <c r="K5" i="54"/>
  <c r="B38" i="63" s="1"/>
  <c r="A18" i="64"/>
  <c r="B74" i="63" s="1"/>
  <c r="C53" i="10"/>
  <c r="L5" i="54"/>
  <c r="B39" i="63" s="1"/>
  <c r="T41" i="4"/>
  <c r="A17" i="64" s="1"/>
  <c r="A3" i="55"/>
  <c r="B56" i="63" s="1"/>
  <c r="A11" i="55"/>
  <c r="B62" i="63" s="1"/>
  <c r="L16" i="4"/>
  <c r="N16" i="4"/>
  <c r="O40" i="9"/>
  <c r="R7" i="54" s="1"/>
  <c r="B52" i="63" s="1"/>
  <c r="K76" i="9"/>
  <c r="K77" i="9" s="1"/>
  <c r="K79" i="9" s="1"/>
  <c r="K81" i="9" s="1"/>
  <c r="F58" i="21"/>
  <c r="G58" i="21" s="1"/>
  <c r="H58" i="21" s="1"/>
  <c r="I58" i="21" s="1"/>
  <c r="J58" i="21" s="1"/>
  <c r="K58" i="21" s="1"/>
  <c r="L58" i="21" s="1"/>
  <c r="M58" i="21" s="1"/>
  <c r="N58" i="21" s="1"/>
  <c r="O58" i="21" s="1"/>
  <c r="F58" i="33"/>
  <c r="G58" i="33" s="1"/>
  <c r="H58" i="33" s="1"/>
  <c r="I58" i="33" s="1"/>
  <c r="J58" i="33" s="1"/>
  <c r="K58" i="33" s="1"/>
  <c r="L58" i="33" s="1"/>
  <c r="M58" i="33" s="1"/>
  <c r="N58" i="33" s="1"/>
  <c r="O58" i="33" s="1"/>
  <c r="F7" i="33" s="1"/>
  <c r="H1" i="65"/>
  <c r="E7" i="52"/>
  <c r="C4" i="4" s="1"/>
  <c r="B20" i="55" s="1"/>
  <c r="C4" i="65"/>
  <c r="B39" i="1" s="1"/>
  <c r="Q73" i="44"/>
  <c r="F64" i="15"/>
  <c r="F50" i="15"/>
  <c r="L59" i="15"/>
  <c r="L58" i="15"/>
  <c r="I54" i="15"/>
  <c r="J53" i="15"/>
  <c r="L56" i="15"/>
  <c r="J57" i="15"/>
  <c r="J55" i="15" s="1"/>
  <c r="J58" i="15" s="1"/>
  <c r="Q51" i="15" s="1"/>
  <c r="J59" i="15"/>
  <c r="J60" i="15"/>
  <c r="Q49" i="15" s="1"/>
  <c r="F67" i="15"/>
  <c r="L60" i="44"/>
  <c r="L59" i="44"/>
  <c r="C27" i="15"/>
  <c r="F65" i="15"/>
  <c r="I55" i="44"/>
  <c r="J60" i="44"/>
  <c r="J61" i="44"/>
  <c r="Q50" i="44" s="1"/>
  <c r="J58" i="44"/>
  <c r="J56" i="44" s="1"/>
  <c r="J59" i="44" s="1"/>
  <c r="Q52" i="44" s="1"/>
  <c r="L57" i="44"/>
  <c r="J54" i="44"/>
  <c r="C29" i="44"/>
  <c r="F63" i="15"/>
  <c r="Q72" i="15"/>
  <c r="I14" i="66"/>
  <c r="B8" i="66" s="1"/>
  <c r="O41" i="9"/>
  <c r="R8" i="54" s="1"/>
  <c r="B54" i="63" s="1"/>
  <c r="G48" i="35"/>
  <c r="H48" i="35" s="1"/>
  <c r="I48" i="35" s="1"/>
  <c r="J48" i="35" s="1"/>
  <c r="K48" i="35" s="1"/>
  <c r="L48" i="35" s="1"/>
  <c r="M48" i="35" s="1"/>
  <c r="N48" i="35" s="1"/>
  <c r="O48" i="35" s="1"/>
  <c r="H52" i="37"/>
  <c r="I52" i="37" s="1"/>
  <c r="J52" i="37" s="1"/>
  <c r="K52" i="37" s="1"/>
  <c r="L52" i="37" s="1"/>
  <c r="M52" i="37" s="1"/>
  <c r="N52" i="37" s="1"/>
  <c r="O52" i="37" s="1"/>
  <c r="G46" i="36"/>
  <c r="H46" i="36" s="1"/>
  <c r="I46" i="36" s="1"/>
  <c r="J46" i="36" s="1"/>
  <c r="K46" i="36" s="1"/>
  <c r="L46" i="36" s="1"/>
  <c r="M46" i="36" s="1"/>
  <c r="N46" i="36" s="1"/>
  <c r="O46" i="36" s="1"/>
  <c r="H59" i="34"/>
  <c r="I59" i="34" s="1"/>
  <c r="J59" i="34" s="1"/>
  <c r="K59" i="34" s="1"/>
  <c r="L59" i="34" s="1"/>
  <c r="M59" i="34" s="1"/>
  <c r="N59" i="34" s="1"/>
  <c r="O59" i="34" s="1"/>
  <c r="H7" i="34"/>
  <c r="AA36" i="35"/>
  <c r="AZ502" i="3"/>
  <c r="AZ556" i="3"/>
  <c r="AZ572" i="3"/>
  <c r="AZ569" i="3"/>
  <c r="AZ543" i="3"/>
  <c r="AB30" i="33"/>
  <c r="U30" i="33"/>
  <c r="W28" i="33"/>
  <c r="AC28" i="33"/>
  <c r="U30" i="21"/>
  <c r="AB30" i="21"/>
  <c r="S39" i="37"/>
  <c r="AA39" i="37"/>
  <c r="AC8" i="21"/>
  <c r="W8" i="21"/>
  <c r="W40" i="21"/>
  <c r="AC40" i="21"/>
  <c r="H13" i="21"/>
  <c r="J13" i="21"/>
  <c r="F13" i="21"/>
  <c r="H27" i="21"/>
  <c r="J27" i="21"/>
  <c r="F27" i="21"/>
  <c r="J29" i="21"/>
  <c r="H29" i="21"/>
  <c r="F29" i="21"/>
  <c r="J31" i="21"/>
  <c r="H31" i="21"/>
  <c r="F31" i="21"/>
  <c r="J45" i="21"/>
  <c r="F45" i="21"/>
  <c r="H45" i="21"/>
  <c r="B73" i="46"/>
  <c r="C29" i="39"/>
  <c r="F9" i="21"/>
  <c r="H9" i="21"/>
  <c r="J9" i="33"/>
  <c r="H9" i="33"/>
  <c r="F9" i="33"/>
  <c r="U27" i="33"/>
  <c r="AB27" i="33"/>
  <c r="J26" i="33"/>
  <c r="F26" i="33"/>
  <c r="H26" i="33"/>
  <c r="AC8" i="34"/>
  <c r="W8" i="34"/>
  <c r="AB34" i="35"/>
  <c r="U34" i="35"/>
  <c r="AC36" i="35"/>
  <c r="W36" i="35"/>
  <c r="F31" i="33"/>
  <c r="J31" i="33"/>
  <c r="H31" i="33"/>
  <c r="F13" i="35"/>
  <c r="J13" i="35"/>
  <c r="H13" i="35"/>
  <c r="J25" i="35"/>
  <c r="F25" i="35"/>
  <c r="H25" i="35"/>
  <c r="J35" i="35"/>
  <c r="F35" i="35"/>
  <c r="H35" i="35"/>
  <c r="J9" i="36"/>
  <c r="H9" i="36"/>
  <c r="F9" i="36"/>
  <c r="H13" i="36"/>
  <c r="J13" i="36"/>
  <c r="F13" i="36"/>
  <c r="J24" i="36"/>
  <c r="H24" i="36"/>
  <c r="F24" i="36"/>
  <c r="H34" i="36"/>
  <c r="J34" i="36"/>
  <c r="F34" i="36"/>
  <c r="W31" i="36"/>
  <c r="AC31" i="36"/>
  <c r="AB30" i="37"/>
  <c r="U30" i="37"/>
  <c r="H14" i="37"/>
  <c r="F14" i="37"/>
  <c r="J14" i="37"/>
  <c r="F28" i="37"/>
  <c r="J28" i="37"/>
  <c r="H28" i="37"/>
  <c r="H40" i="37"/>
  <c r="J40" i="37"/>
  <c r="AZ392" i="3"/>
  <c r="AZ397" i="3"/>
  <c r="AZ413" i="3"/>
  <c r="AZ424" i="3"/>
  <c r="AZ437" i="3"/>
  <c r="AZ451" i="3"/>
  <c r="AZ457" i="3"/>
  <c r="AZ470" i="3"/>
  <c r="AZ473" i="3"/>
  <c r="AZ318" i="3"/>
  <c r="AZ334" i="3"/>
  <c r="AZ350" i="3"/>
  <c r="AZ405" i="3"/>
  <c r="AZ447" i="3"/>
  <c r="AZ465" i="3"/>
  <c r="AZ210" i="3"/>
  <c r="AZ160" i="3"/>
  <c r="AZ163" i="3"/>
  <c r="AZ176" i="3"/>
  <c r="AZ182" i="3"/>
  <c r="AZ190" i="3"/>
  <c r="AZ198" i="3"/>
  <c r="AZ204" i="3"/>
  <c r="AZ26" i="3"/>
  <c r="AZ29" i="3"/>
  <c r="G17" i="46"/>
  <c r="C16" i="46" s="1"/>
  <c r="C5" i="46" s="1"/>
  <c r="A30" i="64"/>
  <c r="A30" i="51"/>
  <c r="B22" i="63" s="1"/>
  <c r="AZ386" i="3"/>
  <c r="AZ222" i="3"/>
  <c r="AZ226" i="3"/>
  <c r="AZ238" i="3"/>
  <c r="AZ242" i="3"/>
  <c r="AZ254" i="3"/>
  <c r="AZ258" i="3"/>
  <c r="AZ269" i="3"/>
  <c r="AZ272" i="3"/>
  <c r="AZ285" i="3"/>
  <c r="AZ288" i="3"/>
  <c r="AZ296" i="3"/>
  <c r="AZ125" i="3"/>
  <c r="AZ128" i="3"/>
  <c r="AZ141" i="3"/>
  <c r="AZ144" i="3"/>
  <c r="AZ45" i="3"/>
  <c r="AZ49" i="3"/>
  <c r="AZ52" i="3"/>
  <c r="AZ54" i="3"/>
  <c r="AZ58" i="3"/>
  <c r="AZ69" i="3"/>
  <c r="AZ80" i="3"/>
  <c r="AZ89" i="3"/>
  <c r="AZ100" i="3"/>
  <c r="AZ105" i="3"/>
  <c r="D46" i="59"/>
  <c r="T46" i="59"/>
  <c r="D38" i="59"/>
  <c r="T38" i="59"/>
  <c r="D34" i="59"/>
  <c r="T34" i="59"/>
  <c r="D13" i="59"/>
  <c r="C14" i="59"/>
  <c r="D24" i="59"/>
  <c r="C25" i="59"/>
  <c r="D100" i="46"/>
  <c r="D23" i="15"/>
  <c r="O47" i="59"/>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S10" i="59"/>
  <c r="B9" i="59"/>
  <c r="B8" i="59" s="1"/>
  <c r="AA5" i="59"/>
  <c r="B54" i="46"/>
  <c r="C27" i="40"/>
  <c r="S27" i="40"/>
  <c r="S21" i="34"/>
  <c r="Q48" i="59"/>
  <c r="Q47" i="59"/>
  <c r="Y5" i="59"/>
  <c r="Z5" i="59" s="1"/>
  <c r="AB5" i="59"/>
  <c r="N4" i="63"/>
  <c r="B21" i="63"/>
  <c r="B49" i="59"/>
  <c r="A28" i="64"/>
  <c r="AA12" i="46"/>
  <c r="AE12" i="46"/>
  <c r="AI12" i="46"/>
  <c r="AI13" i="46" s="1"/>
  <c r="E10" i="59"/>
  <c r="C10" i="59"/>
  <c r="AA6" i="59"/>
  <c r="X6" i="59"/>
  <c r="X5" i="59"/>
  <c r="F10" i="59"/>
  <c r="Y6" i="59"/>
  <c r="Z6" i="59" s="1"/>
  <c r="AB6" i="59"/>
  <c r="M19" i="44"/>
  <c r="F58" i="15"/>
  <c r="M17" i="15"/>
  <c r="C19" i="44"/>
  <c r="M6" i="82"/>
  <c r="F38" i="78"/>
  <c r="F40" i="82"/>
  <c r="L47" i="82"/>
  <c r="N3" i="65"/>
  <c r="M23" i="82"/>
  <c r="M28" i="79"/>
  <c r="F42" i="78"/>
  <c r="F36" i="78"/>
  <c r="M24" i="82"/>
  <c r="M9" i="82"/>
  <c r="F13" i="78"/>
  <c r="J36" i="78"/>
  <c r="M6" i="78"/>
  <c r="F9" i="79"/>
  <c r="M22" i="82"/>
  <c r="F38" i="82"/>
  <c r="F26" i="78"/>
  <c r="F37" i="78"/>
  <c r="M31" i="44"/>
  <c r="L48" i="78"/>
  <c r="J36" i="82"/>
  <c r="F9" i="44"/>
  <c r="M29" i="79"/>
  <c r="M28" i="82"/>
  <c r="F7" i="79"/>
  <c r="F40" i="78"/>
  <c r="F26" i="82"/>
  <c r="F38" i="79"/>
  <c r="M26" i="79"/>
  <c r="M8" i="78"/>
  <c r="M22" i="79"/>
  <c r="L47" i="79"/>
  <c r="I3" i="65"/>
  <c r="M29" i="78"/>
  <c r="F7" i="82"/>
  <c r="L48" i="82"/>
  <c r="F37" i="79"/>
  <c r="F8" i="79"/>
  <c r="J7" i="65"/>
  <c r="F16" i="78"/>
  <c r="F13" i="82"/>
  <c r="F9" i="78"/>
  <c r="F13" i="79"/>
  <c r="M23" i="79"/>
  <c r="F8" i="78"/>
  <c r="M29" i="82"/>
  <c r="M23" i="78"/>
  <c r="J36" i="79"/>
  <c r="M24" i="79"/>
  <c r="F6" i="79"/>
  <c r="M27" i="79"/>
  <c r="M26" i="82"/>
  <c r="F7" i="78"/>
  <c r="F8" i="82"/>
  <c r="M6" i="79"/>
  <c r="L48" i="79"/>
  <c r="F6" i="82"/>
  <c r="J3" i="65"/>
  <c r="I5" i="65"/>
  <c r="M28" i="78"/>
  <c r="M8" i="82"/>
  <c r="F16" i="79"/>
  <c r="M9" i="79"/>
  <c r="F26" i="79"/>
  <c r="J15" i="82"/>
  <c r="I4" i="65"/>
  <c r="F43" i="82"/>
  <c r="J15" i="78"/>
  <c r="F16" i="82"/>
  <c r="F43" i="78"/>
  <c r="F37" i="82"/>
  <c r="F43" i="79"/>
  <c r="F9" i="82"/>
  <c r="M27" i="78"/>
  <c r="F36" i="79"/>
  <c r="F42" i="79"/>
  <c r="M24" i="78"/>
  <c r="J4" i="65"/>
  <c r="M9" i="78"/>
  <c r="I6" i="65"/>
  <c r="J5" i="65"/>
  <c r="M22" i="78"/>
  <c r="F36" i="82"/>
  <c r="J6" i="65"/>
  <c r="I7" i="65"/>
  <c r="L47" i="78"/>
  <c r="M26" i="78"/>
  <c r="M27" i="82"/>
  <c r="F42" i="82"/>
  <c r="F40" i="79"/>
  <c r="M8" i="79"/>
  <c r="J15" i="79"/>
  <c r="F6" i="78"/>
  <c r="E58" i="39" l="1"/>
  <c r="A9" i="64"/>
  <c r="A9" i="51"/>
  <c r="B9" i="63" s="1"/>
  <c r="B70" i="63"/>
  <c r="S19" i="21"/>
  <c r="AC19" i="21"/>
  <c r="AZ24" i="3"/>
  <c r="E5" i="6"/>
  <c r="E12" i="6"/>
  <c r="E10" i="6"/>
  <c r="E13" i="6"/>
  <c r="E14" i="6"/>
  <c r="E15" i="6"/>
  <c r="E11" i="6"/>
  <c r="K7" i="1"/>
  <c r="H16" i="1" s="1"/>
  <c r="L22" i="6"/>
  <c r="D58" i="76"/>
  <c r="E58" i="76" s="1"/>
  <c r="F58" i="76" s="1"/>
  <c r="G58" i="76" s="1"/>
  <c r="H58" i="76" s="1"/>
  <c r="I58" i="76" s="1"/>
  <c r="J58" i="76" s="1"/>
  <c r="K58" i="76" s="1"/>
  <c r="L58" i="76" s="1"/>
  <c r="M58" i="76" s="1"/>
  <c r="N58" i="76" s="1"/>
  <c r="O58" i="76" s="1"/>
  <c r="F7" i="76" s="1"/>
  <c r="J7" i="76"/>
  <c r="C72" i="80"/>
  <c r="D70" i="80"/>
  <c r="H65" i="40"/>
  <c r="G67" i="40"/>
  <c r="F7" i="34"/>
  <c r="J7" i="34"/>
  <c r="J7" i="36"/>
  <c r="F7" i="37"/>
  <c r="H7" i="35"/>
  <c r="H7" i="33"/>
  <c r="F7" i="21"/>
  <c r="E70" i="39"/>
  <c r="D72" i="39"/>
  <c r="L21" i="6"/>
  <c r="L27" i="6" s="1"/>
  <c r="Q16" i="1"/>
  <c r="F18" i="11" s="1"/>
  <c r="C18" i="11" s="1"/>
  <c r="F50" i="78"/>
  <c r="L59" i="78"/>
  <c r="L58" i="78"/>
  <c r="C6" i="78"/>
  <c r="Q72" i="78"/>
  <c r="C27" i="78"/>
  <c r="F63" i="78"/>
  <c r="F65" i="78"/>
  <c r="F67" i="78"/>
  <c r="F64" i="78"/>
  <c r="L56" i="78"/>
  <c r="J53" i="78"/>
  <c r="L60" i="78"/>
  <c r="I54" i="78"/>
  <c r="J59" i="78"/>
  <c r="L57" i="78"/>
  <c r="J57" i="78"/>
  <c r="J55" i="78" s="1"/>
  <c r="J58" i="78" s="1"/>
  <c r="Q51" i="78" s="1"/>
  <c r="J60" i="78"/>
  <c r="Q49" i="78" s="1"/>
  <c r="F70" i="78"/>
  <c r="F49" i="78"/>
  <c r="M7" i="78"/>
  <c r="J6" i="78" s="1"/>
  <c r="L59" i="82"/>
  <c r="L58" i="82"/>
  <c r="F50" i="82"/>
  <c r="F63" i="82"/>
  <c r="C6" i="82"/>
  <c r="L56" i="82"/>
  <c r="J57" i="82"/>
  <c r="J55" i="82" s="1"/>
  <c r="J58" i="82" s="1"/>
  <c r="Q51" i="82" s="1"/>
  <c r="J59" i="82"/>
  <c r="J60" i="82"/>
  <c r="Q49" i="82" s="1"/>
  <c r="J53" i="82"/>
  <c r="I54" i="82"/>
  <c r="F67" i="82"/>
  <c r="F65" i="82"/>
  <c r="C27" i="82"/>
  <c r="F64" i="82"/>
  <c r="Q72" i="82"/>
  <c r="F70" i="82"/>
  <c r="F49" i="82"/>
  <c r="M7" i="82"/>
  <c r="J6" i="82" s="1"/>
  <c r="F50" i="79"/>
  <c r="F63" i="79"/>
  <c r="L59" i="79"/>
  <c r="L58" i="79"/>
  <c r="Q72" i="79"/>
  <c r="F67" i="79"/>
  <c r="F64" i="79"/>
  <c r="L60" i="79"/>
  <c r="L57" i="79"/>
  <c r="J57" i="79"/>
  <c r="J55" i="79" s="1"/>
  <c r="J58" i="79" s="1"/>
  <c r="Q51" i="79" s="1"/>
  <c r="J60" i="79"/>
  <c r="Q49" i="79" s="1"/>
  <c r="I54" i="79"/>
  <c r="L56" i="79"/>
  <c r="J53" i="79"/>
  <c r="J59" i="79"/>
  <c r="C27" i="79"/>
  <c r="C6" i="79"/>
  <c r="F65" i="79"/>
  <c r="F70" i="79"/>
  <c r="F49" i="79"/>
  <c r="M7" i="79"/>
  <c r="J6" i="79" s="1"/>
  <c r="M9" i="44"/>
  <c r="J8" i="44" s="1"/>
  <c r="C8" i="44"/>
  <c r="M12" i="1"/>
  <c r="W29" i="39"/>
  <c r="U17" i="21"/>
  <c r="AA15" i="21"/>
  <c r="U19" i="21"/>
  <c r="F27" i="6"/>
  <c r="F31" i="6" s="1"/>
  <c r="E58" i="80"/>
  <c r="M11" i="82"/>
  <c r="J10" i="82" s="1"/>
  <c r="F11" i="82"/>
  <c r="O8" i="1"/>
  <c r="P8" i="1" s="1"/>
  <c r="C15" i="12" s="1"/>
  <c r="C15" i="43"/>
  <c r="AA17" i="39"/>
  <c r="S17" i="39"/>
  <c r="AB17" i="39"/>
  <c r="W17" i="39"/>
  <c r="AC17" i="39"/>
  <c r="AB13" i="39"/>
  <c r="U13" i="39"/>
  <c r="AA13" i="46"/>
  <c r="O10" i="1"/>
  <c r="P10" i="1" s="1"/>
  <c r="F11" i="79"/>
  <c r="M11" i="79"/>
  <c r="J10" i="79" s="1"/>
  <c r="M13" i="44"/>
  <c r="J12" i="44" s="1"/>
  <c r="F11" i="78"/>
  <c r="M11" i="78"/>
  <c r="J10" i="78" s="1"/>
  <c r="S37" i="21"/>
  <c r="AA37" i="21"/>
  <c r="W37" i="21"/>
  <c r="AC37" i="21"/>
  <c r="U37" i="21"/>
  <c r="AB37" i="21"/>
  <c r="F24" i="43"/>
  <c r="C26" i="43" s="1"/>
  <c r="D24" i="43" s="1"/>
  <c r="AP16" i="1"/>
  <c r="F22" i="11" s="1"/>
  <c r="G16" i="1"/>
  <c r="AA17" i="21"/>
  <c r="U15" i="21"/>
  <c r="AB15" i="21"/>
  <c r="AC15" i="21"/>
  <c r="W15" i="21"/>
  <c r="AZ39" i="3"/>
  <c r="E16" i="6"/>
  <c r="AZ27" i="3"/>
  <c r="E53" i="40"/>
  <c r="AZ36" i="3"/>
  <c r="AZ559" i="3"/>
  <c r="AE13" i="46"/>
  <c r="G5" i="3"/>
  <c r="B3" i="3" s="1"/>
  <c r="E15" i="3" s="1"/>
  <c r="E28" i="6"/>
  <c r="E30" i="6" s="1"/>
  <c r="BA5" i="3"/>
  <c r="E27" i="6" s="1"/>
  <c r="BL5" i="3"/>
  <c r="AZ13" i="3"/>
  <c r="K14" i="1"/>
  <c r="N109" i="46"/>
  <c r="N105" i="46"/>
  <c r="N102" i="46"/>
  <c r="N107" i="46"/>
  <c r="N103" i="46"/>
  <c r="N104" i="46"/>
  <c r="N106" i="46"/>
  <c r="I102" i="46"/>
  <c r="I109" i="46"/>
  <c r="I107" i="46"/>
  <c r="I105" i="46"/>
  <c r="I104" i="46"/>
  <c r="I103" i="46"/>
  <c r="I106" i="46"/>
  <c r="M104" i="46"/>
  <c r="M103" i="46"/>
  <c r="M105" i="46"/>
  <c r="M107" i="46"/>
  <c r="M102" i="46"/>
  <c r="M109" i="46"/>
  <c r="M106" i="46"/>
  <c r="D22" i="46"/>
  <c r="C106" i="46"/>
  <c r="C105" i="46"/>
  <c r="C102" i="46"/>
  <c r="C104" i="46"/>
  <c r="C107" i="46"/>
  <c r="C109" i="46"/>
  <c r="C103" i="46"/>
  <c r="J104" i="46"/>
  <c r="J103" i="46"/>
  <c r="J105" i="46"/>
  <c r="J109" i="46"/>
  <c r="J102" i="46"/>
  <c r="J107" i="46"/>
  <c r="J106" i="46"/>
  <c r="G104" i="46"/>
  <c r="G102" i="46"/>
  <c r="G107" i="46"/>
  <c r="G106" i="46"/>
  <c r="G103" i="46"/>
  <c r="G109" i="46"/>
  <c r="G105"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D102" i="46"/>
  <c r="D104" i="46"/>
  <c r="D109" i="46"/>
  <c r="D103" i="46"/>
  <c r="D106" i="46"/>
  <c r="D105" i="46"/>
  <c r="D107" i="46"/>
  <c r="H104" i="46"/>
  <c r="H105" i="46"/>
  <c r="H106" i="46"/>
  <c r="H109" i="46"/>
  <c r="H102" i="46"/>
  <c r="H107" i="46"/>
  <c r="H103" i="46"/>
  <c r="A17" i="51"/>
  <c r="B13" i="63" s="1"/>
  <c r="A25" i="64"/>
  <c r="A25" i="51"/>
  <c r="B18" i="63" s="1"/>
  <c r="K17" i="4"/>
  <c r="A22" i="51" s="1"/>
  <c r="B16" i="63" s="1"/>
  <c r="F11" i="15"/>
  <c r="C52" i="15" s="1"/>
  <c r="M11" i="15"/>
  <c r="J10" i="15" s="1"/>
  <c r="F13" i="44"/>
  <c r="C12" i="44" s="1"/>
  <c r="E20" i="46"/>
  <c r="O17" i="46" s="1"/>
  <c r="J1" i="65"/>
  <c r="I1" i="65"/>
  <c r="F7" i="35"/>
  <c r="AA7" i="35" s="1"/>
  <c r="R38" i="35" s="1"/>
  <c r="J7" i="35"/>
  <c r="J7" i="33"/>
  <c r="H7" i="21"/>
  <c r="J7" i="21"/>
  <c r="U7" i="33"/>
  <c r="AB7" i="33"/>
  <c r="T48" i="33" s="1"/>
  <c r="G48" i="33" s="1"/>
  <c r="AA7" i="33"/>
  <c r="R48" i="33" s="1"/>
  <c r="S7" i="33"/>
  <c r="S7" i="21"/>
  <c r="AA7" i="21"/>
  <c r="W40" i="37"/>
  <c r="AC40" i="37"/>
  <c r="U28" i="37"/>
  <c r="AB28" i="37"/>
  <c r="AA28" i="37"/>
  <c r="S28" i="37"/>
  <c r="AA14" i="37"/>
  <c r="S14" i="37"/>
  <c r="AA34" i="36"/>
  <c r="S34" i="36"/>
  <c r="U34" i="36"/>
  <c r="AB34" i="36"/>
  <c r="U24" i="36"/>
  <c r="AB24" i="36"/>
  <c r="S13" i="36"/>
  <c r="AA13" i="36"/>
  <c r="AB13" i="36"/>
  <c r="U13" i="36"/>
  <c r="AB9" i="36"/>
  <c r="U9" i="36"/>
  <c r="U35" i="35"/>
  <c r="AB35" i="35"/>
  <c r="W35" i="35"/>
  <c r="AC35" i="35"/>
  <c r="S25" i="35"/>
  <c r="AA25" i="35"/>
  <c r="AB13" i="35"/>
  <c r="U13" i="35"/>
  <c r="S13" i="35"/>
  <c r="AA13" i="35"/>
  <c r="AC31" i="33"/>
  <c r="W31" i="33"/>
  <c r="U26" i="33"/>
  <c r="AB26" i="33"/>
  <c r="AC26" i="33"/>
  <c r="W26" i="33"/>
  <c r="U9" i="33"/>
  <c r="AB9" i="33"/>
  <c r="U9" i="21"/>
  <c r="AB9" i="21"/>
  <c r="AB45" i="21"/>
  <c r="U45" i="21"/>
  <c r="AC45" i="21"/>
  <c r="W45" i="21"/>
  <c r="AB31" i="21"/>
  <c r="U31" i="21"/>
  <c r="AA29" i="21"/>
  <c r="S29" i="21"/>
  <c r="W29" i="21"/>
  <c r="AC29" i="21"/>
  <c r="W27" i="21"/>
  <c r="AC27" i="21"/>
  <c r="AA13" i="21"/>
  <c r="S13" i="21"/>
  <c r="U13" i="21"/>
  <c r="AB13" i="21"/>
  <c r="S7" i="34"/>
  <c r="AA7" i="34"/>
  <c r="R49" i="34" s="1"/>
  <c r="F7" i="36"/>
  <c r="AB7" i="34"/>
  <c r="T49" i="34" s="1"/>
  <c r="G49" i="34" s="1"/>
  <c r="U7" i="34"/>
  <c r="H7" i="36"/>
  <c r="J7" i="37"/>
  <c r="H7" i="37"/>
  <c r="AB7" i="35"/>
  <c r="T38" i="35" s="1"/>
  <c r="G38" i="35" s="1"/>
  <c r="U7" i="35"/>
  <c r="K34" i="9"/>
  <c r="L47" i="44"/>
  <c r="F1" i="44"/>
  <c r="Q54" i="44"/>
  <c r="Q75" i="44"/>
  <c r="Q62" i="44"/>
  <c r="L46" i="15"/>
  <c r="Q75" i="15"/>
  <c r="Q62" i="15"/>
  <c r="AZ5" i="3"/>
  <c r="AB40" i="37"/>
  <c r="U40" i="37"/>
  <c r="AC28" i="37"/>
  <c r="W28" i="37"/>
  <c r="W14" i="37"/>
  <c r="AC14" i="37"/>
  <c r="U14" i="37"/>
  <c r="AB14" i="37"/>
  <c r="AC34" i="36"/>
  <c r="W34" i="36"/>
  <c r="AA24" i="36"/>
  <c r="S24" i="36"/>
  <c r="AC24" i="36"/>
  <c r="W24" i="36"/>
  <c r="AC13" i="36"/>
  <c r="W13" i="36"/>
  <c r="AA9" i="36"/>
  <c r="S9" i="36"/>
  <c r="AC9" i="36"/>
  <c r="W9" i="36"/>
  <c r="S35" i="35"/>
  <c r="AA35" i="35"/>
  <c r="AB25" i="35"/>
  <c r="U25" i="35"/>
  <c r="AC25" i="35"/>
  <c r="W25" i="35"/>
  <c r="AC13" i="35"/>
  <c r="W13" i="35"/>
  <c r="AB31" i="33"/>
  <c r="U31" i="33"/>
  <c r="S31" i="33"/>
  <c r="AA31" i="33"/>
  <c r="AA26" i="33"/>
  <c r="S26" i="33"/>
  <c r="AA9" i="33"/>
  <c r="S9" i="33"/>
  <c r="AC9" i="33"/>
  <c r="W9" i="33"/>
  <c r="S9" i="21"/>
  <c r="AA9" i="21"/>
  <c r="AA45" i="21"/>
  <c r="S45" i="21"/>
  <c r="S31" i="21"/>
  <c r="AA31" i="21"/>
  <c r="AC31" i="21"/>
  <c r="W31" i="21"/>
  <c r="U29" i="21"/>
  <c r="AB29" i="21"/>
  <c r="AA27" i="21"/>
  <c r="S27" i="21"/>
  <c r="AB27" i="21"/>
  <c r="U27" i="21"/>
  <c r="AC13" i="21"/>
  <c r="W13" i="21"/>
  <c r="W7" i="34"/>
  <c r="AC7" i="34"/>
  <c r="V49" i="34" s="1"/>
  <c r="I49" i="34" s="1"/>
  <c r="W7" i="36"/>
  <c r="AC7" i="36"/>
  <c r="V36" i="36" s="1"/>
  <c r="I36" i="36" s="1"/>
  <c r="AA7" i="37"/>
  <c r="R42" i="37" s="1"/>
  <c r="S7" i="37"/>
  <c r="AC7" i="35"/>
  <c r="V38" i="35" s="1"/>
  <c r="I38" i="35" s="1"/>
  <c r="W7" i="35"/>
  <c r="Q63" i="44"/>
  <c r="Q76" i="44"/>
  <c r="F1" i="15"/>
  <c r="Q53" i="15"/>
  <c r="Q74" i="15"/>
  <c r="Q61" i="15"/>
  <c r="F9" i="59"/>
  <c r="F8" i="59" s="1"/>
  <c r="V10" i="59"/>
  <c r="D10" i="59"/>
  <c r="T10" i="59"/>
  <c r="C9" i="59"/>
  <c r="U10" i="59"/>
  <c r="E9" i="59"/>
  <c r="E8" i="59" s="1"/>
  <c r="B48" i="59"/>
  <c r="N49" i="59"/>
  <c r="C17" i="59"/>
  <c r="D16" i="59"/>
  <c r="D25" i="59"/>
  <c r="C26" i="59"/>
  <c r="D14" i="59"/>
  <c r="T14" i="59"/>
  <c r="C16" i="79"/>
  <c r="M29" i="15"/>
  <c r="F7" i="15"/>
  <c r="C18" i="44"/>
  <c r="E3" i="65"/>
  <c r="F43" i="15"/>
  <c r="C16" i="78"/>
  <c r="C16" i="82"/>
  <c r="E2" i="65"/>
  <c r="AE7" i="1"/>
  <c r="J5" i="78" l="1"/>
  <c r="J24" i="78" s="1"/>
  <c r="E63" i="80"/>
  <c r="E58" i="40"/>
  <c r="E63" i="39"/>
  <c r="E66" i="80"/>
  <c r="E66" i="39"/>
  <c r="E61" i="40"/>
  <c r="D12" i="11"/>
  <c r="C12" i="11" s="1"/>
  <c r="D21" i="12"/>
  <c r="C21" i="12" s="1"/>
  <c r="E67" i="80"/>
  <c r="E67" i="39"/>
  <c r="E62" i="40"/>
  <c r="E65" i="80"/>
  <c r="E65" i="39"/>
  <c r="E60" i="40"/>
  <c r="E64" i="80"/>
  <c r="E59" i="40"/>
  <c r="E64" i="39"/>
  <c r="M7" i="1"/>
  <c r="O7" i="1" s="1"/>
  <c r="P7" i="1" s="1"/>
  <c r="F33" i="12"/>
  <c r="C34" i="12" s="1"/>
  <c r="D33" i="12" s="1"/>
  <c r="F70" i="15"/>
  <c r="C6" i="15"/>
  <c r="M7" i="15"/>
  <c r="J6" i="15" s="1"/>
  <c r="J5" i="15" s="1"/>
  <c r="J18" i="15" s="1"/>
  <c r="F49" i="15"/>
  <c r="C48" i="15" s="1"/>
  <c r="K19" i="6"/>
  <c r="S6" i="1" s="1"/>
  <c r="C7" i="44"/>
  <c r="C40" i="44" s="1"/>
  <c r="H7" i="76"/>
  <c r="D72" i="80"/>
  <c r="E70" i="80"/>
  <c r="W7" i="76"/>
  <c r="AC7" i="76"/>
  <c r="AA7" i="76"/>
  <c r="S7" i="76"/>
  <c r="S7" i="35"/>
  <c r="I65" i="40"/>
  <c r="H67" i="40"/>
  <c r="J7" i="44"/>
  <c r="J20" i="44" s="1"/>
  <c r="J5" i="82"/>
  <c r="J18" i="82" s="1"/>
  <c r="C48" i="82"/>
  <c r="F70" i="39"/>
  <c r="E72" i="39"/>
  <c r="J5" i="79"/>
  <c r="J24" i="79" s="1"/>
  <c r="O12" i="1"/>
  <c r="P12" i="1" s="1"/>
  <c r="C48" i="79"/>
  <c r="Q53" i="79"/>
  <c r="F1" i="79"/>
  <c r="Q67" i="79"/>
  <c r="Q58" i="79"/>
  <c r="Q61" i="79"/>
  <c r="Q74" i="79"/>
  <c r="Q75" i="82"/>
  <c r="Q62" i="82"/>
  <c r="C48" i="78"/>
  <c r="Q53" i="78"/>
  <c r="F1" i="78"/>
  <c r="Q62" i="78"/>
  <c r="Q75" i="78"/>
  <c r="Q75" i="79"/>
  <c r="Q62" i="79"/>
  <c r="F1" i="82"/>
  <c r="Q53" i="82"/>
  <c r="Q74" i="82"/>
  <c r="Q61" i="82"/>
  <c r="Q67" i="78"/>
  <c r="Q58" i="78"/>
  <c r="Q61" i="78"/>
  <c r="Q74" i="78"/>
  <c r="C52" i="82"/>
  <c r="C10" i="82"/>
  <c r="C5" i="82" s="1"/>
  <c r="C52" i="79"/>
  <c r="C10" i="79"/>
  <c r="C5" i="79" s="1"/>
  <c r="C52" i="78"/>
  <c r="C10" i="78"/>
  <c r="C5" i="78" s="1"/>
  <c r="J12" i="40"/>
  <c r="H12" i="40"/>
  <c r="F12" i="40"/>
  <c r="K20" i="6"/>
  <c r="E86" i="3"/>
  <c r="E297" i="3"/>
  <c r="E561" i="3"/>
  <c r="E411" i="3"/>
  <c r="E283" i="3"/>
  <c r="E395"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AO6" i="3"/>
  <c r="E476" i="3"/>
  <c r="M6" i="3"/>
  <c r="E68" i="3"/>
  <c r="E475" i="3"/>
  <c r="E192" i="3"/>
  <c r="E241" i="3"/>
  <c r="E135" i="3"/>
  <c r="E421" i="3"/>
  <c r="E114" i="3"/>
  <c r="E69" i="3"/>
  <c r="E147" i="3"/>
  <c r="E206" i="3"/>
  <c r="E348" i="3"/>
  <c r="E446" i="3"/>
  <c r="E22" i="3"/>
  <c r="E132" i="3"/>
  <c r="E93" i="3"/>
  <c r="E152" i="3"/>
  <c r="E439" i="3"/>
  <c r="E333" i="3"/>
  <c r="E437" i="3"/>
  <c r="E91" i="3"/>
  <c r="E46" i="3"/>
  <c r="E115" i="3"/>
  <c r="E221" i="3"/>
  <c r="E359" i="3"/>
  <c r="E457" i="3"/>
  <c r="E195" i="3"/>
  <c r="E31" i="3"/>
  <c r="E391" i="3"/>
  <c r="E394" i="3"/>
  <c r="E459" i="3"/>
  <c r="E55" i="3"/>
  <c r="E117" i="3"/>
  <c r="E282" i="3"/>
  <c r="E231" i="3"/>
  <c r="E570" i="3"/>
  <c r="E528" i="3"/>
  <c r="E375" i="3"/>
  <c r="E470" i="3"/>
  <c r="E409" i="3"/>
  <c r="E534" i="3"/>
  <c r="E472" i="3"/>
  <c r="E83" i="3"/>
  <c r="E186" i="3"/>
  <c r="E124" i="3"/>
  <c r="E311" i="3"/>
  <c r="E222" i="3"/>
  <c r="E263" i="3"/>
  <c r="E388" i="3"/>
  <c r="E424" i="3"/>
  <c r="E430" i="3"/>
  <c r="E82" i="3"/>
  <c r="E146" i="3"/>
  <c r="E164" i="3"/>
  <c r="E77" i="3"/>
  <c r="E99" i="3"/>
  <c r="E434" i="3"/>
  <c r="E262" i="3"/>
  <c r="E552"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492" i="3"/>
  <c r="AA6" i="3"/>
  <c r="AD6" i="3"/>
  <c r="E299" i="3"/>
  <c r="E327" i="3"/>
  <c r="E103" i="3"/>
  <c r="E200" i="3"/>
  <c r="E62" i="3"/>
  <c r="E389" i="3"/>
  <c r="E23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127" i="3"/>
  <c r="E266" i="3"/>
  <c r="E215" i="3"/>
  <c r="I6" i="3"/>
  <c r="E548" i="3"/>
  <c r="Z6" i="3"/>
  <c r="E454" i="3"/>
  <c r="E520"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384" i="3"/>
  <c r="E371" i="3"/>
  <c r="E310"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22" i="3"/>
  <c r="E368" i="3"/>
  <c r="E572"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3" i="3"/>
  <c r="E413" i="3"/>
  <c r="K24" i="6"/>
  <c r="M24" i="6" s="1"/>
  <c r="I24" i="6" s="1"/>
  <c r="S24" i="6" s="1"/>
  <c r="E31" i="6"/>
  <c r="K22" i="6"/>
  <c r="K21" i="6"/>
  <c r="K26" i="6"/>
  <c r="M26" i="6" s="1"/>
  <c r="I26" i="6" s="1"/>
  <c r="S26" i="6" s="1"/>
  <c r="K25" i="6"/>
  <c r="M25" i="6" s="1"/>
  <c r="I25" i="6" s="1"/>
  <c r="S25" i="6" s="1"/>
  <c r="K23" i="6"/>
  <c r="N17" i="46"/>
  <c r="M14" i="1"/>
  <c r="K16" i="1"/>
  <c r="M19" i="6"/>
  <c r="C115" i="46"/>
  <c r="D113" i="46" s="1"/>
  <c r="S5" i="46"/>
  <c r="S6" i="46"/>
  <c r="S2" i="46"/>
  <c r="S7" i="46"/>
  <c r="S3" i="46"/>
  <c r="S4" i="46"/>
  <c r="C10" i="15"/>
  <c r="C5" i="15" s="1"/>
  <c r="C32" i="15" s="1"/>
  <c r="P17" i="46"/>
  <c r="M17" i="46"/>
  <c r="F17" i="11"/>
  <c r="C17" i="11" s="1"/>
  <c r="C19" i="11" s="1"/>
  <c r="C20" i="11" s="1"/>
  <c r="C21" i="11" s="1"/>
  <c r="C22" i="11" s="1"/>
  <c r="C23" i="11" s="1"/>
  <c r="B2" i="11" s="1"/>
  <c r="B40" i="1"/>
  <c r="R49" i="33"/>
  <c r="E48" i="33"/>
  <c r="AC7" i="21"/>
  <c r="W7" i="21"/>
  <c r="AC7" i="33"/>
  <c r="V48" i="33" s="1"/>
  <c r="I48" i="33" s="1"/>
  <c r="W7" i="33"/>
  <c r="G52" i="33"/>
  <c r="H52" i="33" s="1"/>
  <c r="U7" i="21"/>
  <c r="AB7" i="21"/>
  <c r="C47" i="15"/>
  <c r="C65" i="15" s="1"/>
  <c r="I42" i="35"/>
  <c r="J42" i="35" s="1"/>
  <c r="E42" i="37"/>
  <c r="R43" i="37"/>
  <c r="R39" i="35"/>
  <c r="E38" i="35"/>
  <c r="E3" i="6"/>
  <c r="AY6" i="3"/>
  <c r="G42" i="35"/>
  <c r="H42" i="35" s="1"/>
  <c r="G43" i="35"/>
  <c r="H43" i="35" s="1"/>
  <c r="W7" i="37"/>
  <c r="AC7" i="37"/>
  <c r="V42" i="37" s="1"/>
  <c r="I42" i="37" s="1"/>
  <c r="AA7" i="36"/>
  <c r="R36" i="36" s="1"/>
  <c r="S7" i="36"/>
  <c r="I40" i="36"/>
  <c r="J40" i="36" s="1"/>
  <c r="I53" i="34"/>
  <c r="J53" i="34" s="1"/>
  <c r="U7" i="37"/>
  <c r="AB7" i="37"/>
  <c r="T42" i="37" s="1"/>
  <c r="G42" i="37" s="1"/>
  <c r="AB7" i="36"/>
  <c r="T36" i="36" s="1"/>
  <c r="G36" i="36" s="1"/>
  <c r="U7" i="36"/>
  <c r="G53" i="34"/>
  <c r="H53" i="34" s="1"/>
  <c r="G54" i="34"/>
  <c r="H54" i="34" s="1"/>
  <c r="R50" i="34"/>
  <c r="E49" i="34"/>
  <c r="D26" i="59"/>
  <c r="T26" i="59"/>
  <c r="D17" i="59"/>
  <c r="C18" i="59"/>
  <c r="N48" i="59"/>
  <c r="N47" i="59"/>
  <c r="C8" i="59"/>
  <c r="D9" i="59"/>
  <c r="AE10" i="1"/>
  <c r="F41" i="15"/>
  <c r="C17" i="78"/>
  <c r="AE6" i="1"/>
  <c r="C16" i="15"/>
  <c r="AE8" i="1"/>
  <c r="J26" i="78" l="1"/>
  <c r="F68" i="15"/>
  <c r="J18" i="78"/>
  <c r="C34" i="44"/>
  <c r="J24" i="82"/>
  <c r="J26" i="82"/>
  <c r="J26" i="44"/>
  <c r="E72" i="80"/>
  <c r="F70" i="80"/>
  <c r="U7" i="76"/>
  <c r="AB7" i="76"/>
  <c r="J65" i="40"/>
  <c r="I67" i="40"/>
  <c r="AE9" i="1"/>
  <c r="F41" i="78"/>
  <c r="L52" i="44"/>
  <c r="F41" i="79"/>
  <c r="F41" i="82"/>
  <c r="F68" i="79" l="1"/>
  <c r="G70" i="80"/>
  <c r="F72" i="80"/>
  <c r="J67" i="40"/>
  <c r="K65" i="40"/>
  <c r="J28" i="44"/>
  <c r="J31" i="44" s="1"/>
  <c r="Q67" i="44" s="1"/>
  <c r="C47" i="82"/>
  <c r="C60" i="82" s="1"/>
  <c r="F72" i="39"/>
  <c r="G70" i="39"/>
  <c r="M23" i="6"/>
  <c r="I23" i="6" s="1"/>
  <c r="S23" i="6" s="1"/>
  <c r="S10" i="1"/>
  <c r="J24" i="15"/>
  <c r="C47" i="79"/>
  <c r="C60" i="79" s="1"/>
  <c r="J18" i="79"/>
  <c r="J26" i="79"/>
  <c r="J29" i="79" s="1"/>
  <c r="C47" i="78"/>
  <c r="C60" i="78" s="1"/>
  <c r="F68" i="82"/>
  <c r="F68" i="78"/>
  <c r="J29" i="78"/>
  <c r="J29" i="82"/>
  <c r="J26" i="15"/>
  <c r="J29" i="15" s="1"/>
  <c r="Q58" i="44"/>
  <c r="F24" i="79"/>
  <c r="C24" i="79" s="1"/>
  <c r="F24" i="82"/>
  <c r="C33" i="82"/>
  <c r="C32" i="82"/>
  <c r="C38" i="82"/>
  <c r="AB12" i="80"/>
  <c r="U12" i="80"/>
  <c r="AC12" i="80"/>
  <c r="W12" i="80"/>
  <c r="AA12" i="80"/>
  <c r="S12" i="80"/>
  <c r="C33" i="76"/>
  <c r="C33" i="21"/>
  <c r="C38" i="79"/>
  <c r="C33" i="79"/>
  <c r="C32" i="79"/>
  <c r="F26" i="44"/>
  <c r="C26" i="44" s="1"/>
  <c r="F24" i="78"/>
  <c r="C38" i="78"/>
  <c r="C33" i="78"/>
  <c r="C32" i="78"/>
  <c r="K27" i="6"/>
  <c r="S12" i="40"/>
  <c r="AA12" i="40"/>
  <c r="AB12" i="40"/>
  <c r="U12" i="40"/>
  <c r="U12" i="39"/>
  <c r="AB12" i="39"/>
  <c r="AA12" i="39"/>
  <c r="S12" i="39"/>
  <c r="W12" i="39"/>
  <c r="AC12" i="39"/>
  <c r="AC12" i="40"/>
  <c r="W12" i="40"/>
  <c r="M22" i="6"/>
  <c r="I22" i="6" s="1"/>
  <c r="S22" i="6" s="1"/>
  <c r="S9" i="1"/>
  <c r="M21" i="6"/>
  <c r="I21" i="6" s="1"/>
  <c r="S21" i="6" s="1"/>
  <c r="S8" i="1"/>
  <c r="M20" i="6"/>
  <c r="I20" i="6" s="1"/>
  <c r="S20" i="6" s="1"/>
  <c r="S7" i="1"/>
  <c r="H6" i="3"/>
  <c r="AC6" i="3"/>
  <c r="I19" i="6"/>
  <c r="O14" i="1"/>
  <c r="O16" i="1" s="1"/>
  <c r="M16" i="1"/>
  <c r="N16" i="1" s="1"/>
  <c r="C29" i="43" s="1"/>
  <c r="F24" i="15"/>
  <c r="C24" i="15" s="1"/>
  <c r="C38" i="15"/>
  <c r="F26" i="12"/>
  <c r="C27" i="12" s="1"/>
  <c r="D26" i="12" s="1"/>
  <c r="C32" i="12" s="1"/>
  <c r="D30" i="12" s="1"/>
  <c r="F21" i="43"/>
  <c r="C23" i="43" s="1"/>
  <c r="D21" i="43" s="1"/>
  <c r="I52" i="33"/>
  <c r="J52" i="33" s="1"/>
  <c r="I53" i="33"/>
  <c r="J53" i="33" s="1"/>
  <c r="K67" i="40"/>
  <c r="L65" i="40"/>
  <c r="G53" i="33"/>
  <c r="H53" i="33" s="1"/>
  <c r="E52" i="33"/>
  <c r="F52" i="33" s="1"/>
  <c r="E53" i="33"/>
  <c r="F53" i="33" s="1"/>
  <c r="C48" i="33"/>
  <c r="C49" i="33"/>
  <c r="B3" i="33" s="1"/>
  <c r="B2" i="33" s="1"/>
  <c r="C59" i="15"/>
  <c r="Q69" i="44"/>
  <c r="L58" i="44"/>
  <c r="L61" i="44" s="1"/>
  <c r="B3" i="11"/>
  <c r="E36" i="36"/>
  <c r="R37" i="36"/>
  <c r="E54" i="34"/>
  <c r="F54" i="34" s="1"/>
  <c r="E53" i="34"/>
  <c r="F53" i="34" s="1"/>
  <c r="G47" i="37"/>
  <c r="H47" i="37" s="1"/>
  <c r="G46" i="37"/>
  <c r="H46" i="37" s="1"/>
  <c r="I54" i="34"/>
  <c r="J54" i="34" s="1"/>
  <c r="I46" i="37"/>
  <c r="J46" i="37" s="1"/>
  <c r="I47" i="37"/>
  <c r="J47" i="37" s="1"/>
  <c r="D3" i="6"/>
  <c r="I7"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52" i="3"/>
  <c r="AY491" i="3"/>
  <c r="AY523" i="3"/>
  <c r="AY508" i="3"/>
  <c r="E43" i="35"/>
  <c r="F43" i="35" s="1"/>
  <c r="E42" i="35"/>
  <c r="F42" i="35" s="1"/>
  <c r="C42" i="37"/>
  <c r="C43" i="37"/>
  <c r="B3" i="37" s="1"/>
  <c r="B2" i="37" s="1"/>
  <c r="I43" i="35"/>
  <c r="J43" i="35" s="1"/>
  <c r="D8" i="59"/>
  <c r="C50" i="34"/>
  <c r="B3" i="34" s="1"/>
  <c r="B2" i="34" s="1"/>
  <c r="C49" i="34"/>
  <c r="G40" i="36"/>
  <c r="H40" i="36" s="1"/>
  <c r="G41" i="36"/>
  <c r="H41" i="36" s="1"/>
  <c r="C21" i="4"/>
  <c r="O5" i="54" s="1"/>
  <c r="B45" i="63" s="1"/>
  <c r="D10" i="11"/>
  <c r="D16" i="43"/>
  <c r="C16" i="43" s="1"/>
  <c r="D16" i="12"/>
  <c r="E6" i="6"/>
  <c r="L38" i="9"/>
  <c r="B14" i="66" s="1"/>
  <c r="B1" i="66" s="1"/>
  <c r="D45" i="9"/>
  <c r="D46" i="9"/>
  <c r="C38" i="35"/>
  <c r="C39" i="35"/>
  <c r="B3" i="35" s="1"/>
  <c r="B2" i="35" s="1"/>
  <c r="E46" i="37"/>
  <c r="F46" i="37" s="1"/>
  <c r="E47" i="37"/>
  <c r="F47" i="37" s="1"/>
  <c r="D18" i="59"/>
  <c r="M20" i="46" s="1"/>
  <c r="C19" i="46" s="1"/>
  <c r="T18" i="59"/>
  <c r="C17" i="79"/>
  <c r="C17" i="82"/>
  <c r="C17" i="15"/>
  <c r="C59" i="82" l="1"/>
  <c r="Q49" i="44"/>
  <c r="Q55" i="44" s="1"/>
  <c r="C59" i="79"/>
  <c r="C65" i="82"/>
  <c r="H70" i="80"/>
  <c r="G72" i="80"/>
  <c r="H70" i="39"/>
  <c r="G72" i="39"/>
  <c r="C65" i="79"/>
  <c r="C59" i="78"/>
  <c r="C65" i="78"/>
  <c r="C40" i="80"/>
  <c r="C40" i="39"/>
  <c r="M27" i="6"/>
  <c r="B5" i="11"/>
  <c r="E68" i="80"/>
  <c r="C24" i="82"/>
  <c r="H33" i="21"/>
  <c r="J33" i="21"/>
  <c r="F33" i="21"/>
  <c r="J33" i="76"/>
  <c r="H33" i="76"/>
  <c r="F33" i="76"/>
  <c r="C24" i="78"/>
  <c r="S16" i="1"/>
  <c r="T7" i="1" s="1"/>
  <c r="E6" i="3"/>
  <c r="P14" i="1"/>
  <c r="P16" i="1" s="1"/>
  <c r="C13" i="12" s="1"/>
  <c r="C13" i="43"/>
  <c r="L16" i="1"/>
  <c r="I27" i="6"/>
  <c r="S19" i="6"/>
  <c r="S27" i="6" s="1"/>
  <c r="M65" i="40"/>
  <c r="L67" i="40"/>
  <c r="C35" i="46"/>
  <c r="C33" i="46"/>
  <c r="C36" i="46"/>
  <c r="C34" i="46"/>
  <c r="T3" i="46"/>
  <c r="V3" i="46" s="1"/>
  <c r="T2" i="46"/>
  <c r="V2" i="46" s="1"/>
  <c r="T7" i="46"/>
  <c r="V7" i="46" s="1"/>
  <c r="T8" i="46"/>
  <c r="V8" i="46" s="1"/>
  <c r="T16" i="46"/>
  <c r="V16" i="46" s="1"/>
  <c r="T13" i="46"/>
  <c r="V13" i="46" s="1"/>
  <c r="T6" i="46"/>
  <c r="V6" i="46" s="1"/>
  <c r="T14" i="46"/>
  <c r="V14" i="46" s="1"/>
  <c r="T11" i="46"/>
  <c r="V11" i="46" s="1"/>
  <c r="C37" i="46"/>
  <c r="T4" i="46"/>
  <c r="V4" i="46" s="1"/>
  <c r="C29" i="46"/>
  <c r="C38" i="46"/>
  <c r="T12" i="46"/>
  <c r="V12" i="46" s="1"/>
  <c r="T9" i="46"/>
  <c r="V9" i="46" s="1"/>
  <c r="C39" i="46"/>
  <c r="E39" i="46" s="1"/>
  <c r="T10" i="46"/>
  <c r="V10" i="46" s="1"/>
  <c r="T5" i="46"/>
  <c r="V5" i="46" s="1"/>
  <c r="T15" i="46"/>
  <c r="V15" i="46" s="1"/>
  <c r="D13" i="11"/>
  <c r="C13" i="11" s="1"/>
  <c r="D22" i="12"/>
  <c r="C22" i="12" s="1"/>
  <c r="C20" i="12" s="1"/>
  <c r="C7" i="66"/>
  <c r="C8" i="66"/>
  <c r="D19" i="12"/>
  <c r="C19" i="12" s="1"/>
  <c r="C16" i="12"/>
  <c r="E41" i="36"/>
  <c r="F41" i="36" s="1"/>
  <c r="E40" i="36"/>
  <c r="F40" i="36" s="1"/>
  <c r="I41" i="36"/>
  <c r="J41" i="36" s="1"/>
  <c r="Q59" i="44"/>
  <c r="Q64" i="44" s="1"/>
  <c r="Q68" i="44"/>
  <c r="Q77" i="44" s="1"/>
  <c r="E63" i="40"/>
  <c r="H19" i="6"/>
  <c r="K38" i="9"/>
  <c r="C14" i="66" s="1"/>
  <c r="B2" i="66" s="1"/>
  <c r="D24" i="6"/>
  <c r="D26" i="6"/>
  <c r="D22" i="6"/>
  <c r="D11" i="6"/>
  <c r="D12" i="6"/>
  <c r="H20" i="6"/>
  <c r="H25" i="6"/>
  <c r="D9" i="6"/>
  <c r="D5" i="6"/>
  <c r="D29" i="6"/>
  <c r="H22" i="6"/>
  <c r="D15" i="6"/>
  <c r="H26" i="6"/>
  <c r="F45" i="9"/>
  <c r="F46" i="9"/>
  <c r="E68" i="39"/>
  <c r="C22" i="4"/>
  <c r="D19" i="6"/>
  <c r="D21" i="6"/>
  <c r="D25" i="6"/>
  <c r="D10" i="6"/>
  <c r="D13" i="6"/>
  <c r="H21" i="6"/>
  <c r="H24" i="6"/>
  <c r="D6" i="6"/>
  <c r="D23" i="6"/>
  <c r="D14" i="6"/>
  <c r="D28" i="6"/>
  <c r="D30" i="6" s="1"/>
  <c r="D20" i="6"/>
  <c r="D8" i="6"/>
  <c r="H23" i="6"/>
  <c r="E45" i="9"/>
  <c r="E46" i="9"/>
  <c r="C37" i="36"/>
  <c r="B3" i="36" s="1"/>
  <c r="B2" i="36" s="1"/>
  <c r="C36" i="36"/>
  <c r="B4" i="11"/>
  <c r="I70" i="80" l="1"/>
  <c r="H72" i="80"/>
  <c r="H72" i="39"/>
  <c r="I70" i="39"/>
  <c r="F40" i="39"/>
  <c r="J40" i="39"/>
  <c r="H40" i="39"/>
  <c r="H40" i="80"/>
  <c r="J40" i="80"/>
  <c r="F40" i="80"/>
  <c r="T9" i="1"/>
  <c r="T8" i="1"/>
  <c r="AA33" i="76"/>
  <c r="S33" i="76"/>
  <c r="AC33" i="76"/>
  <c r="W33" i="76"/>
  <c r="W33" i="21"/>
  <c r="AC33" i="21"/>
  <c r="AB33" i="76"/>
  <c r="U33" i="76"/>
  <c r="S33" i="21"/>
  <c r="AA33" i="21"/>
  <c r="U33" i="21"/>
  <c r="AB33" i="21"/>
  <c r="H27" i="6"/>
  <c r="T12" i="1"/>
  <c r="T11" i="1"/>
  <c r="T6" i="1"/>
  <c r="T13" i="1"/>
  <c r="T10" i="1"/>
  <c r="D16" i="6"/>
  <c r="R23" i="6"/>
  <c r="R10" i="1" s="1"/>
  <c r="R25" i="6"/>
  <c r="C17" i="43"/>
  <c r="C14" i="43"/>
  <c r="C14" i="12"/>
  <c r="C17" i="12"/>
  <c r="R20" i="6"/>
  <c r="R7" i="1" s="1"/>
  <c r="N65" i="40"/>
  <c r="N67" i="40" s="1"/>
  <c r="M67" i="40"/>
  <c r="R24" i="6"/>
  <c r="R21" i="6"/>
  <c r="A6" i="51"/>
  <c r="B7" i="63" s="1"/>
  <c r="A20" i="64"/>
  <c r="A20" i="51"/>
  <c r="B15" i="63" s="1"/>
  <c r="N5" i="54"/>
  <c r="B43" i="63" s="1"/>
  <c r="A6" i="64"/>
  <c r="R26" i="6"/>
  <c r="D7" i="66"/>
  <c r="D8" i="66"/>
  <c r="G38" i="46"/>
  <c r="I38" i="46" s="1"/>
  <c r="E38" i="46"/>
  <c r="E36" i="46"/>
  <c r="G36" i="46"/>
  <c r="I36" i="46" s="1"/>
  <c r="E35" i="46"/>
  <c r="G35" i="46"/>
  <c r="I35" i="46" s="1"/>
  <c r="R19" i="6"/>
  <c r="D27" i="6"/>
  <c r="D31" i="6" s="1"/>
  <c r="R22" i="6"/>
  <c r="R9" i="1" s="1"/>
  <c r="E29" i="46"/>
  <c r="C30" i="46"/>
  <c r="E30" i="46" s="1"/>
  <c r="G37" i="46"/>
  <c r="I37" i="46" s="1"/>
  <c r="E37" i="46"/>
  <c r="E34" i="46"/>
  <c r="G34" i="46"/>
  <c r="I34" i="46" s="1"/>
  <c r="G33" i="46"/>
  <c r="I33" i="46" s="1"/>
  <c r="E33" i="46"/>
  <c r="M23" i="44"/>
  <c r="C14" i="78"/>
  <c r="C14" i="82"/>
  <c r="M21" i="82"/>
  <c r="F37" i="44"/>
  <c r="C16" i="44"/>
  <c r="F7" i="67"/>
  <c r="F35" i="15"/>
  <c r="F35" i="82"/>
  <c r="M21" i="15"/>
  <c r="C14" i="79"/>
  <c r="C14" i="15"/>
  <c r="I72" i="80" l="1"/>
  <c r="J70" i="80"/>
  <c r="J70" i="39"/>
  <c r="I72" i="39"/>
  <c r="R8" i="1"/>
  <c r="AA40" i="80"/>
  <c r="S40" i="80"/>
  <c r="AB40" i="80"/>
  <c r="U40" i="80"/>
  <c r="AC40" i="39"/>
  <c r="W40" i="39"/>
  <c r="AC40" i="80"/>
  <c r="W40" i="80"/>
  <c r="AB40" i="39"/>
  <c r="U40" i="39"/>
  <c r="AA40" i="39"/>
  <c r="S40" i="39"/>
  <c r="J20" i="82"/>
  <c r="F62" i="82"/>
  <c r="C61" i="82" s="1"/>
  <c r="C58" i="82" s="1"/>
  <c r="C34" i="82"/>
  <c r="C31" i="82" s="1"/>
  <c r="C18" i="82"/>
  <c r="C15" i="82"/>
  <c r="C15" i="78"/>
  <c r="C18" i="78"/>
  <c r="C18" i="79"/>
  <c r="C15" i="79"/>
  <c r="C17" i="44"/>
  <c r="C20" i="44"/>
  <c r="C15" i="15"/>
  <c r="C18" i="15"/>
  <c r="T16" i="1"/>
  <c r="C34" i="15"/>
  <c r="F62" i="15"/>
  <c r="C61" i="15" s="1"/>
  <c r="C36" i="44"/>
  <c r="J20" i="15"/>
  <c r="J22" i="44"/>
  <c r="R27" i="6"/>
  <c r="R6" i="1"/>
  <c r="C18" i="12"/>
  <c r="C23" i="12" s="1"/>
  <c r="C33" i="15"/>
  <c r="C18" i="43"/>
  <c r="C27" i="46"/>
  <c r="J9" i="40"/>
  <c r="H9" i="40"/>
  <c r="F9" i="40"/>
  <c r="E4" i="67"/>
  <c r="I6" i="6"/>
  <c r="I5" i="6"/>
  <c r="C26" i="46"/>
  <c r="F35" i="79"/>
  <c r="M21" i="79"/>
  <c r="M21" i="78"/>
  <c r="E7" i="67"/>
  <c r="F35" i="78"/>
  <c r="F62" i="79" l="1"/>
  <c r="C61" i="79" s="1"/>
  <c r="C58" i="79" s="1"/>
  <c r="C34" i="79"/>
  <c r="C31" i="79" s="1"/>
  <c r="J20" i="79"/>
  <c r="K70" i="80"/>
  <c r="J72" i="80"/>
  <c r="K70" i="39"/>
  <c r="J72" i="39"/>
  <c r="C19" i="82"/>
  <c r="J20" i="78"/>
  <c r="C34" i="78"/>
  <c r="C31" i="78" s="1"/>
  <c r="F62" i="78"/>
  <c r="C61" i="78" s="1"/>
  <c r="C58" i="78" s="1"/>
  <c r="C20" i="82"/>
  <c r="C26" i="82" s="1"/>
  <c r="R16" i="1"/>
  <c r="C19" i="78"/>
  <c r="C20" i="78" s="1"/>
  <c r="C26" i="78" s="1"/>
  <c r="C19" i="79"/>
  <c r="C20" i="79" s="1"/>
  <c r="C26" i="79" s="1"/>
  <c r="C11" i="21"/>
  <c r="J11" i="21" s="1"/>
  <c r="C11" i="76"/>
  <c r="C21" i="44"/>
  <c r="C22" i="44" s="1"/>
  <c r="C25" i="44" s="1"/>
  <c r="C19" i="15"/>
  <c r="C20" i="15" s="1"/>
  <c r="C26" i="15" s="1"/>
  <c r="C31" i="15"/>
  <c r="C19" i="43"/>
  <c r="C22" i="43" s="1"/>
  <c r="C21" i="43" s="1"/>
  <c r="S9" i="40"/>
  <c r="AA9" i="40"/>
  <c r="R44" i="40" s="1"/>
  <c r="AC9" i="40"/>
  <c r="V44" i="40" s="1"/>
  <c r="I44" i="40" s="1"/>
  <c r="W9" i="40"/>
  <c r="U9" i="40"/>
  <c r="AB9" i="40"/>
  <c r="T44" i="40" s="1"/>
  <c r="G44" i="40" s="1"/>
  <c r="E3" i="67"/>
  <c r="B2" i="46"/>
  <c r="B7" i="67"/>
  <c r="K72" i="80" l="1"/>
  <c r="L70" i="80"/>
  <c r="K72" i="39"/>
  <c r="L70" i="39"/>
  <c r="F11" i="21"/>
  <c r="S11" i="21" s="1"/>
  <c r="C23" i="82"/>
  <c r="C29" i="82" s="1"/>
  <c r="C13" i="82" s="1"/>
  <c r="H11" i="21"/>
  <c r="U11" i="21" s="1"/>
  <c r="C23" i="78"/>
  <c r="C29" i="78" s="1"/>
  <c r="J19" i="78" s="1"/>
  <c r="J17" i="78" s="1"/>
  <c r="C23" i="79"/>
  <c r="C29" i="79" s="1"/>
  <c r="H11" i="76"/>
  <c r="J11" i="76"/>
  <c r="F11" i="76"/>
  <c r="C23" i="15"/>
  <c r="C29" i="15" s="1"/>
  <c r="C13" i="15" s="1"/>
  <c r="C28" i="44"/>
  <c r="C31" i="44" s="1"/>
  <c r="W11" i="21"/>
  <c r="AC11" i="21"/>
  <c r="V48" i="21" s="1"/>
  <c r="I48" i="21" s="1"/>
  <c r="L57" i="15"/>
  <c r="L60" i="15" s="1"/>
  <c r="Q67" i="15" s="1"/>
  <c r="C25" i="43"/>
  <c r="C24" i="43" s="1"/>
  <c r="C28" i="43" s="1"/>
  <c r="C30" i="43" s="1"/>
  <c r="C32" i="43" s="1"/>
  <c r="B2" i="43" s="1"/>
  <c r="I48" i="40"/>
  <c r="J48" i="40" s="1"/>
  <c r="G49" i="40"/>
  <c r="H49" i="40" s="1"/>
  <c r="G48" i="40"/>
  <c r="H48" i="40" s="1"/>
  <c r="R45" i="40"/>
  <c r="E44" i="40"/>
  <c r="B2" i="67"/>
  <c r="D4" i="46"/>
  <c r="B3" i="46"/>
  <c r="B4" i="46"/>
  <c r="L72" i="80" l="1"/>
  <c r="M70" i="80"/>
  <c r="M70" i="39"/>
  <c r="L72" i="39"/>
  <c r="AA11" i="21"/>
  <c r="R48" i="21" s="1"/>
  <c r="AB11" i="21"/>
  <c r="T48" i="21" s="1"/>
  <c r="G48" i="21" s="1"/>
  <c r="G52" i="21" s="1"/>
  <c r="H52" i="21" s="1"/>
  <c r="Q50" i="82"/>
  <c r="C56" i="82"/>
  <c r="C63" i="82" s="1"/>
  <c r="J14" i="82"/>
  <c r="J22" i="82" s="1"/>
  <c r="C36" i="82"/>
  <c r="J19" i="82"/>
  <c r="J17" i="82" s="1"/>
  <c r="C55" i="82"/>
  <c r="C64" i="82" s="1"/>
  <c r="Q71" i="82"/>
  <c r="C37" i="82"/>
  <c r="J35" i="82"/>
  <c r="C36" i="78"/>
  <c r="J14" i="78"/>
  <c r="J13" i="78" s="1"/>
  <c r="J23" i="78" s="1"/>
  <c r="C56" i="78"/>
  <c r="C63" i="78" s="1"/>
  <c r="Q50" i="78"/>
  <c r="C13" i="78"/>
  <c r="C37" i="78" s="1"/>
  <c r="S11" i="76"/>
  <c r="AA11" i="76"/>
  <c r="R48" i="76" s="1"/>
  <c r="U11" i="76"/>
  <c r="AB11" i="76"/>
  <c r="T48" i="76" s="1"/>
  <c r="G48" i="76" s="1"/>
  <c r="W11" i="76"/>
  <c r="AC11" i="76"/>
  <c r="V48" i="76" s="1"/>
  <c r="I48" i="76" s="1"/>
  <c r="J14" i="79"/>
  <c r="Q50" i="79"/>
  <c r="C13" i="79"/>
  <c r="J19" i="79"/>
  <c r="J17" i="79" s="1"/>
  <c r="C56" i="79"/>
  <c r="C63" i="79" s="1"/>
  <c r="C36" i="79"/>
  <c r="Q58" i="15"/>
  <c r="C36" i="15"/>
  <c r="J19" i="15"/>
  <c r="J17" i="15" s="1"/>
  <c r="J14" i="15"/>
  <c r="Q50" i="15"/>
  <c r="C56" i="15"/>
  <c r="C15" i="44"/>
  <c r="C38" i="44"/>
  <c r="J16" i="44"/>
  <c r="J21" i="44"/>
  <c r="J19" i="44" s="1"/>
  <c r="C35" i="44"/>
  <c r="C33" i="44" s="1"/>
  <c r="Q51" i="44"/>
  <c r="C60" i="15"/>
  <c r="C58" i="15" s="1"/>
  <c r="C63" i="15"/>
  <c r="J35" i="15"/>
  <c r="C37" i="15"/>
  <c r="C55" i="15"/>
  <c r="C64" i="15" s="1"/>
  <c r="Q71" i="15"/>
  <c r="I52" i="21"/>
  <c r="J52" i="21" s="1"/>
  <c r="G53" i="21"/>
  <c r="H53" i="21" s="1"/>
  <c r="E48" i="21"/>
  <c r="B5" i="43"/>
  <c r="B4" i="43"/>
  <c r="B3" i="43"/>
  <c r="E48" i="40"/>
  <c r="F48" i="40" s="1"/>
  <c r="E49" i="40"/>
  <c r="F49" i="40" s="1"/>
  <c r="C45" i="40"/>
  <c r="C44" i="40"/>
  <c r="I49" i="40"/>
  <c r="J49" i="40" s="1"/>
  <c r="B3" i="67"/>
  <c r="B4" i="67"/>
  <c r="M72" i="80" l="1"/>
  <c r="N70" i="80"/>
  <c r="N72" i="80" s="1"/>
  <c r="H9" i="80"/>
  <c r="F9" i="80"/>
  <c r="J9" i="80"/>
  <c r="M72" i="39"/>
  <c r="N70" i="39"/>
  <c r="N72" i="39" s="1"/>
  <c r="F9" i="39" s="1"/>
  <c r="R49" i="21"/>
  <c r="C49" i="21" s="1"/>
  <c r="B3" i="21" s="1"/>
  <c r="C30" i="82"/>
  <c r="C39" i="82" s="1"/>
  <c r="J39" i="82" s="1"/>
  <c r="J40" i="82" s="1"/>
  <c r="C57" i="82"/>
  <c r="C66" i="82" s="1"/>
  <c r="C67" i="82" s="1"/>
  <c r="C70" i="82" s="1"/>
  <c r="J22" i="78"/>
  <c r="J16" i="78" s="1"/>
  <c r="J25" i="78" s="1"/>
  <c r="J13" i="82"/>
  <c r="J23" i="82" s="1"/>
  <c r="J16" i="82" s="1"/>
  <c r="J25" i="82" s="1"/>
  <c r="C30" i="15"/>
  <c r="C39" i="15" s="1"/>
  <c r="J39" i="15" s="1"/>
  <c r="J40" i="15" s="1"/>
  <c r="C30" i="78"/>
  <c r="C39" i="78" s="1"/>
  <c r="C40" i="78" s="1"/>
  <c r="C55" i="78"/>
  <c r="C64" i="78" s="1"/>
  <c r="C57" i="78" s="1"/>
  <c r="C66" i="78" s="1"/>
  <c r="C67" i="78" s="1"/>
  <c r="C70" i="78" s="1"/>
  <c r="Q71" i="78"/>
  <c r="J35" i="78"/>
  <c r="G52" i="76"/>
  <c r="H52" i="76" s="1"/>
  <c r="G53" i="76"/>
  <c r="H53" i="76" s="1"/>
  <c r="R49" i="76"/>
  <c r="E48" i="76"/>
  <c r="C37" i="79"/>
  <c r="C30" i="79" s="1"/>
  <c r="C39" i="79" s="1"/>
  <c r="Q71" i="79"/>
  <c r="J35" i="79"/>
  <c r="C55" i="79"/>
  <c r="C64" i="79" s="1"/>
  <c r="C57" i="79" s="1"/>
  <c r="C66" i="79" s="1"/>
  <c r="C67" i="79" s="1"/>
  <c r="J13" i="79"/>
  <c r="J23" i="79" s="1"/>
  <c r="J22" i="79"/>
  <c r="I52" i="76"/>
  <c r="J52" i="76" s="1"/>
  <c r="J22" i="15"/>
  <c r="J13" i="15"/>
  <c r="J23" i="15" s="1"/>
  <c r="C57" i="15"/>
  <c r="C66" i="15" s="1"/>
  <c r="C67" i="15" s="1"/>
  <c r="J15" i="44"/>
  <c r="J25" i="44" s="1"/>
  <c r="J24" i="44"/>
  <c r="Q72" i="44"/>
  <c r="C39" i="44"/>
  <c r="C32" i="44" s="1"/>
  <c r="C42" i="44" s="1"/>
  <c r="C43" i="44"/>
  <c r="E52" i="21"/>
  <c r="F52" i="21" s="1"/>
  <c r="E53" i="21"/>
  <c r="F53" i="21" s="1"/>
  <c r="I53" i="21"/>
  <c r="J53" i="21" s="1"/>
  <c r="B54" i="40"/>
  <c r="F54" i="40" s="1"/>
  <c r="B62" i="40"/>
  <c r="F62" i="40" s="1"/>
  <c r="B55" i="40"/>
  <c r="F55" i="40" s="1"/>
  <c r="B60" i="40"/>
  <c r="F60" i="40" s="1"/>
  <c r="B56" i="40"/>
  <c r="F56" i="40" s="1"/>
  <c r="B61" i="40"/>
  <c r="F61" i="40" s="1"/>
  <c r="B53" i="40"/>
  <c r="F53" i="40" s="1"/>
  <c r="F63" i="40"/>
  <c r="B2" i="40" s="1"/>
  <c r="B57" i="40"/>
  <c r="F57" i="40" s="1"/>
  <c r="B59" i="40"/>
  <c r="F59" i="40" s="1"/>
  <c r="B58" i="40"/>
  <c r="F58" i="40" s="1"/>
  <c r="L51" i="78"/>
  <c r="L51" i="79"/>
  <c r="L51" i="82"/>
  <c r="Q70" i="82" l="1"/>
  <c r="Q69" i="82" s="1"/>
  <c r="S9" i="80"/>
  <c r="AA9" i="80"/>
  <c r="R49" i="80" s="1"/>
  <c r="W9" i="80"/>
  <c r="AC9" i="80"/>
  <c r="V49" i="80" s="1"/>
  <c r="I49" i="80" s="1"/>
  <c r="I53" i="80" s="1"/>
  <c r="J53" i="80" s="1"/>
  <c r="AB9" i="80"/>
  <c r="T49" i="80" s="1"/>
  <c r="G49" i="80" s="1"/>
  <c r="U9" i="80"/>
  <c r="J9" i="39"/>
  <c r="W9" i="39" s="1"/>
  <c r="AC9" i="39"/>
  <c r="V49" i="39" s="1"/>
  <c r="I49" i="39" s="1"/>
  <c r="H9" i="39"/>
  <c r="AA9" i="39"/>
  <c r="R49" i="39" s="1"/>
  <c r="S9" i="39"/>
  <c r="C48" i="21"/>
  <c r="L57" i="82"/>
  <c r="L60" i="82" s="1"/>
  <c r="Q68" i="82"/>
  <c r="C40" i="82"/>
  <c r="C46" i="82" s="1"/>
  <c r="Q70" i="78"/>
  <c r="Q69" i="78" s="1"/>
  <c r="B2" i="21"/>
  <c r="C40" i="15"/>
  <c r="B2" i="15" s="1"/>
  <c r="D10" i="12" s="1"/>
  <c r="Q70" i="15"/>
  <c r="Q69" i="15" s="1"/>
  <c r="Q68" i="78"/>
  <c r="J39" i="78"/>
  <c r="J40" i="78" s="1"/>
  <c r="J39" i="79"/>
  <c r="J40" i="79" s="1"/>
  <c r="C46" i="78"/>
  <c r="Q68" i="79"/>
  <c r="C70" i="79"/>
  <c r="E52" i="76"/>
  <c r="F52" i="76" s="1"/>
  <c r="E53" i="76"/>
  <c r="F53" i="76" s="1"/>
  <c r="I53" i="76"/>
  <c r="J53" i="76" s="1"/>
  <c r="J16" i="79"/>
  <c r="J25" i="79" s="1"/>
  <c r="Q70" i="79"/>
  <c r="Q69" i="79" s="1"/>
  <c r="C40" i="79"/>
  <c r="C48" i="76"/>
  <c r="C49" i="76"/>
  <c r="B3" i="76" s="1"/>
  <c r="F8" i="12" s="1"/>
  <c r="Q66" i="78"/>
  <c r="Q76" i="78" s="1"/>
  <c r="Q48" i="78"/>
  <c r="Q54" i="78" s="1"/>
  <c r="B2" i="78"/>
  <c r="C10" i="12" s="1"/>
  <c r="Q57" i="78"/>
  <c r="Q63" i="78" s="1"/>
  <c r="C43" i="78"/>
  <c r="J42" i="78"/>
  <c r="J43" i="78" s="1"/>
  <c r="J16" i="15"/>
  <c r="J25" i="15" s="1"/>
  <c r="C44" i="44"/>
  <c r="C45" i="44" s="1"/>
  <c r="B2" i="44" s="1"/>
  <c r="Q71" i="44"/>
  <c r="Q70" i="44" s="1"/>
  <c r="J18" i="44"/>
  <c r="J27" i="44" s="1"/>
  <c r="C70" i="15"/>
  <c r="B4" i="40"/>
  <c r="B5" i="40"/>
  <c r="B3" i="40"/>
  <c r="L51" i="15"/>
  <c r="B2" i="76" l="1"/>
  <c r="F10" i="12" s="1"/>
  <c r="R50" i="80"/>
  <c r="E49" i="80"/>
  <c r="G54" i="80"/>
  <c r="H54" i="80" s="1"/>
  <c r="G53" i="80"/>
  <c r="H53" i="80" s="1"/>
  <c r="E49" i="39"/>
  <c r="I53" i="39"/>
  <c r="J53" i="39" s="1"/>
  <c r="I54" i="39"/>
  <c r="J54" i="39" s="1"/>
  <c r="U9" i="39"/>
  <c r="AB9" i="39"/>
  <c r="T49" i="39" s="1"/>
  <c r="G49" i="39" s="1"/>
  <c r="B2" i="82"/>
  <c r="Q58" i="82"/>
  <c r="Q67" i="82"/>
  <c r="J42" i="82"/>
  <c r="J43" i="82" s="1"/>
  <c r="Q66" i="82"/>
  <c r="Q76" i="82" s="1"/>
  <c r="Q68" i="15"/>
  <c r="C43" i="82"/>
  <c r="Q57" i="82"/>
  <c r="Q63" i="82" s="1"/>
  <c r="Q48" i="82"/>
  <c r="Q54" i="82" s="1"/>
  <c r="B3" i="15"/>
  <c r="D8" i="12" s="1"/>
  <c r="B3" i="78"/>
  <c r="C8" i="12" s="1"/>
  <c r="C43" i="15"/>
  <c r="Q48" i="15"/>
  <c r="Q54" i="15" s="1"/>
  <c r="J42" i="15"/>
  <c r="J43" i="15" s="1"/>
  <c r="C46" i="15"/>
  <c r="Q66" i="15"/>
  <c r="Q76" i="15" s="1"/>
  <c r="Q57" i="15"/>
  <c r="Q63" i="15" s="1"/>
  <c r="Q66" i="79"/>
  <c r="Q76" i="79" s="1"/>
  <c r="Q48" i="79"/>
  <c r="Q54" i="79" s="1"/>
  <c r="B2" i="79"/>
  <c r="Q57" i="79"/>
  <c r="Q63" i="79" s="1"/>
  <c r="C43" i="79"/>
  <c r="J42" i="79"/>
  <c r="J43" i="79" s="1"/>
  <c r="C46" i="79"/>
  <c r="B4" i="44"/>
  <c r="B3" i="44"/>
  <c r="B5" i="44"/>
  <c r="B3" i="82" l="1"/>
  <c r="G8" i="12" s="1"/>
  <c r="G10" i="12"/>
  <c r="B3" i="79"/>
  <c r="E8" i="12" s="1"/>
  <c r="E10" i="12"/>
  <c r="C6" i="12" s="1"/>
  <c r="C29" i="12" s="1"/>
  <c r="C49" i="80"/>
  <c r="C50" i="80"/>
  <c r="I54" i="80"/>
  <c r="J54" i="80" s="1"/>
  <c r="E53" i="80"/>
  <c r="F53" i="80" s="1"/>
  <c r="E54" i="80"/>
  <c r="F54" i="80" s="1"/>
  <c r="G54" i="39"/>
  <c r="H54" i="39" s="1"/>
  <c r="G53" i="39"/>
  <c r="H53" i="39" s="1"/>
  <c r="R50" i="39"/>
  <c r="E53" i="39"/>
  <c r="F53" i="39" s="1"/>
  <c r="E54" i="39"/>
  <c r="F54" i="39" s="1"/>
  <c r="B4" i="80"/>
  <c r="F68" i="80" l="1"/>
  <c r="B2" i="80" s="1"/>
  <c r="B62" i="80"/>
  <c r="F62" i="80" s="1"/>
  <c r="B58" i="80"/>
  <c r="F58" i="80" s="1"/>
  <c r="B64" i="80"/>
  <c r="F64" i="80" s="1"/>
  <c r="B65" i="80"/>
  <c r="F65" i="80" s="1"/>
  <c r="B61" i="80"/>
  <c r="F61" i="80" s="1"/>
  <c r="B60" i="80"/>
  <c r="F60" i="80" s="1"/>
  <c r="B66" i="80"/>
  <c r="F66" i="80" s="1"/>
  <c r="B67" i="80"/>
  <c r="F67" i="80" s="1"/>
  <c r="B63" i="80"/>
  <c r="F63" i="80" s="1"/>
  <c r="B59" i="80"/>
  <c r="F59" i="80" s="1"/>
  <c r="C50" i="39"/>
  <c r="C49" i="39"/>
  <c r="C24" i="12"/>
  <c r="C28" i="12" s="1"/>
  <c r="C26" i="12" s="1"/>
  <c r="C31" i="12" s="1"/>
  <c r="C30" i="12" s="1"/>
  <c r="B5" i="80" l="1"/>
  <c r="B3" i="80"/>
  <c r="B65" i="39"/>
  <c r="F65" i="39" s="1"/>
  <c r="B64" i="39"/>
  <c r="F64" i="39" s="1"/>
  <c r="B60" i="39"/>
  <c r="F60" i="39" s="1"/>
  <c r="B58" i="39"/>
  <c r="F58" i="39" s="1"/>
  <c r="B61" i="39"/>
  <c r="F61" i="39" s="1"/>
  <c r="F68" i="39"/>
  <c r="B2" i="39" s="1"/>
  <c r="B62" i="39"/>
  <c r="F62" i="39" s="1"/>
  <c r="B59" i="39"/>
  <c r="F59" i="39" s="1"/>
  <c r="B66" i="39"/>
  <c r="F66" i="39" s="1"/>
  <c r="B67" i="39"/>
  <c r="F67" i="39" s="1"/>
  <c r="B63" i="39"/>
  <c r="F63" i="39" s="1"/>
  <c r="B4" i="39"/>
  <c r="C35" i="12"/>
  <c r="C33" i="12" s="1"/>
  <c r="C36" i="12" s="1"/>
  <c r="B2" i="12" s="1"/>
  <c r="B4" i="12" s="1"/>
  <c r="C19" i="9"/>
  <c r="C21" i="9"/>
  <c r="D21" i="9"/>
  <c r="D19" i="9"/>
  <c r="L43" i="9" l="1"/>
  <c r="B5" i="39"/>
  <c r="B3" i="39"/>
  <c r="B3" i="12"/>
  <c r="G19" i="9"/>
  <c r="C32" i="9" s="1"/>
  <c r="M5" i="9"/>
  <c r="D22" i="9"/>
  <c r="L44" i="9"/>
  <c r="B5" i="12"/>
  <c r="M7" i="9"/>
  <c r="G21" i="9"/>
  <c r="D20" i="9"/>
  <c r="C20" i="9"/>
  <c r="L8" i="9" l="1"/>
  <c r="L6" i="9"/>
  <c r="L7" i="9"/>
  <c r="M12" i="9"/>
  <c r="M15" i="9" s="1"/>
  <c r="M8" i="9"/>
  <c r="G22" i="9"/>
  <c r="M9" i="9"/>
  <c r="G20" i="9"/>
  <c r="M6" i="9"/>
  <c r="N43" i="9"/>
  <c r="C42" i="9"/>
  <c r="C34" i="9"/>
  <c r="O43" i="9"/>
  <c r="C33" i="9"/>
  <c r="O38" i="9"/>
  <c r="C35" i="9"/>
  <c r="F42" i="9" s="1"/>
  <c r="M14" i="9" l="1"/>
  <c r="M13" i="9"/>
  <c r="K25" i="9"/>
  <c r="K26" i="9"/>
  <c r="C44" i="9"/>
  <c r="R5" i="54"/>
  <c r="N68" i="9"/>
  <c r="D63" i="9"/>
  <c r="D14" i="66"/>
  <c r="N38" i="9"/>
  <c r="K28" i="9" s="1"/>
  <c r="D42" i="9"/>
  <c r="Q5" i="54" s="1"/>
  <c r="E42" i="9"/>
  <c r="P5" i="54" s="1"/>
  <c r="M38" i="9"/>
  <c r="K27" i="9" s="1"/>
  <c r="B46" i="63" l="1"/>
  <c r="B48" i="63"/>
  <c r="B47" i="63"/>
  <c r="B5" i="66"/>
  <c r="F14" i="66"/>
  <c r="E14" i="66"/>
  <c r="C82" i="9"/>
  <c r="C81" i="9" s="1"/>
  <c r="C85" i="9" s="1"/>
  <c r="C86" i="9" s="1"/>
  <c r="D72" i="9" s="1"/>
  <c r="D77" i="9"/>
  <c r="N75" i="9" s="1"/>
  <c r="D71" i="9"/>
  <c r="D66" i="9" s="1"/>
  <c r="N72" i="9" s="1"/>
  <c r="C111" i="9"/>
  <c r="C104" i="9" s="1"/>
  <c r="C90" i="9"/>
  <c r="C103" i="9"/>
  <c r="C96" i="9"/>
  <c r="C91" i="9" s="1"/>
  <c r="D70" i="9"/>
  <c r="G14" i="66"/>
  <c r="B6" i="66" s="1"/>
  <c r="O39" i="9"/>
  <c r="E44" i="9"/>
  <c r="N69" i="9"/>
  <c r="D44" i="9"/>
  <c r="F44" i="9"/>
  <c r="C113" i="9" l="1"/>
  <c r="C114" i="9" s="1"/>
  <c r="E114" i="9" s="1"/>
  <c r="E115" i="9" s="1"/>
  <c r="M84" i="9"/>
  <c r="N84" i="9" s="1"/>
  <c r="M83" i="9"/>
  <c r="N83" i="9" s="1"/>
  <c r="M88" i="9"/>
  <c r="N88" i="9" s="1"/>
  <c r="M87" i="9"/>
  <c r="N87" i="9" s="1"/>
  <c r="M86" i="9"/>
  <c r="N86" i="9" s="1"/>
  <c r="M85" i="9"/>
  <c r="N85" i="9" s="1"/>
  <c r="R6" i="54"/>
  <c r="K29" i="9"/>
  <c r="K30" i="9" s="1"/>
  <c r="C5" i="66"/>
  <c r="D5" i="66"/>
  <c r="C6" i="66"/>
  <c r="D6" i="66"/>
  <c r="C97" i="9"/>
  <c r="B50" i="63" l="1"/>
  <c r="C115" i="9"/>
  <c r="D76" i="9" s="1"/>
  <c r="D74" i="9" s="1"/>
  <c r="N74" i="9" s="1"/>
  <c r="O77" i="9" s="1"/>
  <c r="O79" i="9" s="1"/>
  <c r="O80" i="9" s="1"/>
  <c r="C98" i="9"/>
  <c r="E98" i="9" s="1"/>
  <c r="E99" i="9" s="1"/>
  <c r="N89" i="9"/>
  <c r="O89" i="9" s="1"/>
  <c r="O78" i="9" l="1"/>
  <c r="O81"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<sst xmlns="http://schemas.openxmlformats.org/spreadsheetml/2006/main" count="12233" uniqueCount="4701">
  <si>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</si>
  <si>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</si>
  <si>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</si>
  <si>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</si>
  <si>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</si>
  <si>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</si>
  <si>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</si>
  <si>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</si>
  <si>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</si>
  <si>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</si>
  <si>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</si>
  <si>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</si>
  <si>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</si>
  <si>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</si>
  <si>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</si>
  <si>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</si>
  <si>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</si>
  <si>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</si>
  <si>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</si>
  <si>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</si>
  <si>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</si>
  <si>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</si>
  <si>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</si>
  <si>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</si>
  <si>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</si>
  <si>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</si>
  <si>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</si>
  <si>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</si>
  <si>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</si>
  <si>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</si>
  <si>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</si>
  <si>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</si>
  <si>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</si>
  <si>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</si>
  <si>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</si>
  <si>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</si>
  <si>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</si>
  <si>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</si>
  <si>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</si>
  <si>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</si>
  <si>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</si>
  <si>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</si>
  <si>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</si>
  <si>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</si>
  <si>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</si>
  <si>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</si>
  <si>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</si>
  <si>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</si>
  <si>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</si>
  <si>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</si>
  <si>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</si>
  <si>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</si>
  <si>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</si>
  <si>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</si>
  <si>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</si>
  <si>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</si>
  <si>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</si>
  <si>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</si>
  <si>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</si>
  <si>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</si>
  <si>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</si>
  <si>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</si>
  <si>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</si>
  <si>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</si>
  <si>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</si>
  <si>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</si>
  <si>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</si>
  <si>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</si>
  <si>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</si>
  <si>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</si>
  <si>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</si>
  <si>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</si>
  <si>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</si>
  <si>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</si>
  <si>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</si>
  <si>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</si>
  <si>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</si>
  <si>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</si>
  <si>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</si>
  <si>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</si>
  <si>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</si>
  <si>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</si>
  <si>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</si>
  <si>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</si>
  <si>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</si>
  <si>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</si>
  <si>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</si>
  <si>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</si>
  <si>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</si>
  <si>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</si>
  <si>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</si>
  <si>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</si>
  <si>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</si>
  <si>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</si>
  <si>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</si>
  <si>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</si>
  <si>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</si>
  <si>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</si>
  <si>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</si>
  <si>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</si>
  <si>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</si>
  <si>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</si>
  <si>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</si>
  <si>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</si>
  <si>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</si>
  <si>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</si>
  <si>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</si>
  <si>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</si>
  <si>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</si>
  <si>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</si>
  <si>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</si>
  <si>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</si>
  <si>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</si>
  <si>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</si>
  <si>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</si>
  <si>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</si>
  <si>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</si>
  <si>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</si>
  <si>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</si>
  <si>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</si>
  <si>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</si>
  <si>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</si>
  <si>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</si>
  <si>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</si>
  <si>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</si>
  <si>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</si>
  <si>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</si>
  <si>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</si>
  <si>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</si>
  <si>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</si>
  <si>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</si>
  <si>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</si>
  <si>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</si>
  <si>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</si>
  <si>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</si>
  <si>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</si>
  <si>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</si>
  <si>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</si>
  <si>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</si>
  <si>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</si>
  <si>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</si>
  <si>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</si>
  <si>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</si>
  <si>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</si>
  <si>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</si>
  <si>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</si>
  <si>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</si>
  <si>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</si>
  <si>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</si>
  <si>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</si>
  <si>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</si>
  <si>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</si>
  <si>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</si>
  <si>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</si>
  <si>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</si>
  <si>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</si>
  <si>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</si>
  <si>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</si>
  <si>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</si>
  <si>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</si>
  <si>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</si>
  <si>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</si>
  <si>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</si>
  <si>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</si>
  <si>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</si>
  <si>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</si>
  <si>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</si>
  <si>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</si>
  <si>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</si>
  <si>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</si>
  <si>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</si>
  <si>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</si>
  <si>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</si>
  <si>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</si>
  <si>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</si>
  <si>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</si>
  <si>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</si>
  <si>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</si>
  <si>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</si>
  <si>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</si>
  <si>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</si>
  <si>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</si>
  <si>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</si>
  <si>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</si>
  <si>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</si>
  <si>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</si>
  <si>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</si>
  <si>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</si>
  <si>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</si>
  <si>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</si>
  <si>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</si>
  <si>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</si>
  <si>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</si>
  <si>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</si>
  <si>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</si>
  <si>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</si>
  <si>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</si>
  <si>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</si>
  <si>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</si>
  <si>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</si>
  <si>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</si>
  <si>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</si>
  <si>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</si>
  <si>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</si>
  <si>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</si>
  <si>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</si>
  <si>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</si>
  <si>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</si>
  <si>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</si>
  <si>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</si>
  <si>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</si>
  <si>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</si>
  <si>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</si>
  <si>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</si>
  <si>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</si>
  <si>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</si>
  <si>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</si>
  <si>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</si>
  <si>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</si>
  <si>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</si>
  <si>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</si>
  <si>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</si>
  <si>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</si>
  <si>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</si>
  <si>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</si>
  <si>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</si>
  <si>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</si>
  <si>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</si>
  <si>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</si>
  <si>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</si>
  <si>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</si>
  <si>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</si>
  <si>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</si>
  <si>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</si>
  <si>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</si>
  <si>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</si>
  <si>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</si>
  <si>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</si>
  <si>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</si>
  <si>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</si>
  <si>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</si>
  <si>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</si>
  <si>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</si>
  <si>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</si>
  <si>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</si>
  <si>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</si>
  <si>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</si>
  <si>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</si>
  <si>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</si>
  <si>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</si>
  <si>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</si>
  <si>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</si>
  <si>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</si>
  <si>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</si>
  <si>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</si>
  <si>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</si>
  <si>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</si>
  <si>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</si>
  <si>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</si>
  <si>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</si>
  <si>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</si>
  <si>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</si>
  <si>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</si>
  <si>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</si>
  <si>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</si>
  <si>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</si>
  <si>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</si>
  <si>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</si>
  <si>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</si>
  <si>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</si>
  <si>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</si>
  <si>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</si>
  <si>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</si>
  <si>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</si>
  <si>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</si>
  <si>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</si>
  <si>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</si>
  <si>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</si>
  <si>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</si>
  <si>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</si>
  <si>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</si>
  <si>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</si>
  <si>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</si>
  <si>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</si>
  <si>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</si>
  <si>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</si>
  <si>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</si>
  <si>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</si>
  <si>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</si>
  <si>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</si>
  <si>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</si>
  <si>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</si>
  <si>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</si>
  <si>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</si>
  <si>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</si>
  <si>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</si>
  <si>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</si>
  <si>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</si>
  <si>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</si>
  <si>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</si>
  <si>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</si>
  <si>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</si>
  <si>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</si>
  <si>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</si>
  <si>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</si>
  <si>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</si>
  <si>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</si>
  <si>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</si>
  <si>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</si>
  <si>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</si>
  <si>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</si>
  <si>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</si>
  <si>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</si>
  <si>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</si>
  <si>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</si>
  <si>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</si>
  <si>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</si>
  <si>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</si>
  <si>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</si>
  <si>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</si>
  <si>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</si>
  <si>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</si>
  <si>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</si>
  <si>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</si>
  <si>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</si>
  <si>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</si>
  <si>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</si>
  <si>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</si>
  <si>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</si>
  <si>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</si>
  <si>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</si>
  <si>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</si>
  <si>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</si>
  <si>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</si>
  <si>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</si>
  <si>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</si>
  <si>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</si>
  <si>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</si>
  <si>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</si>
  <si>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</si>
  <si>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</si>
  <si>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</si>
  <si>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</si>
  <si>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</si>
  <si>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</si>
  <si>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</si>
  <si>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</si>
  <si>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</si>
  <si>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</si>
  <si>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</si>
  <si>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</si>
  <si>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</si>
  <si>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</si>
  <si>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</si>
  <si>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</si>
  <si>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</si>
  <si>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</si>
  <si>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</si>
  <si>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</si>
  <si>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</si>
  <si>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</si>
  <si>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</si>
  <si>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</si>
  <si>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</si>
  <si>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</si>
  <si>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</si>
  <si>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</si>
  <si>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</si>
  <si>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</si>
  <si>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</si>
  <si>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</si>
  <si>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</si>
  <si>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</si>
  <si>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</si>
  <si>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</si>
  <si>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</si>
  <si>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</si>
  <si>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</si>
  <si>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</si>
  <si>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</si>
  <si>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</si>
  <si>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</si>
  <si>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</si>
  <si>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</si>
  <si>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</si>
  <si>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</si>
  <si>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</si>
  <si>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</si>
  <si>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</si>
  <si>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</si>
  <si>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</si>
  <si>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</si>
  <si>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</si>
  <si>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</si>
  <si>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</si>
  <si>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</si>
  <si>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</si>
  <si>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</si>
  <si>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</si>
  <si>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</si>
  <si>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</si>
  <si>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</si>
  <si>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</si>
  <si>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</si>
  <si>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</si>
  <si>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</si>
  <si>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</si>
  <si>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</si>
  <si>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</si>
  <si>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</si>
  <si>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</si>
  <si>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</si>
  <si>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</si>
  <si>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</si>
  <si>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</si>
  <si>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</si>
  <si>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</si>
  <si>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</si>
  <si>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</si>
  <si>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</si>
  <si>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</si>
  <si>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</si>
  <si>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</si>
  <si>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</si>
  <si>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</si>
  <si>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</si>
  <si>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</si>
  <si>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</si>
  <si>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</si>
  <si>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</si>
  <si>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</si>
  <si>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</si>
  <si>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</si>
  <si>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</si>
  <si>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</si>
  <si>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</si>
  <si>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</si>
  <si>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</si>
  <si>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</si>
  <si>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</si>
  <si>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</si>
  <si>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</si>
  <si>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</si>
  <si>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</si>
  <si>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</si>
  <si>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</si>
  <si>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</si>
  <si>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</si>
  <si>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</si>
  <si>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</si>
  <si>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</si>
  <si>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</si>
  <si>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</si>
  <si>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</si>
  <si>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</si>
  <si>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</si>
  <si>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</si>
  <si>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</si>
  <si>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</si>
  <si>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</si>
  <si>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</si>
  <si>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</si>
  <si>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</si>
  <si>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</si>
  <si>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</si>
  <si>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</si>
  <si>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</si>
  <si>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</si>
  <si>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</si>
  <si>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</si>
  <si>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</si>
  <si>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</si>
  <si>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</si>
  <si>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</si>
  <si>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</si>
  <si>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</si>
  <si>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</si>
  <si>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</si>
  <si>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</si>
  <si>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</si>
  <si>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</si>
  <si>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</si>
  <si>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</si>
  <si>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</si>
  <si>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</si>
  <si>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</si>
  <si>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</si>
  <si>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</si>
  <si>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</si>
  <si>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</si>
  <si>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</si>
  <si>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</si>
  <si>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</si>
  <si>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</si>
  <si>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</si>
  <si>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</si>
  <si>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</si>
  <si>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</si>
  <si>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</si>
  <si>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</si>
  <si>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</si>
  <si>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</si>
  <si>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</si>
  <si>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</si>
  <si>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</si>
  <si>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</si>
  <si>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</si>
  <si>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</si>
  <si>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</si>
  <si>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</si>
  <si>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</si>
  <si>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</si>
  <si>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</si>
  <si>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</si>
  <si>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</si>
  <si>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</si>
  <si>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</si>
  <si>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</si>
  <si>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</si>
  <si>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</si>
  <si>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</si>
  <si>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</si>
  <si>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</si>
  <si>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</si>
  <si>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</si>
  <si>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</si>
  <si>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</si>
  <si>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</si>
  <si>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</si>
  <si>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</si>
  <si>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</si>
  <si>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</si>
  <si>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</si>
  <si>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</si>
  <si>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</si>
  <si>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</si>
  <si>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</si>
  <si>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</si>
  <si>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</si>
  <si>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</si>
  <si>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</si>
  <si>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</si>
  <si>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</si>
  <si>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</si>
  <si>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</si>
  <si>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</si>
  <si>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</si>
  <si>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</si>
  <si>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</si>
  <si>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</si>
  <si>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</si>
  <si>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</si>
  <si>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</si>
  <si>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</si>
  <si>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</si>
  <si>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</si>
  <si>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</si>
  <si>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</si>
  <si>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</si>
  <si>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</si>
  <si>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</si>
  <si>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</si>
  <si>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</si>
  <si>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</si>
  <si>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</si>
  <si>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</si>
  <si>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</si>
  <si>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</si>
  <si>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</si>
  <si>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</si>
  <si>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</si>
  <si>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</si>
  <si>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</si>
  <si>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</si>
  <si>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</si>
  <si>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</si>
  <si>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</si>
  <si>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</si>
  <si>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</si>
  <si>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</si>
  <si>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</si>
  <si>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</si>
  <si>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</si>
  <si>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</si>
  <si>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</si>
  <si>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</si>
  <si>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</si>
  <si>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</si>
  <si>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</si>
  <si>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</si>
  <si>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</si>
  <si>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</si>
  <si>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</si>
  <si>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</si>
  <si>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</si>
  <si>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</si>
  <si>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</si>
  <si>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</si>
  <si>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</si>
  <si>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</si>
  <si>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</si>
  <si>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</si>
  <si>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</si>
  <si>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</si>
  <si>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</si>
  <si>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</si>
  <si>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</si>
  <si>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</si>
  <si>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</si>
  <si>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</si>
  <si>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</si>
  <si>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</si>
  <si>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</si>
  <si>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</si>
  <si>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</si>
  <si>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</si>
  <si>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</si>
  <si>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</si>
  <si>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</si>
  <si>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</si>
  <si>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</si>
  <si>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</si>
  <si>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</si>
  <si>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</si>
  <si>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</si>
  <si>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</si>
  <si>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</si>
  <si>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</si>
  <si>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</si>
  <si>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</si>
  <si>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</si>
  <si>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</si>
  <si>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</si>
  <si>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</si>
  <si>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</si>
  <si>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</si>
  <si>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</si>
  <si>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</si>
  <si>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</si>
  <si>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</si>
  <si>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</si>
  <si>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</si>
  <si>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</si>
  <si>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</si>
  <si>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</si>
  <si>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</si>
  <si>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</si>
  <si>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</si>
  <si>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</si>
  <si>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</si>
  <si>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</si>
  <si>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</si>
  <si>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</si>
  <si>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</si>
  <si>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</si>
  <si>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</si>
  <si>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</si>
  <si>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</si>
  <si>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</si>
  <si>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</si>
  <si>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</si>
  <si>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</si>
  <si>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</si>
  <si>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</si>
  <si>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</si>
  <si>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</si>
  <si>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</si>
  <si>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</si>
  <si>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</si>
  <si>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</si>
  <si>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</si>
  <si>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</si>
  <si>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</si>
  <si>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</si>
  <si>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</si>
  <si>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</si>
  <si>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</si>
  <si>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</si>
  <si>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</si>
  <si>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</si>
  <si>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</si>
  <si>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</si>
  <si>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</si>
  <si>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</si>
  <si>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</si>
  <si>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</si>
  <si>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</si>
  <si>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</si>
  <si>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</si>
  <si>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</si>
  <si>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</si>
  <si>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</si>
  <si>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</si>
  <si>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</si>
  <si>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</si>
  <si>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</si>
  <si>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</si>
  <si>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</si>
  <si>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</si>
  <si>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</si>
  <si>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</si>
  <si>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</si>
  <si>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</si>
  <si>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</si>
  <si>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</si>
  <si>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</si>
  <si>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</si>
  <si>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</si>
  <si>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</si>
  <si>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</si>
  <si>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</si>
  <si>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</si>
  <si>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</si>
  <si>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</si>
  <si>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</si>
  <si>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</si>
  <si>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</si>
  <si>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</si>
  <si>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</si>
  <si>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</si>
  <si>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</si>
  <si>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</si>
  <si>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</si>
  <si>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</si>
  <si>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</si>
  <si>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</si>
  <si>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</si>
  <si>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</si>
  <si>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</si>
  <si>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</si>
  <si>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</si>
  <si>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</si>
  <si>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</si>
  <si>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</si>
  <si>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</si>
  <si>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</si>
  <si>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</si>
  <si>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</si>
  <si>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</si>
  <si>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</si>
  <si>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</si>
  <si>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</si>
  <si>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</si>
  <si>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</si>
  <si>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</si>
  <si>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</si>
  <si>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</si>
  <si>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</si>
  <si>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</si>
  <si>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</si>
  <si>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</si>
  <si>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</si>
  <si>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</si>
  <si>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</si>
  <si>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</si>
  <si>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</si>
  <si>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</si>
  <si>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</si>
  <si>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</si>
  <si>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</si>
  <si>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</si>
  <si>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</si>
  <si>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</si>
  <si>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</si>
  <si>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</si>
  <si>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</si>
  <si>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</si>
  <si>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</si>
  <si>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</si>
  <si>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</si>
  <si>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</si>
  <si>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</si>
  <si>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</si>
  <si>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</si>
  <si>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</si>
  <si>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</si>
  <si>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</si>
  <si>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</si>
  <si>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</si>
  <si>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</si>
  <si>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</si>
  <si>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</si>
  <si>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</si>
  <si>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</si>
  <si>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</si>
  <si>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</si>
  <si>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</si>
  <si>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</si>
  <si>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</si>
  <si>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</si>
  <si>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</si>
  <si>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</si>
  <si>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</si>
  <si>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</si>
  <si>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</si>
  <si>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</si>
  <si>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</si>
  <si>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</si>
  <si>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</si>
  <si>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</si>
  <si>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</si>
  <si>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</si>
  <si>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</si>
  <si>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</si>
  <si>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</si>
  <si>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</si>
  <si>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</si>
  <si>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</si>
  <si>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</si>
  <si>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</si>
  <si>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</si>
  <si>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</si>
  <si>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</si>
  <si>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</si>
  <si>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</si>
  <si>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</si>
  <si>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</si>
  <si>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</si>
  <si>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</si>
  <si>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</si>
  <si>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</si>
  <si>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</si>
  <si>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</si>
  <si>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</si>
  <si>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</si>
  <si>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</si>
  <si>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</si>
  <si>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</si>
  <si>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</si>
  <si>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</si>
  <si>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</si>
  <si>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</si>
  <si>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</si>
  <si>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</si>
  <si>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</si>
  <si>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</si>
  <si>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</si>
  <si>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</si>
  <si>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</si>
  <si>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</si>
  <si>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</si>
  <si>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</si>
  <si>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</si>
  <si>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</si>
  <si>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</si>
  <si>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</si>
  <si>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</si>
  <si>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</si>
  <si>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</si>
  <si>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</si>
  <si>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</si>
  <si>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</si>
  <si>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</si>
  <si>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</si>
  <si>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</si>
  <si>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</si>
  <si>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</si>
  <si>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</si>
  <si>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</si>
  <si>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</si>
  <si>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</si>
  <si>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</si>
  <si>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</si>
  <si>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</si>
  <si>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</si>
  <si>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</si>
  <si>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</si>
  <si>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</si>
  <si>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</si>
  <si>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</si>
  <si>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</si>
  <si>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</si>
  <si>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</si>
  <si>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</si>
  <si>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</si>
  <si>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</si>
  <si>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</si>
  <si>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</si>
  <si>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</si>
  <si>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</si>
  <si>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</si>
  <si>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</si>
  <si>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</si>
  <si>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</si>
  <si>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</si>
  <si>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</si>
  <si>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</si>
  <si>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</si>
  <si>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</si>
  <si>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</si>
  <si>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</si>
  <si>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</si>
  <si>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</si>
  <si>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</si>
  <si>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</si>
  <si>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</si>
  <si>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</si>
  <si>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</si>
  <si>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</si>
  <si>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</si>
  <si>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</si>
  <si>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</si>
  <si>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</si>
  <si>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</si>
  <si>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</si>
  <si>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</si>
  <si>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</si>
  <si>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</si>
  <si>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</si>
  <si>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</si>
  <si>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</si>
  <si>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</si>
  <si>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</si>
  <si>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</si>
  <si>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</si>
  <si>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</si>
  <si>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</si>
  <si>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</si>
  <si>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</si>
  <si>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</si>
  <si>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</si>
  <si>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</si>
  <si>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</si>
  <si>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</si>
  <si>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</si>
  <si>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</si>
  <si>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</si>
  <si>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</si>
  <si>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</si>
  <si>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</si>
  <si>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</si>
  <si>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</si>
  <si>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</si>
  <si>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</si>
  <si>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</si>
  <si>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</si>
  <si>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</si>
  <si>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</si>
  <si>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</si>
  <si>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</si>
  <si>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</si>
  <si>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</si>
  <si>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</si>
  <si>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</si>
  <si>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</si>
  <si>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</si>
  <si>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</si>
  <si>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</si>
  <si>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</si>
  <si>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</si>
  <si>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</si>
  <si>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</si>
  <si>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</si>
  <si>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</si>
  <si>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</si>
  <si>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</si>
  <si>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</si>
  <si>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</si>
  <si>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</si>
  <si>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</si>
  <si>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</si>
  <si>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</si>
  <si>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</si>
  <si>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</si>
  <si>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</si>
  <si>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</si>
  <si>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</si>
  <si>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</si>
  <si>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</si>
  <si>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</si>
  <si>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</si>
  <si>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</si>
  <si>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</si>
  <si>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</si>
  <si>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</si>
  <si>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</si>
  <si>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</si>
  <si>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</si>
  <si>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</si>
  <si>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</si>
  <si>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</si>
  <si>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</si>
  <si>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</si>
  <si>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</si>
  <si>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</si>
  <si>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</si>
  <si>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</si>
  <si>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</si>
  <si>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</si>
  <si>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</si>
  <si>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</si>
  <si>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</si>
  <si>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</si>
  <si>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</si>
  <si>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</si>
  <si>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</si>
  <si>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</si>
  <si>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</si>
  <si>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</si>
  <si>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</si>
  <si>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</si>
  <si>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</si>
  <si>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</si>
  <si>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</si>
  <si>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</si>
  <si>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</si>
  <si>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</si>
  <si>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</si>
  <si>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</si>
  <si>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</si>
  <si>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</si>
  <si>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</si>
  <si>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</si>
  <si>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</si>
  <si>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</si>
  <si>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</si>
  <si>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</si>
  <si>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</si>
  <si>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</si>
  <si>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</si>
  <si>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</si>
  <si>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</si>
  <si>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</si>
  <si>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</si>
  <si>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</si>
  <si>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</si>
  <si>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</si>
  <si>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</si>
  <si>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</si>
  <si>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</si>
  <si>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</si>
  <si>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</si>
  <si>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</si>
  <si>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</si>
  <si>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</si>
  <si>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</si>
  <si>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</si>
  <si>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</si>
  <si>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</si>
  <si>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</si>
  <si>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</si>
  <si>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</si>
  <si>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</si>
  <si>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</si>
  <si>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</si>
  <si>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</si>
  <si>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</si>
  <si>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</si>
  <si>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</si>
  <si>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</si>
  <si>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</si>
  <si>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</si>
  <si>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</si>
  <si>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</si>
  <si>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</si>
  <si>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</si>
  <si>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</si>
  <si>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</si>
  <si>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</si>
  <si>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</si>
  <si>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</si>
  <si>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</si>
  <si>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</si>
  <si>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</si>
  <si>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</si>
  <si>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</si>
  <si>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</si>
  <si>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</si>
  <si>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</si>
  <si>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</si>
  <si>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</si>
  <si>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</si>
  <si>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</si>
  <si>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</si>
  <si>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</si>
  <si>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</si>
  <si>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</si>
  <si>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</si>
  <si>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</si>
  <si>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</si>
  <si>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</si>
  <si>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</si>
  <si>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</si>
  <si>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</si>
  <si>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</si>
  <si>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</si>
  <si>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</si>
  <si>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</si>
  <si>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</si>
  <si>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</si>
  <si>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</si>
  <si>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</si>
  <si>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</si>
  <si>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</si>
  <si>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</si>
  <si>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</si>
  <si>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</si>
  <si>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</si>
  <si>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</si>
  <si>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</si>
  <si>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</si>
  <si>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</si>
  <si>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</si>
  <si>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</si>
  <si>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</si>
  <si>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</si>
  <si>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</si>
  <si>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</si>
  <si>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</si>
  <si>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</si>
  <si>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</si>
  <si>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</si>
  <si>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</si>
  <si>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</si>
  <si>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</si>
  <si>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</si>
  <si>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</si>
  <si>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</si>
  <si>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</si>
  <si>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</si>
  <si>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</si>
  <si>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</si>
  <si>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</si>
  <si>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</si>
  <si>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</si>
  <si>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</si>
  <si>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</si>
  <si>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</si>
  <si>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</si>
  <si>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</si>
  <si>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</si>
  <si>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</si>
  <si>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</si>
  <si>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</si>
  <si>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</si>
  <si>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</si>
  <si>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</si>
  <si>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</si>
  <si>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</si>
  <si>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</si>
  <si>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</si>
  <si>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</si>
  <si>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</si>
  <si>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</si>
  <si>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</si>
  <si>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</si>
  <si>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</si>
  <si>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</si>
  <si>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</si>
  <si>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</si>
  <si>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</si>
  <si>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</si>
  <si>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</si>
  <si>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</si>
  <si>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</si>
  <si>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</si>
  <si>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</si>
  <si>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</si>
  <si>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</si>
  <si>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</si>
  <si>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</si>
  <si>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</si>
  <si>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</si>
  <si>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</si>
  <si>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</si>
  <si>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</si>
  <si>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</si>
  <si>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</si>
  <si>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</si>
  <si>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</si>
  <si>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</si>
  <si>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</si>
  <si>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</si>
  <si>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</si>
  <si>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</si>
  <si>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</si>
  <si>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</si>
  <si>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</si>
  <si>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</si>
  <si>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</si>
  <si>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</si>
  <si>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</si>
  <si>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</si>
  <si>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</si>
  <si>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</si>
  <si>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</si>
  <si>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</si>
  <si>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</si>
  <si>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</si>
  <si>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</si>
  <si>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</si>
  <si>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</si>
  <si>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</si>
  <si>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</si>
  <si>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</si>
  <si>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</si>
  <si>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</si>
  <si>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</si>
  <si>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</si>
  <si>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</si>
  <si>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</si>
  <si>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</si>
  <si>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</si>
  <si>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</si>
  <si>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</si>
  <si>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</si>
  <si>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</si>
  <si>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</si>
  <si>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</si>
  <si>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</si>
  <si>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</si>
  <si>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</si>
  <si>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</si>
  <si>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</si>
  <si>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</si>
  <si>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</si>
  <si>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</si>
  <si>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</si>
  <si>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</si>
  <si>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</si>
  <si>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</si>
  <si>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</si>
  <si>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</si>
  <si>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</si>
  <si>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</si>
  <si>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</si>
  <si>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</si>
  <si>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</si>
  <si>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</si>
  <si>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</si>
  <si>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</si>
  <si>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</si>
  <si>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</si>
  <si>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</si>
  <si>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</si>
  <si>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</si>
  <si>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</si>
  <si>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</si>
  <si>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</si>
  <si>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</si>
  <si>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</si>
  <si>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</si>
  <si>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</si>
  <si>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</si>
  <si>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</si>
  <si>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</si>
  <si>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</si>
  <si>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</si>
  <si>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</si>
  <si>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</si>
  <si>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</si>
  <si>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</si>
  <si>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</si>
  <si>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</si>
  <si>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</si>
  <si>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</si>
  <si>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</si>
  <si>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</si>
  <si>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</si>
  <si>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</si>
  <si>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</si>
  <si>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</si>
  <si>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</si>
  <si>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</si>
  <si>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</si>
  <si>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</si>
  <si>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</si>
  <si>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</si>
  <si>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</si>
  <si>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</si>
  <si>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</si>
  <si>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</si>
  <si>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</si>
  <si>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</si>
  <si>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</si>
  <si>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</si>
  <si>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</si>
  <si>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</si>
  <si>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</si>
  <si>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</si>
  <si>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</si>
  <si>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</si>
  <si>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</si>
  <si>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</si>
  <si>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</si>
  <si>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</si>
  <si>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</si>
  <si>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</si>
  <si>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</si>
  <si>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</si>
  <si>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</si>
  <si>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</si>
  <si>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</si>
  <si>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</si>
  <si>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</si>
  <si>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</si>
  <si>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</si>
  <si>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</si>
  <si>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</si>
  <si>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</si>
  <si>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</si>
  <si>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</si>
  <si>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</si>
  <si>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</si>
  <si>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</si>
  <si>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</si>
  <si>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</si>
  <si>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</si>
  <si>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</si>
  <si>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</si>
  <si>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</si>
  <si>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</si>
  <si>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</si>
  <si>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</si>
  <si>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</si>
  <si>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</si>
  <si>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</si>
  <si>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</si>
  <si>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</si>
  <si>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</si>
  <si>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</si>
  <si>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</si>
  <si>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</si>
  <si>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</si>
  <si>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</si>
  <si>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</si>
  <si>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</si>
  <si>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</si>
  <si>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</si>
  <si>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</si>
  <si>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</si>
  <si>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</si>
  <si>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</si>
  <si>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</si>
  <si>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</si>
  <si>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</si>
  <si>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</si>
  <si>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</si>
  <si>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</si>
  <si>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</si>
  <si>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</si>
  <si>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</si>
  <si>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</si>
  <si>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</si>
  <si>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</si>
  <si>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</si>
  <si>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</si>
  <si>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</si>
  <si>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</si>
  <si>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</si>
  <si>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</si>
  <si>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</si>
  <si>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</si>
  <si>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</si>
  <si>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</si>
  <si>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</si>
  <si>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</si>
  <si>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</si>
  <si>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</si>
  <si>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</si>
  <si>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</si>
  <si>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</si>
  <si>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</si>
  <si>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</si>
  <si>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</si>
  <si>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</si>
  <si>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</si>
  <si>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</si>
  <si>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</si>
  <si>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</si>
  <si>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</si>
  <si>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</si>
  <si>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</si>
  <si>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</si>
  <si>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</si>
  <si>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</si>
  <si>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</si>
  <si>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</si>
  <si>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</si>
  <si>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</si>
  <si>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</si>
  <si>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</si>
  <si>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</si>
  <si>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</si>
  <si>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</si>
  <si>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</si>
  <si>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</si>
  <si>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</si>
  <si>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</si>
  <si>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</si>
  <si>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</si>
  <si>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</si>
  <si>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</si>
  <si>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</si>
  <si>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</si>
  <si>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</si>
  <si>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</si>
  <si>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</si>
  <si>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</si>
  <si>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</si>
  <si>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</si>
  <si>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</si>
  <si>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</si>
  <si>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</si>
  <si>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</si>
  <si>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</si>
  <si>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</si>
  <si>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</si>
  <si>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</si>
  <si>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</si>
  <si>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</si>
  <si>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</si>
  <si>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</si>
  <si>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</si>
  <si>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</si>
  <si>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</si>
  <si>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</si>
  <si>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</si>
  <si>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</si>
  <si>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</si>
  <si>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</si>
  <si>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</si>
  <si>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</si>
  <si>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</si>
  <si>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</si>
  <si>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</si>
  <si>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</si>
  <si>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</si>
  <si>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</si>
  <si>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</si>
  <si>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</si>
  <si>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</si>
  <si>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</si>
  <si>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</si>
  <si>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</si>
  <si>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</si>
  <si>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</si>
  <si>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</si>
  <si>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</si>
  <si>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</si>
  <si>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</si>
  <si>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</si>
  <si>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</si>
  <si>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</si>
  <si>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</si>
  <si>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</si>
  <si>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</si>
  <si>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</si>
  <si>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</si>
  <si>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</si>
  <si>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</si>
  <si>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</si>
  <si>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</si>
  <si>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</si>
  <si>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</si>
  <si>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</si>
  <si>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</si>
  <si>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</si>
  <si>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</si>
  <si>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</si>
  <si>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</si>
  <si>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</si>
  <si>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</si>
  <si>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</si>
  <si>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</si>
  <si>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</si>
  <si>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</si>
  <si>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</si>
  <si>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</si>
  <si>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</si>
  <si>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</si>
  <si>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</si>
  <si>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</si>
  <si>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</si>
  <si>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</si>
  <si>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</si>
  <si>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</si>
  <si>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</si>
  <si>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</si>
  <si>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</si>
  <si>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</si>
  <si>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</si>
  <si>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</si>
  <si>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</si>
  <si>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</si>
  <si>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</si>
  <si>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</si>
  <si>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</si>
  <si>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</si>
  <si>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</si>
  <si>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</si>
  <si>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</si>
  <si>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</si>
  <si>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</si>
  <si>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</si>
  <si>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</si>
  <si>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</si>
  <si>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</si>
  <si>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</si>
  <si>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</si>
  <si>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</si>
  <si>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</si>
  <si>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</si>
  <si>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</si>
  <si>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</si>
  <si>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</si>
  <si>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</si>
  <si>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</si>
  <si>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</si>
  <si>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</si>
  <si>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</si>
  <si>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</si>
  <si>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</si>
  <si>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</si>
  <si>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</si>
  <si>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</si>
  <si>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</si>
  <si>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</si>
  <si>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</si>
  <si>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</si>
  <si>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</si>
  <si>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</si>
  <si>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</si>
  <si>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</si>
  <si>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</si>
  <si>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</si>
  <si>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</si>
  <si>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</si>
  <si>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</si>
  <si>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</si>
  <si>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</si>
  <si>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</si>
  <si>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</si>
  <si>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</si>
  <si>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</si>
  <si>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</si>
  <si>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</si>
  <si>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</si>
  <si>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</si>
  <si>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</si>
  <si>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</si>
  <si>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</si>
  <si>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</si>
  <si>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</si>
  <si>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</si>
  <si>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</si>
  <si>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</si>
  <si>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</si>
  <si>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</si>
  <si>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</si>
  <si>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</si>
  <si>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</si>
  <si>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</si>
  <si>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</si>
  <si>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</si>
  <si>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</si>
  <si>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</si>
  <si>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</si>
  <si>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</si>
  <si>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</si>
  <si>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</si>
  <si>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</si>
  <si>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</si>
  <si>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</si>
  <si>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</si>
  <si>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</si>
  <si>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</si>
  <si>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</si>
  <si>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</si>
  <si>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</si>
  <si>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</si>
  <si>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</si>
  <si>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</si>
  <si>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</si>
  <si>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</si>
  <si>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</si>
  <si>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</si>
  <si>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</si>
  <si>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</si>
  <si>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</si>
  <si>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</si>
  <si>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</si>
  <si>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</si>
  <si>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</si>
  <si>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</si>
  <si>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</si>
  <si>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</si>
  <si>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</si>
  <si>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</si>
  <si>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</si>
  <si>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</si>
  <si>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</si>
  <si>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</si>
  <si>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</si>
  <si>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</si>
  <si>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</si>
  <si>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</si>
  <si>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</si>
  <si>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</si>
  <si>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</si>
  <si>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</si>
  <si>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</si>
  <si>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</si>
  <si>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</si>
  <si>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</si>
  <si>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</si>
  <si>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</si>
  <si>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</si>
  <si>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</si>
  <si>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</si>
  <si>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</si>
  <si>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</si>
  <si>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</si>
  <si>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</si>
  <si>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</si>
  <si>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</si>
  <si>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</si>
  <si>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</si>
  <si>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</si>
  <si>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</si>
  <si>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</si>
  <si>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</si>
  <si>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</si>
  <si>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</si>
  <si>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</si>
  <si>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</si>
  <si>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</si>
  <si>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</si>
  <si>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</si>
  <si>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</si>
  <si>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</si>
  <si>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</si>
  <si>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</si>
  <si>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</si>
  <si>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</si>
  <si>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</si>
  <si>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</si>
  <si>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</si>
  <si>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</si>
  <si>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</si>
  <si>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</si>
  <si>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</si>
  <si>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</si>
  <si>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</si>
  <si>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</si>
  <si>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</si>
  <si>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</si>
  <si>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</si>
  <si>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</si>
  <si>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</si>
  <si>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</si>
  <si>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</si>
  <si>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</si>
  <si>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</si>
  <si>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</si>
  <si>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</si>
  <si>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</si>
  <si>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</si>
  <si>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</si>
  <si>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</si>
  <si>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</si>
  <si>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</si>
  <si>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</si>
  <si>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</si>
  <si>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</si>
  <si>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</si>
  <si>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</si>
  <si>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</si>
  <si>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</si>
  <si>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</si>
  <si>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</si>
  <si>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</si>
  <si>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</si>
  <si>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</si>
  <si>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</si>
  <si>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</si>
  <si>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</si>
  <si>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</si>
  <si>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</si>
  <si>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</si>
  <si>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</si>
  <si>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</si>
  <si>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</si>
  <si>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</si>
  <si>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</si>
  <si>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</si>
  <si>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</si>
  <si>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</si>
  <si>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</si>
  <si>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</si>
  <si>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</si>
  <si>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</si>
  <si>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</si>
  <si>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</si>
  <si>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</si>
  <si>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</si>
  <si>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</si>
  <si>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</si>
  <si>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</si>
  <si>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</si>
  <si>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</si>
  <si>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</si>
  <si>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</si>
  <si>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</si>
  <si>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</si>
  <si>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</si>
  <si>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</si>
  <si>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</si>
  <si>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</si>
  <si>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</si>
  <si>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</si>
  <si>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</si>
  <si>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</si>
  <si>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</si>
  <si>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</si>
  <si>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</si>
  <si>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</si>
  <si>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</si>
  <si>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</si>
  <si>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</si>
  <si>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</si>
  <si>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</si>
  <si>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</si>
  <si>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</si>
  <si>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</si>
  <si>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</si>
  <si>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</si>
  <si>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</si>
  <si>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</si>
  <si>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</si>
  <si>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</si>
  <si>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</si>
  <si>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</si>
  <si>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</si>
  <si>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</si>
  <si>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</si>
  <si>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</si>
  <si>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</si>
  <si>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</si>
  <si>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</si>
  <si>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</si>
  <si>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</si>
  <si>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</si>
  <si>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</si>
  <si>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</si>
  <si>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</si>
  <si>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</si>
  <si>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</si>
  <si>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</si>
  <si>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</si>
  <si>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</si>
  <si>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</si>
  <si>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</si>
  <si>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</si>
  <si>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</si>
  <si>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</si>
  <si>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</si>
  <si>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</si>
  <si>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</si>
  <si>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</si>
  <si>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</si>
  <si>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</si>
  <si>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</si>
  <si>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</si>
  <si>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</si>
  <si>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</si>
  <si>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</si>
  <si>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</si>
  <si>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</si>
  <si>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</si>
  <si>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</si>
  <si>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</si>
  <si>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</si>
  <si>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</si>
  <si>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</si>
  <si>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</si>
  <si>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</si>
  <si>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</si>
  <si>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</si>
  <si>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</si>
  <si>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</si>
  <si>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</si>
  <si>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</si>
  <si>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</si>
  <si>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</si>
  <si>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</si>
  <si>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</si>
  <si>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</si>
  <si>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</si>
  <si>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</si>
  <si>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</si>
  <si>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</si>
  <si>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</si>
  <si>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</si>
  <si>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</si>
  <si>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</si>
  <si>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</si>
  <si>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</si>
  <si>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</si>
  <si>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</si>
  <si>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</si>
  <si>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</si>
  <si>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</si>
  <si>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</si>
  <si>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</si>
  <si>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</si>
  <si>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</si>
  <si>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</si>
  <si>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</si>
  <si>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</si>
  <si>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</si>
  <si>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</si>
  <si>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</si>
  <si>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</si>
  <si>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</si>
  <si>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</si>
  <si>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</si>
  <si>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</si>
  <si>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</si>
  <si>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</si>
  <si>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</si>
  <si>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</si>
  <si>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</si>
  <si>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</si>
  <si>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</si>
  <si>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</si>
  <si>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</si>
  <si>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</si>
  <si>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</si>
  <si>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</si>
  <si>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</si>
  <si>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</si>
  <si>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</si>
  <si>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</si>
  <si>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</si>
  <si>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</si>
  <si>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</si>
  <si>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</si>
  <si>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</si>
  <si>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</si>
  <si>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</si>
  <si>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</si>
  <si>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</si>
  <si>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</si>
  <si>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</si>
  <si>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</si>
  <si>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</si>
  <si>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</si>
  <si>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</si>
  <si>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</si>
  <si>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</si>
  <si>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</si>
  <si>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</si>
  <si>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</si>
  <si>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</si>
  <si>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</si>
  <si>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</si>
  <si>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</si>
  <si>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</si>
  <si>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</si>
  <si>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</si>
  <si>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</si>
  <si>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</si>
  <si>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</si>
  <si>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</si>
  <si>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</si>
  <si>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</si>
  <si>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</si>
  <si>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</si>
  <si>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</si>
  <si>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</si>
  <si>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</si>
  <si>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</si>
  <si>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</si>
  <si>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</si>
  <si>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</si>
  <si>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</si>
  <si>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</si>
  <si>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</si>
  <si>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</si>
  <si>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</si>
  <si>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</si>
  <si>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</si>
  <si>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</si>
  <si>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</si>
  <si>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</si>
  <si>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</si>
  <si>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</si>
  <si>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</si>
  <si>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</si>
  <si>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</si>
  <si>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</si>
  <si>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</si>
  <si>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</si>
  <si>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</si>
  <si>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</si>
  <si>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</si>
  <si>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</si>
  <si>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</si>
  <si>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</si>
  <si>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</si>
  <si>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</si>
  <si>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</si>
  <si>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</si>
  <si>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</si>
  <si>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</si>
  <si>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</si>
  <si>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</si>
  <si>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</si>
  <si>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</si>
  <si>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</si>
  <si>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</si>
  <si>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</si>
  <si>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</si>
  <si>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</si>
  <si>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</si>
  <si>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</si>
  <si>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</si>
  <si>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</si>
  <si>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</si>
  <si>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</si>
  <si>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</si>
  <si>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</si>
  <si>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</si>
  <si>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</si>
  <si>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</si>
  <si>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</si>
  <si>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</si>
  <si>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</si>
  <si>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</si>
  <si>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</si>
  <si>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</si>
  <si>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</si>
  <si>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</si>
  <si>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</si>
  <si>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</si>
  <si>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</si>
  <si>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</si>
  <si>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</si>
  <si>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</si>
  <si>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</si>
  <si>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</si>
  <si>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</si>
  <si>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</si>
  <si>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</si>
  <si>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</si>
  <si>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</si>
  <si>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</si>
  <si>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</si>
  <si>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</si>
  <si>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</si>
  <si>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</si>
  <si>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</si>
  <si>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</si>
  <si>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</si>
  <si>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</si>
  <si>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</si>
  <si>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</si>
  <si>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</si>
  <si>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</si>
  <si>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</si>
  <si>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</si>
  <si>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</si>
  <si>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</si>
  <si>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</si>
  <si>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</si>
  <si>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</si>
  <si>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</si>
  <si>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</si>
  <si>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</si>
  <si>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</si>
  <si>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</si>
  <si>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</si>
  <si>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</si>
  <si>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</si>
  <si>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</si>
  <si>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</si>
  <si>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</si>
  <si>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</si>
  <si>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</si>
  <si>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</si>
  <si>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</si>
  <si>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</si>
  <si>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</si>
  <si>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</si>
  <si>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</si>
  <si>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</si>
  <si>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</si>
  <si>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</si>
  <si>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</si>
  <si>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</si>
  <si>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</si>
  <si>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</si>
  <si>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</si>
  <si>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</si>
  <si>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</si>
  <si>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</si>
  <si>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</si>
  <si>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</si>
  <si>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</si>
  <si>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</si>
  <si>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</si>
  <si>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</si>
  <si>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</si>
  <si>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</si>
  <si>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</si>
  <si>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</si>
  <si>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</si>
  <si>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</si>
  <si>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</si>
  <si>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</si>
  <si>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</si>
  <si>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</si>
  <si>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</si>
  <si>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</si>
  <si>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</si>
  <si>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</si>
  <si>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</si>
  <si>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</si>
  <si>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</si>
  <si>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</si>
  <si>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</si>
  <si>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</si>
  <si>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</si>
  <si>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</si>
  <si>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</si>
  <si>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</si>
  <si>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</si>
  <si>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</si>
  <si>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</si>
  <si>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</si>
  <si>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</si>
  <si>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</si>
  <si>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</si>
  <si>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</si>
  <si>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</si>
  <si>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</si>
  <si>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</si>
  <si>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</si>
  <si>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</si>
  <si>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</si>
  <si>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</si>
  <si>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</si>
  <si>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</si>
  <si>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</si>
  <si>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</si>
  <si>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</si>
  <si>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</si>
  <si>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</si>
  <si>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</si>
  <si>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</si>
  <si>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</si>
  <si>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</si>
  <si>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</si>
  <si>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</si>
  <si>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</si>
  <si>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</si>
  <si>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</si>
  <si>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</si>
  <si>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</si>
  <si>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</si>
  <si>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</si>
  <si>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</si>
  <si>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</si>
  <si>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</si>
  <si>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</si>
  <si>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</si>
  <si>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</si>
  <si>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</si>
  <si>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</si>
  <si>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</si>
  <si>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</si>
  <si>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</si>
  <si>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</si>
  <si>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</si>
  <si>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</si>
  <si>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</si>
  <si>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</si>
  <si>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</si>
  <si>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</si>
  <si>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</si>
  <si>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</si>
  <si>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</si>
  <si>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</si>
  <si>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</si>
  <si>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</si>
  <si>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</si>
  <si>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</si>
  <si>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</si>
  <si>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</si>
  <si>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</si>
  <si>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</si>
  <si>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</si>
  <si>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</si>
  <si>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</si>
  <si>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</si>
  <si>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</si>
  <si>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</si>
  <si>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</si>
  <si>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</si>
  <si>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</si>
  <si>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</si>
  <si>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</si>
  <si>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</si>
  <si>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</si>
  <si>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</si>
  <si>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</si>
  <si>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</si>
  <si>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</si>
  <si>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</si>
  <si>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</si>
  <si>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</si>
  <si>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</si>
  <si>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</si>
  <si>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</si>
  <si>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</si>
  <si>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</si>
  <si>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</si>
  <si>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</si>
  <si>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</si>
  <si>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</si>
  <si>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</si>
  <si>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</si>
  <si>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</si>
  <si>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</si>
  <si>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</si>
  <si>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</si>
  <si>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</si>
  <si>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</si>
  <si>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</si>
  <si>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</si>
  <si>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</si>
  <si>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</si>
  <si>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</si>
  <si>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</si>
  <si>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</si>
  <si>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</si>
  <si>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</si>
  <si>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</si>
  <si>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</si>
  <si>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</si>
  <si>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</si>
  <si>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</si>
  <si>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</si>
  <si>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</si>
  <si>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</si>
  <si>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</si>
  <si>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</si>
  <si>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</si>
  <si>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</si>
  <si>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</si>
  <si>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</si>
  <si>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</si>
  <si>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</si>
  <si>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</si>
  <si>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</si>
  <si>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</si>
  <si>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</si>
  <si>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</si>
  <si>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</si>
  <si>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</si>
  <si>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</si>
  <si>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</si>
  <si>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</si>
  <si>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</si>
  <si>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</si>
  <si>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</si>
  <si>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</si>
  <si>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</si>
  <si>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</si>
  <si>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</si>
  <si>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</si>
  <si>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</si>
  <si>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</si>
  <si>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</si>
  <si>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</si>
  <si>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</si>
  <si>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</si>
  <si>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</si>
  <si>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</si>
  <si>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</si>
  <si>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</si>
  <si>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</si>
  <si>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</si>
  <si>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</si>
  <si>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</si>
  <si>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</si>
  <si>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</si>
  <si>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</si>
  <si>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</si>
  <si>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</si>
  <si>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</si>
  <si>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</si>
  <si>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</si>
  <si>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</si>
  <si>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</si>
  <si>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</si>
  <si>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</si>
  <si>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</si>
  <si>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</si>
  <si>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</si>
  <si>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</si>
  <si>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</si>
  <si>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</si>
  <si>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</si>
  <si>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</si>
  <si>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</si>
  <si>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</si>
  <si>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</si>
  <si>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</si>
  <si>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</si>
  <si>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</si>
  <si>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</si>
  <si>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</si>
  <si>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</si>
  <si>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</si>
  <si>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</si>
  <si>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</si>
  <si>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</si>
  <si>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</si>
  <si>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</si>
  <si>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</si>
  <si>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</si>
  <si>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</si>
  <si>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</si>
  <si>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</si>
  <si>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</si>
  <si>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</si>
  <si>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</si>
  <si>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</si>
  <si>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</si>
  <si>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</si>
  <si>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</si>
  <si>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</si>
  <si>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</si>
  <si>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</si>
  <si>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</si>
  <si>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</si>
  <si>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</si>
  <si>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</si>
  <si>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</si>
  <si>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</si>
  <si>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</si>
  <si>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</si>
  <si>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</si>
  <si>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</si>
  <si>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</si>
  <si>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</si>
  <si>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</si>
  <si>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</si>
  <si>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</si>
  <si>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</si>
  <si>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</si>
  <si>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</si>
  <si>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</si>
  <si>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</si>
  <si>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</si>
  <si>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</si>
  <si>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</si>
  <si>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</si>
  <si>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</si>
  <si>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</si>
  <si>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</si>
  <si>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</si>
  <si>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</si>
  <si>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</si>
  <si>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</si>
  <si>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</si>
  <si>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</si>
  <si>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</si>
  <si>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</si>
  <si>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</si>
  <si>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</si>
  <si>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</si>
  <si>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</si>
  <si>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</si>
  <si>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</si>
  <si>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</si>
  <si>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</si>
  <si>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</si>
  <si>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</si>
  <si>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</si>
  <si>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</si>
  <si>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</si>
  <si>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</si>
  <si>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</si>
  <si>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</si>
  <si>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</si>
  <si>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</si>
  <si>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</si>
  <si>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</si>
  <si>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</si>
  <si>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</si>
  <si>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</si>
  <si>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</si>
  <si>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</si>
  <si>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</si>
  <si>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</si>
  <si>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</si>
  <si>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</si>
  <si>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</si>
  <si>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</si>
  <si>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</si>
  <si>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</si>
  <si>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</si>
  <si>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</si>
  <si>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</si>
  <si>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</si>
  <si>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</si>
  <si>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</si>
  <si>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</si>
  <si>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</si>
  <si>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</si>
  <si>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</si>
  <si>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</si>
  <si>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</si>
  <si>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</si>
  <si>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</si>
  <si>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</si>
  <si>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</si>
  <si>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</si>
  <si>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</si>
  <si>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</si>
  <si>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</si>
  <si>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</si>
  <si>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</si>
  <si>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</si>
  <si>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</si>
  <si>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</si>
  <si>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</si>
  <si>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</si>
  <si>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</si>
  <si>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</si>
  <si>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</si>
  <si>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</si>
  <si>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</si>
  <si>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</si>
  <si>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</si>
  <si>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</si>
  <si>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</si>
  <si>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</si>
  <si>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</si>
  <si>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</si>
  <si>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</si>
  <si>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</si>
  <si>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</si>
  <si>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</si>
  <si>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</si>
  <si>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</si>
  <si>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</si>
  <si>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</si>
  <si>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</si>
  <si>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</si>
  <si>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</si>
  <si>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</si>
  <si>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</si>
  <si>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</si>
  <si>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</si>
  <si>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</si>
  <si>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</si>
  <si>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</si>
  <si>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</si>
  <si>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</si>
  <si>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</si>
  <si>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</si>
  <si>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</si>
  <si>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</si>
  <si>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</si>
  <si>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</si>
  <si>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</si>
  <si>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</si>
  <si>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</si>
  <si>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</si>
  <si>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</si>
  <si>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</si>
  <si>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</si>
  <si>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</si>
  <si>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</si>
  <si>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</si>
  <si>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</si>
  <si>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</si>
  <si>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</si>
  <si>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</si>
  <si>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</si>
  <si>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</si>
  <si>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</si>
  <si>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</si>
  <si>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</si>
  <si>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</si>
  <si>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</si>
  <si>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</si>
  <si>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</si>
  <si>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</si>
  <si>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</si>
  <si>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</si>
  <si>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</si>
  <si>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</si>
  <si>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</si>
  <si>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</si>
  <si>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</si>
  <si>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</si>
  <si>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</si>
  <si>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</si>
  <si>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</si>
  <si>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</si>
  <si>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</si>
  <si>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</si>
  <si>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</si>
  <si>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</si>
  <si>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</si>
  <si>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</si>
  <si>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</si>
  <si>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</si>
  <si>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</si>
  <si>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</si>
  <si>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</si>
  <si>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</si>
  <si>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</si>
  <si>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</si>
  <si>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</si>
  <si>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</si>
  <si>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</si>
  <si>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</si>
  <si>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</si>
  <si>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</si>
  <si>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</si>
  <si>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</si>
  <si>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</si>
  <si>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</si>
  <si>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</si>
  <si>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</si>
  <si>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</si>
  <si>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</si>
  <si>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</si>
  <si>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</si>
  <si>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</si>
  <si>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</si>
  <si>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</si>
  <si>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</si>
  <si>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</si>
  <si>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</si>
  <si>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</si>
  <si>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</si>
  <si>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</si>
  <si>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</si>
  <si>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</si>
  <si>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</si>
  <si>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</si>
  <si>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</si>
  <si>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</si>
  <si>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</si>
  <si>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</si>
  <si>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</si>
  <si>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</si>
  <si>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</si>
  <si>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</si>
  <si>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</si>
  <si>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</si>
  <si>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</si>
  <si>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</si>
  <si>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</si>
  <si>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</si>
  <si>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</si>
  <si>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</si>
  <si>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</si>
  <si>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</si>
  <si>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</si>
  <si>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</si>
  <si>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</si>
  <si>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</si>
  <si>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</si>
  <si>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</si>
  <si>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</si>
  <si>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</si>
  <si>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</si>
  <si>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</si>
  <si>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</si>
  <si>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</si>
  <si>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</si>
  <si>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</si>
  <si>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</si>
  <si>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</si>
  <si>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</si>
  <si>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</si>
  <si>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</si>
  <si>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</si>
  <si>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</si>
  <si>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</si>
  <si>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</si>
  <si>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</si>
  <si>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</si>
  <si>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</si>
  <si>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</si>
  <si>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</si>
  <si>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</si>
  <si>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</si>
  <si>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</si>
  <si>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</si>
  <si>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</si>
  <si>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</si>
  <si>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</si>
  <si>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</si>
  <si>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</si>
  <si>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</si>
  <si>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</si>
  <si>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</si>
  <si>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</si>
  <si>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</si>
  <si>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</si>
  <si>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</si>
  <si>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</si>
  <si>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</si>
  <si>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</si>
  <si>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</si>
  <si>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</si>
  <si>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</si>
  <si>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</si>
  <si>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</si>
  <si>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</si>
  <si>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</si>
  <si>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</si>
  <si>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</si>
  <si>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</si>
  <si>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</si>
  <si>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</si>
  <si>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</si>
  <si>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</si>
  <si>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</si>
  <si>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</si>
  <si>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</si>
  <si>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</si>
  <si>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</si>
  <si>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</si>
  <si>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</si>
  <si>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</si>
  <si>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</si>
  <si>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</si>
  <si>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</si>
  <si>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</si>
  <si>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</si>
  <si>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</si>
  <si>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</si>
  <si>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</si>
  <si>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</si>
  <si>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</si>
  <si>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</si>
  <si>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</si>
  <si>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</si>
  <si>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</si>
  <si>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</si>
  <si>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</si>
  <si>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</si>
  <si>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</si>
  <si>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</si>
  <si>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</si>
  <si>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</si>
  <si>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</si>
  <si>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</si>
  <si>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</si>
  <si>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</si>
  <si>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</si>
  <si>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</si>
  <si>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</si>
  <si>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</si>
  <si>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</si>
  <si>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</si>
  <si>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</si>
  <si>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</si>
  <si>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</si>
  <si>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</si>
  <si>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</si>
  <si>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</si>
  <si>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</si>
  <si>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</si>
  <si>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</si>
  <si>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</si>
  <si>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</si>
  <si>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</si>
  <si>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</si>
  <si>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</si>
  <si>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</si>
  <si>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</si>
  <si>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</si>
  <si>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</si>
  <si>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</si>
  <si>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</si>
  <si>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</si>
  <si>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</si>
  <si>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</si>
  <si>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</si>
  <si>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</si>
  <si>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</si>
  <si>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</si>
  <si>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</si>
  <si>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</si>
  <si>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</si>
  <si>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</si>
  <si>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</si>
  <si>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</si>
  <si>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</si>
  <si>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</si>
  <si>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</si>
  <si>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</si>
  <si>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</si>
  <si>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</si>
  <si>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</si>
  <si>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</si>
  <si>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</si>
  <si>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</si>
  <si>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</si>
  <si>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</si>
  <si>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</si>
  <si>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</si>
  <si>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</si>
  <si>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</si>
  <si>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</si>
  <si>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</si>
  <si>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</si>
  <si>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</si>
  <si>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</si>
  <si>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</si>
  <si>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</si>
  <si>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</si>
  <si>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</si>
  <si>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</si>
  <si>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</si>
  <si>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</si>
  <si>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</si>
  <si>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</si>
  <si>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</si>
  <si>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</si>
  <si>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</si>
  <si>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</si>
  <si>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</si>
  <si>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</si>
  <si>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</si>
  <si>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</si>
  <si>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</si>
  <si>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</si>
  <si>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</si>
  <si>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</si>
  <si>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</si>
  <si>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</si>
  <si>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</si>
  <si>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</si>
  <si>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</si>
  <si>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</si>
  <si>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</si>
  <si>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</si>
  <si>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</si>
  <si>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</si>
  <si>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</si>
  <si>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</si>
  <si>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</si>
  <si>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</si>
  <si>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</si>
  <si>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</si>
  <si>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</si>
  <si>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</si>
  <si>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</si>
  <si>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</si>
  <si>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</si>
  <si>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</si>
  <si>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</si>
  <si>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</si>
  <si>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</si>
  <si>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</si>
  <si>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</si>
  <si>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</si>
  <si>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</si>
  <si>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</si>
  <si>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</si>
  <si>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</si>
  <si>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</si>
  <si>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</si>
  <si>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</si>
  <si>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</si>
  <si>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</si>
  <si>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</si>
  <si>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</si>
  <si>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</si>
  <si>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</si>
  <si>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</si>
  <si>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</si>
  <si>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</si>
  <si>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</si>
  <si>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</si>
  <si>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</si>
  <si>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</si>
  <si>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</si>
  <si>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</si>
  <si>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</si>
  <si>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</si>
  <si>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</si>
  <si>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</si>
  <si>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</si>
  <si>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</si>
  <si>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</si>
  <si>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</si>
  <si>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</si>
  <si>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</si>
  <si>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</si>
  <si>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</si>
  <si>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</si>
  <si>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</si>
  <si>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</si>
  <si>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</si>
  <si>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</si>
  <si>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</si>
  <si>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</si>
  <si>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</si>
  <si>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</si>
  <si>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</si>
  <si>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</si>
  <si>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</si>
  <si>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</si>
  <si>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</si>
  <si>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</si>
  <si>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</si>
  <si>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</si>
  <si>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</si>
  <si>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</si>
  <si>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</si>
  <si>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</si>
  <si>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</si>
  <si>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</si>
  <si>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</si>
  <si>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</si>
  <si>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</si>
  <si>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</si>
  <si>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</si>
  <si>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</si>
  <si>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</si>
  <si>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</si>
  <si>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</si>
  <si>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</si>
  <si>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</si>
  <si>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</si>
  <si>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</si>
  <si>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</si>
  <si>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</si>
  <si>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</si>
  <si>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</si>
  <si>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</si>
  <si>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</si>
  <si>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</si>
  <si>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</si>
  <si>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</si>
  <si>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</si>
  <si>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</si>
  <si>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</si>
  <si>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</si>
  <si>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</si>
  <si>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</si>
  <si>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</si>
  <si>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</si>
  <si>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</si>
  <si>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</si>
  <si>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</si>
  <si>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</si>
  <si>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</si>
  <si>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</si>
  <si>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</si>
  <si>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</si>
  <si>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</si>
  <si>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</si>
  <si>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</si>
  <si>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</si>
  <si>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</si>
  <si>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</si>
  <si>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</si>
  <si>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</si>
  <si>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</si>
  <si>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</si>
  <si>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</si>
  <si>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</si>
  <si>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</si>
  <si>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</si>
  <si>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</si>
  <si>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</si>
  <si>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</si>
  <si>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</si>
  <si>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</si>
  <si>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</si>
  <si>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</si>
  <si>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</si>
  <si>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</si>
  <si>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</si>
  <si>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</si>
  <si>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</si>
  <si>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</si>
  <si>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</si>
  <si>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</si>
  <si>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</si>
  <si>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</si>
  <si>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</si>
  <si>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</si>
  <si>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</si>
  <si>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</si>
  <si>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</si>
  <si>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</si>
  <si>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</si>
  <si>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</si>
  <si>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</si>
  <si>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</si>
  <si>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</si>
  <si>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</si>
  <si>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</si>
  <si>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</si>
  <si>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</si>
  <si>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</si>
  <si>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</si>
  <si>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</si>
  <si>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</si>
  <si>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</si>
  <si>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</si>
  <si>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</si>
  <si>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</si>
  <si>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</si>
  <si>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</si>
  <si>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</si>
  <si>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</si>
  <si>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</si>
  <si>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</si>
  <si>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</si>
  <si>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</si>
  <si>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</si>
  <si>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</si>
  <si>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</si>
  <si>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</si>
  <si>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</si>
  <si>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</si>
  <si>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</si>
  <si>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</si>
  <si>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</si>
  <si>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</si>
  <si>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</si>
  <si>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</si>
  <si>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</si>
  <si>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</si>
  <si>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</si>
  <si>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</si>
  <si>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</si>
  <si>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</si>
  <si>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</si>
  <si>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</si>
  <si>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</si>
  <si>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</si>
  <si>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</si>
  <si>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</si>
  <si>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</si>
  <si>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</si>
  <si>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</si>
  <si>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</si>
  <si>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</si>
  <si>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</si>
  <si>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</si>
  <si>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</si>
  <si>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</si>
  <si>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</si>
  <si>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</si>
  <si>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</si>
  <si>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</si>
  <si>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</si>
  <si>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</si>
  <si>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</si>
  <si>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</si>
  <si>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</si>
  <si>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</si>
  <si>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</si>
  <si>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</si>
  <si>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</si>
  <si>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</si>
  <si>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</si>
  <si>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</si>
  <si>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</si>
  <si>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</si>
  <si>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</si>
  <si>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</si>
  <si>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</si>
  <si>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</si>
  <si>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</si>
  <si>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</si>
  <si>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</si>
  <si>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</si>
  <si>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</si>
  <si>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</si>
  <si>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</si>
  <si>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</si>
  <si>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</si>
  <si>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</si>
  <si>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</si>
  <si>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</si>
  <si>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</si>
  <si>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</si>
  <si>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</si>
  <si>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</si>
  <si>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</si>
  <si>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</si>
  <si>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</si>
  <si>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</si>
  <si>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</si>
  <si>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</si>
  <si>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</si>
  <si>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</si>
  <si>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</si>
  <si>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</si>
  <si>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</si>
  <si>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</si>
  <si>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</si>
  <si>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</si>
  <si>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</si>
  <si>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</si>
  <si>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</si>
  <si>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</si>
  <si>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</si>
  <si>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</si>
  <si>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</si>
  <si>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</si>
  <si>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</si>
  <si>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</si>
  <si>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</si>
  <si>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</si>
  <si>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</si>
  <si>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</si>
  <si>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</si>
  <si>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</si>
  <si>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</si>
  <si>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</si>
  <si>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</si>
  <si>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</si>
  <si>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</si>
  <si>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</si>
  <si>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</si>
  <si>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</si>
  <si>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</si>
  <si>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</si>
  <si>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</si>
  <si>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</si>
  <si>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</si>
  <si>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</si>
  <si>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</si>
  <si>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</si>
  <si>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</si>
  <si>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</si>
  <si>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</si>
  <si>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</si>
  <si>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</si>
  <si>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</si>
  <si>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</si>
  <si>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</si>
  <si>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</si>
  <si>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</si>
  <si>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</si>
  <si>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</si>
  <si>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</si>
  <si>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</si>
  <si>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</si>
  <si>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</si>
  <si>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</si>
  <si>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</si>
  <si>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</si>
  <si>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</si>
  <si>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</si>
  <si>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</si>
  <si>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</si>
  <si>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2018-2</t>
    <phoneticPr fontId="4" type="noConversion"/>
  </si>
  <si>
    <t>2018-1</t>
    <phoneticPr fontId="4" type="noConversion"/>
  </si>
  <si>
    <t>白景生</t>
    <phoneticPr fontId="4" type="noConversion"/>
  </si>
  <si>
    <t>楼面地价</t>
    <phoneticPr fontId="234" type="noConversion"/>
  </si>
  <si>
    <t>住宅</t>
    <phoneticPr fontId="234" type="noConversion"/>
  </si>
  <si>
    <t>成都监测指标情况一览表</t>
  </si>
  <si>
    <t>时间</t>
  </si>
  <si>
    <t>水平值</t>
  </si>
  <si>
    <t>环比增长率</t>
  </si>
  <si>
    <t>指数</t>
  </si>
  <si>
    <t>商业</t>
  </si>
  <si>
    <t>商业</t>
    <phoneticPr fontId="234" type="noConversion"/>
  </si>
  <si>
    <t>剩余法-待开发</t>
  </si>
  <si>
    <t>项目全部</t>
  </si>
  <si>
    <t>土地</t>
  </si>
  <si>
    <t>王鹏</t>
  </si>
  <si>
    <t>郑燚</t>
  </si>
  <si>
    <t>中信信托有限责任公司</t>
    <phoneticPr fontId="7" type="noConversion"/>
  </si>
  <si>
    <t>抵押</t>
  </si>
  <si>
    <t>抵押价格</t>
  </si>
  <si>
    <t>其他：</t>
  </si>
  <si>
    <t>企业</t>
  </si>
  <si>
    <t>成都民生喜神投资有限公司</t>
  </si>
  <si>
    <t>成都民生喜神投资有限公司</t>
    <phoneticPr fontId="7" type="noConversion"/>
  </si>
  <si>
    <t>住宅、商业用地</t>
    <phoneticPr fontId="7" type="noConversion"/>
  </si>
  <si>
    <t>住宅、商业用地</t>
    <phoneticPr fontId="7" type="noConversion"/>
  </si>
  <si>
    <t>《国有土地使用证》[都国用（2016）第7356号]</t>
    <phoneticPr fontId="7" type="noConversion"/>
  </si>
  <si>
    <t>符合</t>
  </si>
  <si>
    <t>一致</t>
  </si>
  <si>
    <t>出让</t>
  </si>
  <si>
    <t>车库</t>
  </si>
  <si>
    <t>华夏银行股份有限公司成都天府支行</t>
    <phoneticPr fontId="7" type="noConversion"/>
  </si>
  <si>
    <t>410194.62平方米</t>
    <phoneticPr fontId="7" type="noConversion"/>
  </si>
  <si>
    <t>47000万元</t>
    <phoneticPr fontId="7" type="noConversion"/>
  </si>
  <si>
    <t>旅游地产</t>
  </si>
  <si>
    <t>否</t>
  </si>
  <si>
    <t>场地平整</t>
  </si>
  <si>
    <t>平整</t>
  </si>
  <si>
    <t>通路</t>
  </si>
  <si>
    <t>通电</t>
  </si>
  <si>
    <t>通讯</t>
  </si>
  <si>
    <t>通上水</t>
  </si>
  <si>
    <t>通下水</t>
  </si>
  <si>
    <t>燃气</t>
  </si>
  <si>
    <t>地上</t>
  </si>
  <si>
    <t>请录依据文件名称：市发改委市财政局转发省发展改革委省财政厅关于调整成都市城市基础设施配套费标准的通知 成发改收费〔2013〕21号 http://www.cddrc.gov.cn/infoopen_detail.action?id=53296&amp;tn=6&amp;classId=020303</t>
    <phoneticPr fontId="4" type="noConversion"/>
  </si>
  <si>
    <t>2017年下半年省会城市住宅建安工程造价指标    单位：元/m2</t>
  </si>
  <si>
    <t>省会市名称</t>
  </si>
  <si>
    <t>建筑型式</t>
  </si>
  <si>
    <t>说明</t>
  </si>
  <si>
    <t>多层</t>
  </si>
  <si>
    <t>小高层</t>
  </si>
  <si>
    <t>高层</t>
  </si>
  <si>
    <t>成都</t>
  </si>
  <si>
    <t>1332</t>
  </si>
  <si>
    <t>1433</t>
  </si>
  <si>
    <t>1601</t>
  </si>
  <si>
    <t>地块名称</t>
  </si>
  <si>
    <t>城市</t>
  </si>
  <si>
    <t>用地性质</t>
  </si>
  <si>
    <t>土地位置</t>
  </si>
  <si>
    <t>出让方式</t>
  </si>
  <si>
    <t>地块编号</t>
  </si>
  <si>
    <t>详细规划</t>
  </si>
  <si>
    <t>建设用地面积(㎡)</t>
  </si>
  <si>
    <t>规划建筑面积(㎡)</t>
  </si>
  <si>
    <t>公告时间</t>
  </si>
  <si>
    <t>成交日期</t>
  </si>
  <si>
    <t>受让单位</t>
  </si>
  <si>
    <t>成交价(万元)</t>
  </si>
  <si>
    <t>成交每亩价(万元/亩)</t>
  </si>
  <si>
    <t>成交楼面价(元/㎡)</t>
  </si>
  <si>
    <t>溢价率</t>
  </si>
  <si>
    <t>出让年限</t>
  </si>
  <si>
    <t>都江堰市奎光塔街道安青社区</t>
  </si>
  <si>
    <t>成都市</t>
  </si>
  <si>
    <t>综合用地(含住宅)</t>
  </si>
  <si>
    <t>拍卖</t>
  </si>
  <si>
    <t>DJY2018-04(05/0701)</t>
  </si>
  <si>
    <t>商服用地、城镇住宅用地</t>
  </si>
  <si>
    <t>商业用地:2.0＜容积率≤3.5;二类居住用地:1.0＜容积率≤2.5</t>
  </si>
  <si>
    <t>2018-04-20</t>
  </si>
  <si>
    <t>2018-05-10</t>
  </si>
  <si>
    <t>都江堰外滩置业有限公司</t>
  </si>
  <si>
    <t>商服40年住宅70年</t>
  </si>
  <si>
    <t>都江堰市永丰街道友爱社区</t>
  </si>
  <si>
    <t>DJY2018-03(0701/05)</t>
  </si>
  <si>
    <t>城镇住宅用地、商服用地</t>
  </si>
  <si>
    <t>＞1.0且≤2.0</t>
  </si>
  <si>
    <t>2018-03-14</t>
  </si>
  <si>
    <t>2018-04-09</t>
  </si>
  <si>
    <t>林芝恒大旅游发展有限公司</t>
  </si>
  <si>
    <t>住宅70年商服40年</t>
  </si>
  <si>
    <t>都江堰市奎光塔街道张家湾社区</t>
  </si>
  <si>
    <t>DJY2017-25(0701/05)</t>
  </si>
  <si>
    <t>容积率＞1.0,且≤2.0</t>
  </si>
  <si>
    <t>2017-12-11</t>
  </si>
  <si>
    <t>2018-01-02</t>
  </si>
  <si>
    <t>成都人居置业有限公司</t>
  </si>
  <si>
    <t>住宅用地70年;商服用地40年</t>
  </si>
  <si>
    <t>都江堰市奎光塔街道勤俭人家社区、聚源镇金鸡社区</t>
  </si>
  <si>
    <t>DJY2017-16(0701/05)</t>
  </si>
  <si>
    <t>住宅70年;商服40年</t>
  </si>
  <si>
    <t>都江堰市青城山镇芒城社区</t>
  </si>
  <si>
    <t>DJY2017-15(0701/05)</t>
  </si>
  <si>
    <t>＞1.0且≤1.1</t>
  </si>
  <si>
    <t>都江堰市胥家镇桂花社区</t>
  </si>
  <si>
    <t>DJY2017-22(0701/05)</t>
  </si>
  <si>
    <t>成都锦江绿道建设投资集团有限公司</t>
  </si>
  <si>
    <t>DJY2017-24(0701/05)</t>
  </si>
  <si>
    <t>DJY2017-23(0701/05)</t>
  </si>
  <si>
    <t>DJY2017-21(0701/05)</t>
  </si>
  <si>
    <t>都江堰市奎光塔街道勤俭人家社区、聚源镇大合社区</t>
  </si>
  <si>
    <t>DJY2017-20(0701/05)</t>
  </si>
  <si>
    <t>都江堰市银杏街道王家桥社区</t>
  </si>
  <si>
    <t>DJY2017-26(0701/05)</t>
  </si>
  <si>
    <t>容积率＞1.0,且≤1.6</t>
  </si>
  <si>
    <t>DJY2017-17(0701/05)</t>
  </si>
  <si>
    <t>都江堰市银杏街道上游社区</t>
  </si>
  <si>
    <t>DJY2017-03(252/211)</t>
  </si>
  <si>
    <t>城镇混合住宅用地</t>
  </si>
  <si>
    <t>＞1.0,且≤2.0</t>
  </si>
  <si>
    <t>2017-11-13</t>
  </si>
  <si>
    <t>2017-12-05</t>
  </si>
  <si>
    <t>四川三沐房地产开发有限公司</t>
  </si>
  <si>
    <t>住宅70年;商业40年</t>
  </si>
  <si>
    <t>DJY2017-04(252/211)</t>
  </si>
  <si>
    <t>2017-09-19</t>
  </si>
  <si>
    <t>2017-10-17</t>
  </si>
  <si>
    <t>成都银宇置业有限公司</t>
  </si>
  <si>
    <t>住宅70年商业40年</t>
  </si>
  <si>
    <t>都江堰市银杏街道宁江社区</t>
  </si>
  <si>
    <t>DJY2017-02(252/211)</t>
  </si>
  <si>
    <t>二类居住用地</t>
  </si>
  <si>
    <t>＞1.0且≤1.8</t>
  </si>
  <si>
    <t>2017-08-14</t>
  </si>
  <si>
    <t>2017-09-05</t>
  </si>
  <si>
    <t>成都山水田园投资有限公司</t>
  </si>
  <si>
    <t>DJY2016-30(252/211)</t>
  </si>
  <si>
    <t>＞1且≤1.6</t>
  </si>
  <si>
    <t>2017-06-02</t>
  </si>
  <si>
    <t>2017-06-22</t>
  </si>
  <si>
    <t>成都中建人居雅苑房地产开发有限公司</t>
  </si>
  <si>
    <t>住宅用地70年、商业用地40年</t>
  </si>
  <si>
    <t>DJY2016-31(252/211)</t>
  </si>
  <si>
    <t>都江堰市玉堂镇永康社区1、2组</t>
  </si>
  <si>
    <t>DJY2016-22(252/211)</t>
  </si>
  <si>
    <t>城镇混合住宅用地、商业用地</t>
  </si>
  <si>
    <t>＞1且≤2.1</t>
  </si>
  <si>
    <t>2016-09-30</t>
  </si>
  <si>
    <t>2016-10-27</t>
  </si>
  <si>
    <t>大连万达商业地产股份有限公司</t>
  </si>
  <si>
    <t>都江堰市玉堂镇青城桥社区1、2组</t>
  </si>
  <si>
    <t>DJY2016-15(252/211)</t>
  </si>
  <si>
    <t>＞1且≤1.1</t>
  </si>
  <si>
    <t>都江堰市玉堂镇青城桥社区3、4组</t>
  </si>
  <si>
    <t>DJY2016-06(252/211)</t>
  </si>
  <si>
    <t>＞1且≤2.3</t>
  </si>
  <si>
    <t>都江堰市玉堂镇青城桥社区2、3、4组</t>
  </si>
  <si>
    <t>DJY2016-09(252/211)</t>
  </si>
  <si>
    <t>＞1且≤1.9</t>
  </si>
  <si>
    <t>都江堰市玉堂镇青城桥社区2组</t>
  </si>
  <si>
    <t>DJY2016-12(252/211)</t>
  </si>
  <si>
    <t>DJY2016-17(252/211)</t>
  </si>
  <si>
    <t>DJY2016-11(252/211)</t>
  </si>
  <si>
    <t>DJY2016-14(252/211)</t>
  </si>
  <si>
    <t>都江堰市玉堂镇青城桥社区1组</t>
  </si>
  <si>
    <t>DJY2016-16(252/211)</t>
  </si>
  <si>
    <t>DJY2016-18(252/211)</t>
  </si>
  <si>
    <t>城镇混合用地、商业用地</t>
  </si>
  <si>
    <t>DJY2016-10(252/211)</t>
  </si>
  <si>
    <t>都江堰市玉堂镇青城桥社区2、4组</t>
  </si>
  <si>
    <t>DJY2016-08(252/211)</t>
  </si>
  <si>
    <t>DJY2016-07(252/211)</t>
  </si>
  <si>
    <t>DJY2016-13(252/211)</t>
  </si>
  <si>
    <t>都江堰市玉堂镇永康社区2、3组,白玉社区6组</t>
  </si>
  <si>
    <t>DJY2016-21(252/211)</t>
  </si>
  <si>
    <t>都江堰市永丰街道新联社区</t>
  </si>
  <si>
    <t>DJY2016-28(252/211)</t>
  </si>
  <si>
    <t>＞1且≤2.5</t>
  </si>
  <si>
    <t>2016-08-17</t>
  </si>
  <si>
    <t>2016-09-07</t>
  </si>
  <si>
    <t>成都市正成投资开发有限公司(拟注册:成都市正成润驰置业有限公司)</t>
  </si>
  <si>
    <t>都江堰市幸福街道彩虹社区</t>
  </si>
  <si>
    <t>DJY2015-43(252/211)</t>
  </si>
  <si>
    <t>2016-01-04</t>
  </si>
  <si>
    <t>2016-01-27</t>
  </si>
  <si>
    <t>成都双新科技创业投资有限责任公司</t>
  </si>
  <si>
    <t>DJY2015-44(252/211)</t>
  </si>
  <si>
    <t>DJY2015-42(252/211)</t>
  </si>
  <si>
    <t>四川广友置业有限责任公司</t>
  </si>
  <si>
    <t>都江堰市石羊镇徐渡村5组</t>
  </si>
  <si>
    <t>DJY2015-33(252/211)</t>
  </si>
  <si>
    <t>＞1且≤1.5</t>
  </si>
  <si>
    <t>2015-12-11</t>
  </si>
  <si>
    <t>2016-01-05</t>
  </si>
  <si>
    <t>郭涛(拟注册:都江堰市花蕊房地产开发有限公司)</t>
  </si>
  <si>
    <t>都江堰市石羊镇徐渡村4、5组</t>
  </si>
  <si>
    <t>DJY2015-34(252/211)</t>
  </si>
  <si>
    <t>＞1且≤1.8</t>
  </si>
  <si>
    <t>都江堰市银杏街道学府社区</t>
  </si>
  <si>
    <t>DJY2015-38(252/211)</t>
  </si>
  <si>
    <t>＞1,≤1.8</t>
  </si>
  <si>
    <t>2015-11-19</t>
  </si>
  <si>
    <t>2015-12-10</t>
  </si>
  <si>
    <t>成都利贞实业有限公司</t>
  </si>
  <si>
    <t>DJY2015-39(252/211)</t>
  </si>
  <si>
    <t>都江堰市玉堂镇宝瓶社区1、9组</t>
  </si>
  <si>
    <t>DJY2015-31(252/211)</t>
  </si>
  <si>
    <t>＞1.0,≤2.5</t>
  </si>
  <si>
    <t>2015-07-31</t>
  </si>
  <si>
    <t>2015-08-24</t>
  </si>
  <si>
    <t>住宅用地70年商业用地40年</t>
  </si>
  <si>
    <t>都江堰市玉堂镇永康社区7、11组,宝瓶社区6组</t>
  </si>
  <si>
    <t>DJY2015-26(252/211)</t>
  </si>
  <si>
    <t>都江堰市玉堂镇永康社区8、10组</t>
  </si>
  <si>
    <t>DJY2015-21(252/211)</t>
  </si>
  <si>
    <t>都江堰市玉堂镇永康社区10、11组、宝瓶社区1、6组</t>
  </si>
  <si>
    <t>DJY2015-30(252/211)</t>
  </si>
  <si>
    <t>都江堰市玉堂镇永康社区6、7、11组</t>
  </si>
  <si>
    <t>DJY2015-22(252/211)</t>
  </si>
  <si>
    <t>都江堰市玉堂镇永康社区5、6、7、11组</t>
  </si>
  <si>
    <t>DJY2015-19(252/211)</t>
  </si>
  <si>
    <t>都江堰市玉堂镇永康社区10组,宝瓶社区1组</t>
  </si>
  <si>
    <t>DJY2015-25(252/211)</t>
  </si>
  <si>
    <t>都江堰市玉堂镇永康社区11组,宝瓶社区6组</t>
  </si>
  <si>
    <t>DJY2015-27(252/211)</t>
  </si>
  <si>
    <t>都江堰市玉堂镇宝瓶社区1、2、9、11组</t>
  </si>
  <si>
    <t>DJY2015-29(252/211)</t>
  </si>
  <si>
    <t>＞1.0,≤3.0</t>
  </si>
  <si>
    <t>都江堰市玉堂镇宝瓶社区1、2、9组</t>
  </si>
  <si>
    <t>DJY2015-32(252/211)</t>
  </si>
  <si>
    <t>都江堰市玉堂镇永康社区5、8、10、11组</t>
  </si>
  <si>
    <t>DJY2015-20(252/211)</t>
  </si>
  <si>
    <t>DJY2015-24(252/211)</t>
  </si>
  <si>
    <t>都江堰市玉堂镇永康社区10、11组,宝瓶社区1组</t>
  </si>
  <si>
    <t>DJY2015-23(252/211)</t>
  </si>
  <si>
    <t>都江堰市玉堂镇宝瓶社区1、6、11组</t>
  </si>
  <si>
    <t>DJY2015-28(252/211)</t>
  </si>
  <si>
    <t>都江堰市玉堂镇石牛社区3、4、5、6组</t>
  </si>
  <si>
    <t>DJY2015-15(252/211)</t>
  </si>
  <si>
    <t>＞1.0,≤2.3</t>
  </si>
  <si>
    <t>2015-07-30</t>
  </si>
  <si>
    <t>2015-08-21</t>
  </si>
  <si>
    <t>都江堰市玉堂镇石牛社区6组,三台社区2组</t>
  </si>
  <si>
    <t>DJY2015-17(252/211)</t>
  </si>
  <si>
    <t>＞1.0,≤1.8</t>
  </si>
  <si>
    <t>都江堰市玉堂镇石牛社区2、3组</t>
  </si>
  <si>
    <t>DJY2015-14(252/211)</t>
  </si>
  <si>
    <t>都江堰市玉堂镇石牛社区1、2、3、5组</t>
  </si>
  <si>
    <t>DJY2015-13(252/211)</t>
  </si>
  <si>
    <t>都江堰市玉堂镇石牛社区3、4、6组</t>
  </si>
  <si>
    <t>DJY2015-16(252/211)</t>
  </si>
  <si>
    <t>DJY2015-03(252/211)</t>
  </si>
  <si>
    <t>＞1,≤2.1</t>
  </si>
  <si>
    <t>2015-06-04</t>
  </si>
  <si>
    <t>2015-06-25</t>
  </si>
  <si>
    <t>都江堰市玉堂镇永康社区5、8组</t>
  </si>
  <si>
    <t>DJY2015-06(252/211)</t>
  </si>
  <si>
    <t>＞1,≤2.2</t>
  </si>
  <si>
    <t>DJY2015-07(252/211)</t>
  </si>
  <si>
    <t>＞1,≤2.4</t>
  </si>
  <si>
    <t>都江堰市玉堂镇永康社区1、4、5组</t>
  </si>
  <si>
    <t>DJY2015-09(252/211)</t>
  </si>
  <si>
    <t>都江堰市玉堂镇永康社区4、5、8组</t>
  </si>
  <si>
    <t>DJY2015-08(252/211)</t>
  </si>
  <si>
    <t>都江堰市玉堂镇永康社区3、4、5、6组</t>
  </si>
  <si>
    <t>DJY2015-05(252/211)</t>
  </si>
  <si>
    <t>都江堰市玉堂镇永康社区3、4组</t>
  </si>
  <si>
    <t>DJY2015-04(252/211)</t>
  </si>
  <si>
    <t>都江堰市奎光塔街道滨河社区第四居民小组</t>
  </si>
  <si>
    <t>DJY2015-02(252)</t>
  </si>
  <si>
    <t>居住用地</t>
  </si>
  <si>
    <t>＞1.0,≤2</t>
  </si>
  <si>
    <t>2015-05-29</t>
  </si>
  <si>
    <t>2015-06-24</t>
  </si>
  <si>
    <t>四川华炜投资有限公司</t>
  </si>
  <si>
    <t>都江堰市幸福镇永丰村(联盟村6组、永丰村3组、永寿村13组)</t>
  </si>
  <si>
    <t>DJY05(251):2014-073</t>
  </si>
  <si>
    <t>＞1.0,且不得＞3.0</t>
  </si>
  <si>
    <t>2014-07-02</t>
  </si>
  <si>
    <t>2014-07-25</t>
  </si>
  <si>
    <t>都江堰天府置业有限公司</t>
  </si>
  <si>
    <t>住宅用地70年商业用地*40年</t>
  </si>
  <si>
    <t>都江堰市蒲阳镇双槐村G04街坊</t>
  </si>
  <si>
    <t>挂牌</t>
  </si>
  <si>
    <t>DJY01(211/252):2014-003</t>
  </si>
  <si>
    <t>商业用地、住宅用地</t>
  </si>
  <si>
    <t>＞1、≤3.6</t>
  </si>
  <si>
    <t>2014-01-09</t>
  </si>
  <si>
    <t>2014-02-24</t>
  </si>
  <si>
    <t>成都瀚顶投资有限公司</t>
  </si>
  <si>
    <t>商业40年、住宅70年</t>
  </si>
  <si>
    <t>都江堰市中兴镇沿江村3、4、7组</t>
  </si>
  <si>
    <t>DJY13(252/211):2013-240</t>
  </si>
  <si>
    <t>＞1、≤1.1</t>
  </si>
  <si>
    <t>2013-09-29</t>
  </si>
  <si>
    <t>2013-11-05</t>
  </si>
  <si>
    <t>成都都江堰和骏置业有限公司</t>
  </si>
  <si>
    <t>住宅70年、商业40年</t>
  </si>
  <si>
    <t>都江堰市中兴镇沿江村4、7组</t>
  </si>
  <si>
    <t>DJY14(252/211):2013-241</t>
  </si>
  <si>
    <t>都江堰市青城山镇芒城村</t>
  </si>
  <si>
    <t>DJY10(252/211):2013-217</t>
  </si>
  <si>
    <t>2013-09-27</t>
  </si>
  <si>
    <t>2013-10-29</t>
  </si>
  <si>
    <t>重庆金阳房地产开发有限公司</t>
  </si>
  <si>
    <t>都江堰市滨江街道办天府大道安达路口(北临兰卡威楼盘,南临安达路侧)</t>
  </si>
  <si>
    <t>DJY06(252/211):2013-144</t>
  </si>
  <si>
    <t>住宅用地商业用地</t>
  </si>
  <si>
    <t>≥3.6、≤4</t>
  </si>
  <si>
    <t>2013-06-18</t>
  </si>
  <si>
    <t>2013-07-10</t>
  </si>
  <si>
    <t>成都市金晟祥置业有限公司</t>
  </si>
  <si>
    <t>都江堰市大观镇丽江村二、三组(成青快速路南侧、S106线路东侧)</t>
  </si>
  <si>
    <t>住宅用地</t>
  </si>
  <si>
    <t>DJY03(252/211):2013-86</t>
  </si>
  <si>
    <t>其他普通商品住房用地</t>
  </si>
  <si>
    <t>大于1并且小于或等于1.2</t>
  </si>
  <si>
    <t>2013-04-12</t>
  </si>
  <si>
    <t>2013-05-09</t>
  </si>
  <si>
    <t>四川弘明置业有限公司</t>
  </si>
  <si>
    <t>70年</t>
  </si>
  <si>
    <t>都江堰市大观镇丽江村二组(成青快速路南侧、S106线路东侧)</t>
  </si>
  <si>
    <t>DJY04(252/211):2013-87</t>
  </si>
  <si>
    <t>都江堰市中兴镇沿江村9、10组,新益村13组</t>
  </si>
  <si>
    <t>DJY33(252/211):2012-299</t>
  </si>
  <si>
    <t>城镇混合住宅用地商业用地</t>
  </si>
  <si>
    <t>大于1并且小于或等于1.1</t>
  </si>
  <si>
    <t>2012-12-14</t>
  </si>
  <si>
    <t>2013-01-08</t>
  </si>
  <si>
    <t>成都建工集团旅游有限公司</t>
  </si>
  <si>
    <t>70年40年</t>
  </si>
  <si>
    <t>都江堰市幸福镇永丰村三、四组(永丰路西侧,廖家桥路西侧)</t>
  </si>
  <si>
    <t>DJY25(252/211):2012-145</t>
  </si>
  <si>
    <t>大于1并且小于或等于2.3</t>
  </si>
  <si>
    <t>中铁八局集团建筑工程有限公司</t>
  </si>
  <si>
    <t>都江堰市中兴镇沿江村9组(新S106线东侧,国道106线南侧)</t>
  </si>
  <si>
    <t>DJY32(252/211):2012-298</t>
  </si>
  <si>
    <t>都江堰市青城山镇芒城村1、2、3、8、10组(聚青路西侧,新S106线南侧)</t>
  </si>
  <si>
    <t>DJY29(211/252):2012-212</t>
  </si>
  <si>
    <t>商业用地城镇混合住宅用地</t>
  </si>
  <si>
    <t>小于或等于0.8</t>
  </si>
  <si>
    <t>2012-12-04</t>
  </si>
  <si>
    <t>都江堰市中盛宝信置业有限公司</t>
  </si>
  <si>
    <t>商业40年住宅70年</t>
  </si>
  <si>
    <t>都江堰市滨江街道勤俭村1、4、5组(天府大道西侧,2.5环路东侧)</t>
  </si>
  <si>
    <t>DJY24(211/252):2012-143</t>
  </si>
  <si>
    <t>3.3≤容积率≤4.0</t>
  </si>
  <si>
    <t>2012-09-25</t>
  </si>
  <si>
    <t>成都奥成置业有限责任公司</t>
  </si>
  <si>
    <t>都江堰市滨江街道安顺村2、3组(天府大道西侧,二环路南侧)</t>
  </si>
  <si>
    <t>DJY23(245/252):2012-141</t>
  </si>
  <si>
    <t>部分医疗卫生用地,部分为居住用地,居住用地占总用地比例的30%</t>
  </si>
  <si>
    <t>综合容积率≤3.5,居住用地容积率须＞1.0</t>
  </si>
  <si>
    <t>2012-09-19</t>
  </si>
  <si>
    <t>四川益生智同投资管理有限公司</t>
  </si>
  <si>
    <t>医疗卫生用地50年、住宅70年</t>
  </si>
  <si>
    <t>都江堰市灌口镇银杏社区银杏路旁(银杏路西侧,蒲阳路东侧)</t>
  </si>
  <si>
    <t>DJY16(252):2012-116</t>
  </si>
  <si>
    <t>1.0＜容积率≤1.6</t>
  </si>
  <si>
    <t>2012-08-21</t>
  </si>
  <si>
    <t>四川新力源建设工程有限公司*四川亿蜀商贸有限公司</t>
  </si>
  <si>
    <t>都江堰市蒲阳镇双槐村3、4组(二环路西侧、蒲阳路南侧)</t>
  </si>
  <si>
    <t>DJY11(252/211):2012-103</t>
  </si>
  <si>
    <t>居住用地兼容商业用地(兼容比例不低于20%)</t>
  </si>
  <si>
    <t>1.0＜容积率≤3.5</t>
  </si>
  <si>
    <t>2012-08-14</t>
  </si>
  <si>
    <t>自然人</t>
  </si>
  <si>
    <t>商业40年,住宅70年</t>
  </si>
  <si>
    <t>都江堰市玉堂镇永康村6、7组(都汶高速北侧,S大道南侧)</t>
  </si>
  <si>
    <t>DJY09(252/211):2012-98</t>
  </si>
  <si>
    <t>2012-07-20</t>
  </si>
  <si>
    <t>都江堰市中信投资有限公司</t>
  </si>
  <si>
    <t>DJY10(252/211):2012-99</t>
  </si>
  <si>
    <t>都江堰市中兴镇沿江村5组(新S106线以西,聚青线路以东)</t>
  </si>
  <si>
    <t>DJY05(252/211):2012-66</t>
  </si>
  <si>
    <t>2012-06-27</t>
  </si>
  <si>
    <t>都江堰市中兴镇沿江村4、5、7组(新S106线以西,聚青线路以东)</t>
  </si>
  <si>
    <t>DJY06(252/211):2012-67</t>
  </si>
  <si>
    <t>都江堰市青城山镇芒城村1组(聚青路西侧,新S106线南侧)</t>
  </si>
  <si>
    <t>DJY04(211/252):2012-42</t>
  </si>
  <si>
    <t>居住:1.0＜容积率≤1.1,商业≤0.8</t>
  </si>
  <si>
    <t>2012-05-25</t>
  </si>
  <si>
    <t>都江堰中盛宝信置业有限公司</t>
  </si>
  <si>
    <t>都江堰市中兴镇新益村7、8组地块</t>
  </si>
  <si>
    <t>都江堰市中兴镇新益村7、8组</t>
  </si>
  <si>
    <t>DJY02(211/252):2012-8</t>
  </si>
  <si>
    <t>商住用地(商业≥51%,居住≤49%)</t>
  </si>
  <si>
    <t>商业:容积率≤0.8,居住:1.0＜容积率≤1.1</t>
  </si>
  <si>
    <t>2012-02-17</t>
  </si>
  <si>
    <t>商业用地城镇混合住宅用地商业40年住宅70年</t>
  </si>
  <si>
    <t>都江堰市中兴镇新益村5、7、8组地块</t>
  </si>
  <si>
    <t>都江堰市中兴镇新益村5、7、8组</t>
  </si>
  <si>
    <t>DJY03(211/252):2012-9</t>
  </si>
  <si>
    <t>都江堰市中兴镇新益村1、5、7、8组地块</t>
  </si>
  <si>
    <t>都江堰市中兴镇新益村1、5、7、8组</t>
  </si>
  <si>
    <t>DJY01(211/252):2012-7</t>
  </si>
  <si>
    <t>都江堰市玉堂镇南华村1、2组,白马村3组,白玉村6组地块</t>
  </si>
  <si>
    <t>都江堰市玉堂镇南华村1、2组,白马村3组,白玉村6组</t>
  </si>
  <si>
    <t>DJY09(211/252):2011-173</t>
  </si>
  <si>
    <t>酒店用地、酒店配套住宅用地(酒店用地≥51%,酒店配套住宅用地≤49%)</t>
  </si>
  <si>
    <t>酒店用地:容积率≤0.6;酒店配套住宅用地:1.0＜容积率≤1.1</t>
  </si>
  <si>
    <t>2012-01-12</t>
  </si>
  <si>
    <t>四川都江堰国际大酒店有限公司、都江堰市银海房地产开发有限公司</t>
  </si>
  <si>
    <t>地块都江堰市灌口镇平义村五组</t>
  </si>
  <si>
    <t>都江堰市灌口镇平义村五组</t>
  </si>
  <si>
    <t>DYJ06(252):2011-155</t>
  </si>
  <si>
    <t>1.0＜容积率≤1.8</t>
  </si>
  <si>
    <t>2011-12-27</t>
  </si>
  <si>
    <t>四川省菱洁实业有限责任公司</t>
  </si>
  <si>
    <t>住宅70年</t>
  </si>
  <si>
    <t>都江堰市蒲阳镇上游村6组地块</t>
  </si>
  <si>
    <t>都江堰市蒲阳镇上游村6组</t>
  </si>
  <si>
    <t>DJY05(252/211):2011-154</t>
  </si>
  <si>
    <t>商住混合用地(比例不受限制)</t>
  </si>
  <si>
    <t>都江堰新城建设投资有限公司</t>
  </si>
  <si>
    <t>都江堰市蒲阳镇双槐村7组地块</t>
  </si>
  <si>
    <t>都江堰市蒲阳镇双槐村7组</t>
  </si>
  <si>
    <t>DJY04(252):2011-153</t>
  </si>
  <si>
    <t>1.0＜容积率≤3.0</t>
  </si>
  <si>
    <t>青城山镇新益村、沿江村地块</t>
  </si>
  <si>
    <t>青城山镇新益村、沿江村</t>
  </si>
  <si>
    <t>JY-10-033</t>
  </si>
  <si>
    <t>＜0.6</t>
  </si>
  <si>
    <t>2010-11-10</t>
  </si>
  <si>
    <t>中国水电建设集团房地产开发有限公司</t>
  </si>
  <si>
    <t>JY-10-031</t>
  </si>
  <si>
    <t>滨江街道办勤俭村五、六组地块</t>
  </si>
  <si>
    <t>滨江街道办勤俭村五、六组</t>
  </si>
  <si>
    <t>JY-10-030</t>
  </si>
  <si>
    <t>＜2</t>
  </si>
  <si>
    <t>成都金瑞通实业股份有限公司</t>
  </si>
  <si>
    <t>青城山镇石桥村地块</t>
  </si>
  <si>
    <t>青城山镇石桥村</t>
  </si>
  <si>
    <t>JY-10-028</t>
  </si>
  <si>
    <t>＜0.45</t>
  </si>
  <si>
    <t>成都贯中房地产开发有限公司</t>
  </si>
  <si>
    <t>玉堂镇新生村地块</t>
  </si>
  <si>
    <t>玉堂镇新生村</t>
  </si>
  <si>
    <t>JY-10-027</t>
  </si>
  <si>
    <t>商业/办公用地</t>
  </si>
  <si>
    <t>DJY2018-01(0507)</t>
  </si>
  <si>
    <t>商业用地(仅用于修建学校)</t>
  </si>
  <si>
    <t>≤0.8</t>
  </si>
  <si>
    <t>2018-04-18</t>
  </si>
  <si>
    <t>成都金万汇教育管理有限责任公司</t>
  </si>
  <si>
    <t>其他商服用地40年</t>
  </si>
  <si>
    <t>DJY2017-27(05)</t>
  </si>
  <si>
    <t>商服用地</t>
  </si>
  <si>
    <t>容积率≤4.0</t>
  </si>
  <si>
    <t>商服用地40年</t>
  </si>
  <si>
    <t>都江堰市灌口街道文庙社区</t>
  </si>
  <si>
    <t>DJY2017-01(213)</t>
  </si>
  <si>
    <t>旅游服务业用地</t>
  </si>
  <si>
    <t>≤1.0</t>
  </si>
  <si>
    <t>2017-07-13</t>
  </si>
  <si>
    <t>成都智钰实业有限公司</t>
  </si>
  <si>
    <t>40年</t>
  </si>
  <si>
    <t>都江堰市青城山镇青景社区</t>
  </si>
  <si>
    <t>DJY2016-32(213)</t>
  </si>
  <si>
    <t>餐饮旅馆业用地</t>
  </si>
  <si>
    <t>≤0.9</t>
  </si>
  <si>
    <t>2017-04-10</t>
  </si>
  <si>
    <t>成都泰合仁华大酒店管理有限公司</t>
  </si>
  <si>
    <t>DJY2016-33(213)</t>
  </si>
  <si>
    <t>2017-01-19</t>
  </si>
  <si>
    <t>都江堰市玉堂镇永固社区</t>
  </si>
  <si>
    <t>DJY2016-26(214)</t>
  </si>
  <si>
    <t>其他商服用地</t>
  </si>
  <si>
    <t>≤1.8</t>
  </si>
  <si>
    <t>2016-11-08</t>
  </si>
  <si>
    <t>商业40年</t>
  </si>
  <si>
    <t>都江堰市玉堂镇宝瓶社区、永固社区、中兴镇永胜社区</t>
  </si>
  <si>
    <t>DJY2016-25(214)</t>
  </si>
  <si>
    <t>≤0.4</t>
  </si>
  <si>
    <t>都江堰市玉堂镇永康社区、宝瓶社区</t>
  </si>
  <si>
    <t>DJY2016-23(211)</t>
  </si>
  <si>
    <t>商业用地</t>
  </si>
  <si>
    <t>都江堰市玉堂镇永康社区、永固社区</t>
  </si>
  <si>
    <t>DJY2016-24(211/214)</t>
  </si>
  <si>
    <t>商业用地、其他商服用地</t>
  </si>
  <si>
    <t>≤0.7</t>
  </si>
  <si>
    <t>DJY2016-20(211)</t>
  </si>
  <si>
    <t>≤1</t>
  </si>
  <si>
    <t>都江堰市玉堂镇永康社区2、3、4组</t>
  </si>
  <si>
    <t>DJY2016-19(211)</t>
  </si>
  <si>
    <t>都江堰市永丰街道永丰社区</t>
  </si>
  <si>
    <t>DJY2016-27(214)</t>
  </si>
  <si>
    <t>≤2</t>
  </si>
  <si>
    <t>2016-07-25</t>
  </si>
  <si>
    <t>成都嘉祥盛业教育咨询有限公司</t>
  </si>
  <si>
    <t>DJY2016-04(211)</t>
  </si>
  <si>
    <t>2016-05-19</t>
  </si>
  <si>
    <t>都江堰市领好酒店管理有限公司</t>
  </si>
  <si>
    <t>都江堰市青城山镇赤城社区、青田社区</t>
  </si>
  <si>
    <t>DJY2016-03(211)</t>
  </si>
  <si>
    <t>2016-05-05</t>
  </si>
  <si>
    <t>都江堰市同心置业发展有限公司</t>
  </si>
  <si>
    <t>都江堰市青城山镇赤城社区、青田社区、五里社区</t>
  </si>
  <si>
    <t>DJY2016-02(211)</t>
  </si>
  <si>
    <t>都江堰市幸福街道莲花社区6组</t>
  </si>
  <si>
    <t>DJY2016-01(211)</t>
  </si>
  <si>
    <t>2016-03-24</t>
  </si>
  <si>
    <t>成都茂鑫置业有限公司</t>
  </si>
  <si>
    <t>都江堰市玉堂镇石牛社区</t>
  </si>
  <si>
    <t>DJY2015-37(211)</t>
  </si>
  <si>
    <t>2015-12-08</t>
  </si>
  <si>
    <t>都江堰欣瑞市场经营管理有限公司</t>
  </si>
  <si>
    <t>DJY2015-12(211)</t>
  </si>
  <si>
    <t>≤1.2</t>
  </si>
  <si>
    <t>商业用地40年</t>
  </si>
  <si>
    <t>都江堰市玉堂镇三台社区、白玉社区</t>
  </si>
  <si>
    <t>DJY2015-11(214)</t>
  </si>
  <si>
    <t>≤0.5</t>
  </si>
  <si>
    <t>2015-08-05</t>
  </si>
  <si>
    <t>DJY2015-10(211/214)</t>
  </si>
  <si>
    <t>DJY2015-11(211/214)</t>
  </si>
  <si>
    <t>钢混</t>
  </si>
  <si>
    <t>按租金收入计税</t>
  </si>
  <si>
    <t>土地（套用方法）</t>
  </si>
  <si>
    <t>四川省成都市都江堰市</t>
    <phoneticPr fontId="7" type="noConversion"/>
  </si>
  <si>
    <t>层数</t>
  </si>
  <si>
    <t>备注</t>
  </si>
  <si>
    <t>栋号</t>
  </si>
  <si>
    <t>地下</t>
  </si>
  <si>
    <t>酒店</t>
  </si>
  <si>
    <t>结构</t>
  </si>
  <si>
    <t>建筑屋脊高度（m)</t>
  </si>
  <si>
    <t>单栋总建筑面积(㎡）</t>
  </si>
  <si>
    <t>单栋地上计容面积(㎡）</t>
  </si>
  <si>
    <t>单栋地上不计容面积(㎡）</t>
  </si>
  <si>
    <t>单栋地上计入容积率不计入建筑面积(㎡）</t>
  </si>
  <si>
    <t>地下总建筑面积(㎡）</t>
  </si>
  <si>
    <t>单栋办公建筑面积(㎡）</t>
    <phoneticPr fontId="4" type="noConversion"/>
  </si>
  <si>
    <t>单栋商业建筑面积(㎡）</t>
    <phoneticPr fontId="4" type="noConversion"/>
  </si>
  <si>
    <t>地下室</t>
  </si>
  <si>
    <t>单栋酒店建筑面积(㎡）</t>
    <phoneticPr fontId="4" type="noConversion"/>
  </si>
  <si>
    <t>机动车停车位面积(㎡）</t>
  </si>
  <si>
    <t>非机动车停车位面积(㎡）</t>
  </si>
  <si>
    <t>设备用房(㎡）</t>
    <phoneticPr fontId="4" type="noConversion"/>
  </si>
  <si>
    <t>办公后勤(㎡）</t>
    <phoneticPr fontId="4" type="noConversion"/>
  </si>
  <si>
    <t>酒店(㎡）</t>
    <phoneticPr fontId="4" type="noConversion"/>
  </si>
  <si>
    <t>消防控制室(㎡）</t>
  </si>
  <si>
    <t>物管用房(㎡）</t>
  </si>
  <si>
    <t>垃圾用房(㎡）</t>
  </si>
  <si>
    <t>消防水池(㎡）</t>
  </si>
  <si>
    <t>消防泵房(㎡）</t>
  </si>
  <si>
    <t>生活水泵(㎡）</t>
  </si>
  <si>
    <t>回水机房(㎡）</t>
  </si>
  <si>
    <t>变配电房(㎡）</t>
  </si>
  <si>
    <t>柴油发电机房用房(㎡）</t>
  </si>
  <si>
    <t>1号楼临河商业</t>
    <phoneticPr fontId="4" type="noConversion"/>
  </si>
  <si>
    <t>B2号楼</t>
    <phoneticPr fontId="4" type="noConversion"/>
  </si>
  <si>
    <t>B3号楼</t>
    <phoneticPr fontId="4" type="noConversion"/>
  </si>
  <si>
    <t>B4号楼</t>
    <phoneticPr fontId="4" type="noConversion"/>
  </si>
  <si>
    <t>B5号楼</t>
    <phoneticPr fontId="4" type="noConversion"/>
  </si>
  <si>
    <t>B6-1号楼</t>
    <phoneticPr fontId="4" type="noConversion"/>
  </si>
  <si>
    <t>B6-2号楼</t>
    <phoneticPr fontId="4" type="noConversion"/>
  </si>
  <si>
    <t>B7号楼</t>
    <phoneticPr fontId="4" type="noConversion"/>
  </si>
  <si>
    <t>B8号楼</t>
    <phoneticPr fontId="4" type="noConversion"/>
  </si>
  <si>
    <t>B9号楼</t>
    <phoneticPr fontId="4" type="noConversion"/>
  </si>
  <si>
    <t>B10号楼</t>
    <phoneticPr fontId="4" type="noConversion"/>
  </si>
  <si>
    <t>B11号楼</t>
    <phoneticPr fontId="4" type="noConversion"/>
  </si>
  <si>
    <t>B12号楼</t>
    <phoneticPr fontId="4" type="noConversion"/>
  </si>
  <si>
    <t>B13号楼</t>
    <phoneticPr fontId="4" type="noConversion"/>
  </si>
  <si>
    <t>B14号楼</t>
    <phoneticPr fontId="4" type="noConversion"/>
  </si>
  <si>
    <t>B15号楼</t>
    <phoneticPr fontId="4" type="noConversion"/>
  </si>
  <si>
    <t>B16号楼</t>
    <phoneticPr fontId="4" type="noConversion"/>
  </si>
  <si>
    <t>B17号楼</t>
    <phoneticPr fontId="4" type="noConversion"/>
  </si>
  <si>
    <t>B18号楼</t>
    <phoneticPr fontId="4" type="noConversion"/>
  </si>
  <si>
    <t>B19号楼</t>
    <phoneticPr fontId="4" type="noConversion"/>
  </si>
  <si>
    <t>B20号楼</t>
    <phoneticPr fontId="4" type="noConversion"/>
  </si>
  <si>
    <t>B21号楼</t>
    <phoneticPr fontId="4" type="noConversion"/>
  </si>
  <si>
    <t>B22号楼</t>
    <phoneticPr fontId="4" type="noConversion"/>
  </si>
  <si>
    <t>B23号楼</t>
    <phoneticPr fontId="4" type="noConversion"/>
  </si>
  <si>
    <t>B24号楼</t>
    <phoneticPr fontId="4" type="noConversion"/>
  </si>
  <si>
    <t>B25号楼</t>
    <phoneticPr fontId="4" type="noConversion"/>
  </si>
  <si>
    <t>B26号楼</t>
    <phoneticPr fontId="4" type="noConversion"/>
  </si>
  <si>
    <t>30#</t>
  </si>
  <si>
    <t>31#</t>
  </si>
  <si>
    <t>1号地下室</t>
    <phoneticPr fontId="4" type="noConversion"/>
  </si>
  <si>
    <t>2号地下室</t>
    <phoneticPr fontId="4" type="noConversion"/>
  </si>
  <si>
    <t>3号地下室</t>
    <phoneticPr fontId="4" type="noConversion"/>
  </si>
  <si>
    <t>门卫室</t>
  </si>
  <si>
    <t>公共厕所</t>
  </si>
  <si>
    <t>小型垃圾压缩站</t>
  </si>
  <si>
    <t>地下室出地面楼梯间</t>
  </si>
  <si>
    <t>梦享·青城项目一期综合经济技术指标</t>
  </si>
  <si>
    <t>一、</t>
  </si>
  <si>
    <t>规划建设净用地面积(参与容积率和建筑密度计算)</t>
  </si>
  <si>
    <t>二、</t>
  </si>
  <si>
    <t>规划总建筑面积</t>
  </si>
  <si>
    <t>(一)</t>
  </si>
  <si>
    <t>地上建筑面积</t>
  </si>
  <si>
    <t>地上计入容积率的建筑面积</t>
  </si>
  <si>
    <t>（1）</t>
  </si>
  <si>
    <t>占计容建筑面积的比例</t>
  </si>
  <si>
    <t>（2）</t>
  </si>
  <si>
    <t>①</t>
  </si>
  <si>
    <t>商业用房</t>
  </si>
  <si>
    <t>②</t>
  </si>
  <si>
    <t>酒店用房</t>
  </si>
  <si>
    <t>客房数</t>
  </si>
  <si>
    <t>③</t>
  </si>
  <si>
    <t>写字楼（办公）建筑面积</t>
  </si>
  <si>
    <t>④</t>
  </si>
  <si>
    <t>建设项目配套设施建筑面积</t>
  </si>
  <si>
    <t>物管用房 (含不小于30 ㎡业主委员会活动室)</t>
  </si>
  <si>
    <t>C</t>
    <phoneticPr fontId="4" type="noConversion"/>
  </si>
  <si>
    <t>公厕</t>
    <phoneticPr fontId="4" type="noConversion"/>
  </si>
  <si>
    <t>地上不计入容积率的建筑面积</t>
  </si>
  <si>
    <t>(1)</t>
  </si>
  <si>
    <t>首层架空部分</t>
  </si>
  <si>
    <t>保温层面积</t>
  </si>
  <si>
    <t>(二)</t>
  </si>
  <si>
    <t>地下（含半地下）室
建筑面积及层数</t>
  </si>
  <si>
    <t>地下机动车库</t>
  </si>
  <si>
    <t>地下非机动车库</t>
  </si>
  <si>
    <t>建设项目配套设施</t>
  </si>
  <si>
    <t>物管用房</t>
  </si>
  <si>
    <t>垃圾用房</t>
  </si>
  <si>
    <t>设备用房</t>
  </si>
  <si>
    <t>D</t>
    <phoneticPr fontId="4" type="noConversion"/>
  </si>
  <si>
    <t>办公后勤用房</t>
    <phoneticPr fontId="4" type="noConversion"/>
  </si>
  <si>
    <t>E</t>
    <phoneticPr fontId="4" type="noConversion"/>
  </si>
  <si>
    <t>消防控制室</t>
  </si>
  <si>
    <t>三、</t>
  </si>
  <si>
    <t>总容积率</t>
  </si>
  <si>
    <t>四、</t>
  </si>
  <si>
    <t>基底面积</t>
  </si>
  <si>
    <t>建筑基底总面积</t>
  </si>
  <si>
    <t>五、</t>
  </si>
  <si>
    <t>建筑密度</t>
  </si>
  <si>
    <t>总建筑密度</t>
  </si>
  <si>
    <t>六、</t>
  </si>
  <si>
    <t>总绿地面积</t>
  </si>
  <si>
    <t>集中绿地面积</t>
  </si>
  <si>
    <t>其中</t>
  </si>
  <si>
    <t>临街（河道、广场等城市公共空间）集中绿地面积</t>
  </si>
  <si>
    <t>七、</t>
  </si>
  <si>
    <t>绿地率</t>
  </si>
  <si>
    <t>八、</t>
  </si>
  <si>
    <t>机动车位</t>
  </si>
  <si>
    <t>地上停车位总数</t>
  </si>
  <si>
    <t>其
中</t>
  </si>
  <si>
    <t>1.室外地面停车位</t>
  </si>
  <si>
    <t>2.停车库内停车位</t>
  </si>
  <si>
    <t>3.室外地面停车位占总停车位的比例</t>
  </si>
  <si>
    <t>停
车
配
建
明
细</t>
  </si>
  <si>
    <t>1.住宅停车位</t>
  </si>
  <si>
    <t>2.非住宅停车位</t>
  </si>
  <si>
    <t>（1）商业停车位</t>
  </si>
  <si>
    <t>（2）办公停车位</t>
  </si>
  <si>
    <t>（2）酒店停车位</t>
  </si>
  <si>
    <t>（3）其他非住宅停车位</t>
  </si>
  <si>
    <t>地下停车位总数</t>
  </si>
  <si>
    <t>住宅停车位</t>
  </si>
  <si>
    <t>非住宅停车位</t>
  </si>
  <si>
    <t>商业停车位</t>
  </si>
  <si>
    <t>酒店停车位</t>
  </si>
  <si>
    <t>办公停车位</t>
  </si>
  <si>
    <t>d</t>
  </si>
  <si>
    <t>其他非住宅停车位</t>
  </si>
  <si>
    <t>九、</t>
  </si>
  <si>
    <t>非机动车位总量</t>
  </si>
  <si>
    <t>地下停车位总量</t>
  </si>
  <si>
    <t>十、</t>
    <phoneticPr fontId="4" type="noConversion"/>
  </si>
  <si>
    <t>日照分析</t>
  </si>
  <si>
    <t>日照分析的依据及标准</t>
  </si>
  <si>
    <t>成都市建筑日照分析管理办法</t>
  </si>
  <si>
    <t>日照分析所使用的分析软件</t>
  </si>
  <si>
    <t>天正日照分析软件Tsun8.0</t>
    <phoneticPr fontId="4" type="noConversion"/>
  </si>
  <si>
    <t>日照分析结论</t>
  </si>
  <si>
    <t>拟建建筑自身以及对周边用地、周边已建建筑的日照影响满足《成都市规划管理技术规定》（2017）的要求。</t>
    <phoneticPr fontId="4" type="noConversion"/>
  </si>
  <si>
    <t>设计依据：（一）本地块规划条件通知书</t>
    <phoneticPr fontId="4" type="noConversion"/>
  </si>
  <si>
    <t>（二）成都市规划管理技术规定（2017）</t>
    <phoneticPr fontId="4" type="noConversion"/>
  </si>
  <si>
    <t>独立商业</t>
  </si>
  <si>
    <t>办公楼</t>
  </si>
  <si>
    <t>酒店</t>
    <phoneticPr fontId="8" type="noConversion"/>
  </si>
  <si>
    <t>公寓</t>
  </si>
  <si>
    <t>公寓</t>
    <phoneticPr fontId="8" type="noConversion"/>
  </si>
  <si>
    <t>住宅</t>
    <phoneticPr fontId="8" type="noConversion"/>
  </si>
  <si>
    <t>项目全成本测算表</t>
    <phoneticPr fontId="4" type="noConversion"/>
  </si>
  <si>
    <t>项目名称:梦享.青城项目</t>
    <phoneticPr fontId="4" type="noConversion"/>
  </si>
  <si>
    <t>公司名称：成都民生喜神投资有限公司</t>
    <phoneticPr fontId="4" type="noConversion"/>
  </si>
  <si>
    <t>编制日期：2018年2月26日</t>
    <phoneticPr fontId="4" type="noConversion"/>
  </si>
  <si>
    <t>科目</t>
  </si>
  <si>
    <t>明细内容</t>
    <phoneticPr fontId="4" type="noConversion"/>
  </si>
  <si>
    <t>计量单位</t>
  </si>
  <si>
    <t>数  量</t>
  </si>
  <si>
    <t>单  价(元）</t>
    <phoneticPr fontId="4" type="noConversion"/>
  </si>
  <si>
    <t>合  价（万元）</t>
    <phoneticPr fontId="4" type="noConversion"/>
  </si>
  <si>
    <t>计算方法或依据文件</t>
    <phoneticPr fontId="4" type="noConversion"/>
  </si>
  <si>
    <t xml:space="preserve">
总建面单方造价
（元/㎡）</t>
    <phoneticPr fontId="4" type="noConversion"/>
  </si>
  <si>
    <t xml:space="preserve">
可售面积单方造价
（元/㎡）</t>
    <phoneticPr fontId="4" type="noConversion"/>
  </si>
  <si>
    <t>计容面积单方价格（元/㎡）</t>
    <phoneticPr fontId="4" type="noConversion"/>
  </si>
  <si>
    <t>审核部门</t>
    <phoneticPr fontId="4" type="noConversion"/>
  </si>
  <si>
    <t>评审会意见</t>
    <phoneticPr fontId="4" type="noConversion"/>
  </si>
  <si>
    <t>全部投资
（总投资额+税金）</t>
  </si>
  <si>
    <t>一</t>
  </si>
  <si>
    <t>总投资额
（不含税金）</t>
    <phoneticPr fontId="4" type="noConversion"/>
  </si>
  <si>
    <t>土地费</t>
  </si>
  <si>
    <t>公司取得土地应承担的相应成本</t>
    <phoneticPr fontId="4" type="noConversion"/>
  </si>
  <si>
    <t>根据销售物业的用地面积占比计算(0.89)</t>
    <phoneticPr fontId="4" type="noConversion"/>
  </si>
  <si>
    <t>投资管理部</t>
    <phoneticPr fontId="4" type="noConversion"/>
  </si>
  <si>
    <t>政府土地招拍挂或征地费用</t>
  </si>
  <si>
    <t>土地出让金或政府地价</t>
    <phoneticPr fontId="4" type="noConversion"/>
  </si>
  <si>
    <t>项</t>
    <phoneticPr fontId="4" type="noConversion"/>
  </si>
  <si>
    <t>土地相关税费</t>
    <phoneticPr fontId="4" type="noConversion"/>
  </si>
  <si>
    <t>土地交易环节交纳的契税、土地闲置费、耕地占用税，土地变更用途和超面积补交的地价和相关税费（注：土地使用税不在本项目列支）；</t>
    <phoneticPr fontId="4" type="noConversion"/>
  </si>
  <si>
    <t>包括出让服务费399.94万，用地指标价款11075.25万，契税1199.82万，权属调查费2.47万</t>
    <phoneticPr fontId="4" type="noConversion"/>
  </si>
  <si>
    <t>市政配套费</t>
    <phoneticPr fontId="4" type="noConversion"/>
  </si>
  <si>
    <t xml:space="preserve"> 包括大市政配套费，也包括因土地出让合同的约定，需要替政府做一些市政工程而产生的费用，如红线外道路、水、电、气、通讯等建造费、高压线迁移、管线铺设费、接口补偿费、小区外公共道路修建、公共绿化、开山填海费用等；</t>
    <phoneticPr fontId="4" type="noConversion"/>
  </si>
  <si>
    <t>1.3.1</t>
    <phoneticPr fontId="4" type="noConversion"/>
  </si>
  <si>
    <t>红线外道路、水、电、气费用</t>
  </si>
  <si>
    <t>原军产道路下军缆迁改960万（两条光缆每条350万由部队直接收取，另迁改施工费用考虑260万--部队指定位置、材料及施工方）</t>
    <phoneticPr fontId="4" type="noConversion"/>
  </si>
  <si>
    <t>1.3.2</t>
  </si>
  <si>
    <t>通讯建造费</t>
  </si>
  <si>
    <t>1.3.3</t>
  </si>
  <si>
    <t>管线（迁改）铺设费</t>
    <phoneticPr fontId="4" type="noConversion"/>
  </si>
  <si>
    <t>拆迁补偿费</t>
  </si>
  <si>
    <t>包括：1、地上附属物拆除费：工程建设场地上现存的并防碍施工的房屋，构筑物等的拆除，2、补偿费：土地补偿费、农作物青苗补偿费、地上附属物补偿费、危房补偿费、私有树木补偿费、园林部门所有树木赔偿费、被拆除房屋补偿费以及拆迁安置房费等。</t>
    <phoneticPr fontId="4" type="noConversion"/>
  </si>
  <si>
    <t>1.4.1</t>
  </si>
  <si>
    <t>拆迁补偿净支出</t>
  </si>
  <si>
    <t>1.4.2</t>
  </si>
  <si>
    <t>安置及动迁支出</t>
  </si>
  <si>
    <t>1.4.3</t>
  </si>
  <si>
    <t>原地上建筑物损失</t>
  </si>
  <si>
    <t>项</t>
    <phoneticPr fontId="4" type="noConversion"/>
  </si>
  <si>
    <t>投资管理部</t>
    <phoneticPr fontId="4" type="noConversion"/>
  </si>
  <si>
    <t>1.4.4</t>
  </si>
  <si>
    <t>征地管理费</t>
  </si>
  <si>
    <t>合作款项(合作项目)</t>
    <phoneticPr fontId="4" type="noConversion"/>
  </si>
  <si>
    <t>补偿合作方地价、合作项目建房转入分给合作方的房屋成本和相应税金等</t>
    <phoneticPr fontId="4" type="noConversion"/>
  </si>
  <si>
    <t>前期已发生的土地费用--支付给北京春光</t>
    <phoneticPr fontId="4" type="noConversion"/>
  </si>
  <si>
    <t>其他支出</t>
    <phoneticPr fontId="4" type="noConversion"/>
  </si>
  <si>
    <t>其他向政府部门交纳的费用等，包括：1、获取土地时支出的方案设计费、土地评估费、投标费用等；3、代征道路及代征绿地；4、其他。</t>
    <phoneticPr fontId="4" type="noConversion"/>
  </si>
  <si>
    <t>前期工程费</t>
  </si>
  <si>
    <t>地质勘测费</t>
    <phoneticPr fontId="4" type="noConversion"/>
  </si>
  <si>
    <t>2.1.1</t>
    <phoneticPr fontId="4" type="noConversion"/>
  </si>
  <si>
    <t>勘测费</t>
    <phoneticPr fontId="4" type="noConversion"/>
  </si>
  <si>
    <t>包括初勘、详勘等，1、勘察方案的设计和咨询及地形图费；2、勘察实施：水文、地质、文物和地基勘察费；</t>
    <phoneticPr fontId="4" type="noConversion"/>
  </si>
  <si>
    <t>㎡</t>
    <phoneticPr fontId="4" type="noConversion"/>
  </si>
  <si>
    <t>根据销售物业的建面计算</t>
    <phoneticPr fontId="4" type="noConversion"/>
  </si>
  <si>
    <t>工程管理中心</t>
    <phoneticPr fontId="4" type="noConversion"/>
  </si>
  <si>
    <t>2.1.2</t>
    <phoneticPr fontId="4" type="noConversion"/>
  </si>
  <si>
    <t>验线、复线、定线、放线</t>
    <phoneticPr fontId="4" type="noConversion"/>
  </si>
  <si>
    <t>宗地丈量测绘，定线放桩。</t>
    <phoneticPr fontId="4" type="noConversion"/>
  </si>
  <si>
    <t>栋</t>
    <phoneticPr fontId="4" type="noConversion"/>
  </si>
  <si>
    <t>有收费文件</t>
    <phoneticPr fontId="4" type="noConversion"/>
  </si>
  <si>
    <t>运营保障部</t>
    <phoneticPr fontId="4" type="noConversion"/>
  </si>
  <si>
    <t>2.1.3</t>
  </si>
  <si>
    <t>试桩工程费及检测费</t>
    <phoneticPr fontId="4" type="noConversion"/>
  </si>
  <si>
    <t>本项目不考虑桩基础</t>
    <phoneticPr fontId="4" type="noConversion"/>
  </si>
  <si>
    <t>工程管理中心</t>
  </si>
  <si>
    <t>2.1.4</t>
    <phoneticPr fontId="4" type="noConversion"/>
  </si>
  <si>
    <t>地形图策划和宗地策划</t>
    <phoneticPr fontId="4" type="noConversion"/>
  </si>
  <si>
    <t>销售物业的用地面积为基数</t>
    <phoneticPr fontId="4" type="noConversion"/>
  </si>
  <si>
    <t>2.1.5</t>
    <phoneticPr fontId="4" type="noConversion"/>
  </si>
  <si>
    <t>其他支出</t>
    <phoneticPr fontId="4" type="noConversion"/>
  </si>
  <si>
    <t>已发生的地勘测绘费</t>
    <phoneticPr fontId="4" type="noConversion"/>
  </si>
  <si>
    <t>规划设计费</t>
  </si>
  <si>
    <t>1、项目立项后的概念规划设计、单体设计、景观设计、室外工程设计、精装设计；2、设计变更、二次深化设计；3、制图、晒图费；4、方案咨询及评审费；5、其他设计费；</t>
    <phoneticPr fontId="4" type="noConversion"/>
  </si>
  <si>
    <t>设计管理中心</t>
    <phoneticPr fontId="4" type="noConversion"/>
  </si>
  <si>
    <t>2.2.1</t>
    <phoneticPr fontId="4" type="noConversion"/>
  </si>
  <si>
    <t>规划方案设计</t>
  </si>
  <si>
    <t>含规划、方案设计费；《规划意见书》要求附相关文件、图纸、模型制作费</t>
    <phoneticPr fontId="4" type="noConversion"/>
  </si>
  <si>
    <t>销售物业的总建面为基数</t>
    <phoneticPr fontId="4" type="noConversion"/>
  </si>
  <si>
    <t>2.2.2</t>
    <phoneticPr fontId="4" type="noConversion"/>
  </si>
  <si>
    <t>施工图设计</t>
  </si>
  <si>
    <t>含土建部分初设、扩初、施工图设计</t>
    <phoneticPr fontId="4" type="noConversion"/>
  </si>
  <si>
    <t>2.2.3</t>
    <phoneticPr fontId="4" type="noConversion"/>
  </si>
  <si>
    <t>景观绿化设计</t>
    <phoneticPr fontId="4" type="noConversion"/>
  </si>
  <si>
    <t>一般为施工图设计，大型重点项目包含方案设计</t>
    <phoneticPr fontId="4" type="noConversion"/>
  </si>
  <si>
    <t>销售物业的绿地面积为基数</t>
    <phoneticPr fontId="4" type="noConversion"/>
  </si>
  <si>
    <t>2.2.4</t>
    <phoneticPr fontId="4" type="noConversion"/>
  </si>
  <si>
    <t>人防工程设计费</t>
  </si>
  <si>
    <t>预估人防面积为基数</t>
    <phoneticPr fontId="4" type="noConversion"/>
  </si>
  <si>
    <t>2.2.5</t>
    <phoneticPr fontId="4" type="noConversion"/>
  </si>
  <si>
    <t>二次设计专项设计</t>
    <phoneticPr fontId="4" type="noConversion"/>
  </si>
  <si>
    <t>2.2.5.1</t>
    <phoneticPr fontId="4" type="noConversion"/>
  </si>
  <si>
    <t>给水工程设计费</t>
  </si>
  <si>
    <t>2.2.5.2</t>
    <phoneticPr fontId="4" type="noConversion"/>
  </si>
  <si>
    <t>污水处理再生利用工程设计</t>
    <phoneticPr fontId="4" type="noConversion"/>
  </si>
  <si>
    <t>若此设计费已包含在中水处理系统科目中，此处不单列</t>
    <phoneticPr fontId="4" type="noConversion"/>
  </si>
  <si>
    <t>2.2.5.3</t>
    <phoneticPr fontId="4" type="noConversion"/>
  </si>
  <si>
    <t>雨水收集利用工程设计</t>
    <phoneticPr fontId="4" type="noConversion"/>
  </si>
  <si>
    <t>2.2.5.4</t>
  </si>
  <si>
    <t>变配电工程设计</t>
    <phoneticPr fontId="4" type="noConversion"/>
  </si>
  <si>
    <t>1、临时设计；2、正式设计</t>
    <phoneticPr fontId="4" type="noConversion"/>
  </si>
  <si>
    <t>2.2.5.5</t>
  </si>
  <si>
    <t>其他专项设计</t>
    <phoneticPr fontId="4" type="noConversion"/>
  </si>
  <si>
    <t>智能化、燃气工程、灯光亮化、市政排水接口、精装设计及其它等，大型项目需考虑机电顾问、声学顾问、厨房顾问的费用</t>
    <phoneticPr fontId="4" type="noConversion"/>
  </si>
  <si>
    <t>设计管理中心</t>
  </si>
  <si>
    <t>2.2.5.5.1</t>
    <phoneticPr fontId="4" type="noConversion"/>
  </si>
  <si>
    <t>酒店专项设计</t>
    <phoneticPr fontId="4" type="noConversion"/>
  </si>
  <si>
    <t>2.2.5.5.2</t>
    <phoneticPr fontId="4" type="noConversion"/>
  </si>
  <si>
    <t>临河商业、道文化馆及公寓室内专项设计</t>
    <phoneticPr fontId="4" type="noConversion"/>
  </si>
  <si>
    <t>公寓拟通过样板房设计比选确定设计施工一体单位后完成方案设计、设计费含在施工费用内</t>
    <phoneticPr fontId="4" type="noConversion"/>
  </si>
  <si>
    <t>2.2.5.5.3</t>
    <phoneticPr fontId="4" type="noConversion"/>
  </si>
  <si>
    <t>水利专项设计</t>
    <phoneticPr fontId="4" type="noConversion"/>
  </si>
  <si>
    <t>2.2.5.5.4</t>
    <phoneticPr fontId="4" type="noConversion"/>
  </si>
  <si>
    <t>市政规划道路专项设计</t>
    <phoneticPr fontId="4" type="noConversion"/>
  </si>
  <si>
    <t>2.2.6</t>
    <phoneticPr fontId="4" type="noConversion"/>
  </si>
  <si>
    <t>房屋面积测绘</t>
    <phoneticPr fontId="4" type="noConversion"/>
  </si>
  <si>
    <t>包含超限、基坑、抗震、玻幕等</t>
    <phoneticPr fontId="4" type="noConversion"/>
  </si>
  <si>
    <t>2.2.7</t>
    <phoneticPr fontId="4" type="noConversion"/>
  </si>
  <si>
    <t>施工图审查费</t>
    <phoneticPr fontId="4" type="noConversion"/>
  </si>
  <si>
    <t>2.2.8</t>
    <phoneticPr fontId="4" type="noConversion"/>
  </si>
  <si>
    <t>其他设计费</t>
    <phoneticPr fontId="4" type="noConversion"/>
  </si>
  <si>
    <t>包括前期发生的勘察费及设计费等</t>
    <phoneticPr fontId="4" type="noConversion"/>
  </si>
  <si>
    <t>报批报建行政规费</t>
    <phoneticPr fontId="4" type="noConversion"/>
  </si>
  <si>
    <t>1、人防异地建设费、规划管理费、墙改及水泥基金、招投标管理费（含勘察、设计、施工、监理）、档案管理费、拆迁管理费、质量监督管理费、白蚁防治费、路口开设费、占道费等；2、支付给社会中介服务机构受聘为项目编制政府强制要求的各种报告而发生咨询费用：可研报告、环境评价报告、交通评价报告及水质咨询报告等；3、为取得设计市政要点而进行的管线咨询服务费等（目标口径包含的行政事业收费）；</t>
    <phoneticPr fontId="4" type="noConversion"/>
  </si>
  <si>
    <t>2.3.1</t>
  </si>
  <si>
    <t>城市基础设施配套费</t>
    <phoneticPr fontId="4" type="noConversion"/>
  </si>
  <si>
    <t>工程建设阶段产生的市政基础配套费</t>
    <phoneticPr fontId="4" type="noConversion"/>
  </si>
  <si>
    <t>2.3.2</t>
    <phoneticPr fontId="4" type="noConversion"/>
  </si>
  <si>
    <t>城市管网开口费</t>
    <phoneticPr fontId="4" type="noConversion"/>
  </si>
  <si>
    <t>㎡</t>
    <phoneticPr fontId="4" type="noConversion"/>
  </si>
  <si>
    <t>工程管理中心</t>
    <phoneticPr fontId="4" type="noConversion"/>
  </si>
  <si>
    <t>2.3.3</t>
  </si>
  <si>
    <t>路口开设费</t>
    <phoneticPr fontId="4" type="noConversion"/>
  </si>
  <si>
    <t>m</t>
    <phoneticPr fontId="4" type="noConversion"/>
  </si>
  <si>
    <t>2.3.4</t>
  </si>
  <si>
    <t>人防易地建设费</t>
  </si>
  <si>
    <t>根据项目实际情况，需取得人防批复。</t>
    <phoneticPr fontId="4" type="noConversion"/>
  </si>
  <si>
    <t>已考虑修建人防地下室</t>
    <phoneticPr fontId="4" type="noConversion"/>
  </si>
  <si>
    <t>2.3.5</t>
  </si>
  <si>
    <t>项目立项相关费用</t>
    <phoneticPr fontId="4" type="noConversion"/>
  </si>
  <si>
    <t>2.3.5.1</t>
    <phoneticPr fontId="4" type="noConversion"/>
  </si>
  <si>
    <t>节能评估</t>
  </si>
  <si>
    <t>2.3.5.2</t>
    <phoneticPr fontId="4" type="noConversion"/>
  </si>
  <si>
    <t>可行性研究</t>
    <phoneticPr fontId="4" type="noConversion"/>
  </si>
  <si>
    <t>2.3.6</t>
    <phoneticPr fontId="4" type="noConversion"/>
  </si>
  <si>
    <t>环境影响评价报告制作费</t>
    <phoneticPr fontId="4" type="noConversion"/>
  </si>
  <si>
    <t>含环评报告制作、专家评审、公示费至取得环评批复。</t>
    <phoneticPr fontId="4" type="noConversion"/>
  </si>
  <si>
    <t>2.3.7</t>
    <phoneticPr fontId="4" type="noConversion"/>
  </si>
  <si>
    <t>交通影响报告评价费</t>
    <phoneticPr fontId="4" type="noConversion"/>
  </si>
  <si>
    <t>含交评报告制作、专家评审费。</t>
    <phoneticPr fontId="4" type="noConversion"/>
  </si>
  <si>
    <t>2.3.8</t>
  </si>
  <si>
    <t>水土保持方案制作费</t>
    <phoneticPr fontId="4" type="noConversion"/>
  </si>
  <si>
    <t>含水土保持设施补偿费、公示费至取得批复</t>
    <phoneticPr fontId="4" type="noConversion"/>
  </si>
  <si>
    <t>2.3.9</t>
  </si>
  <si>
    <t>抗震审查费</t>
    <phoneticPr fontId="4" type="noConversion"/>
  </si>
  <si>
    <t>抗震设防专项审查，如无超限审查进行专家评审，一般无费用。</t>
    <phoneticPr fontId="4" type="noConversion"/>
  </si>
  <si>
    <t>2.3.10</t>
  </si>
  <si>
    <t>地震安全性评价</t>
    <phoneticPr fontId="4" type="noConversion"/>
  </si>
  <si>
    <t>一般项目无此费用，如有需特殊说明</t>
    <phoneticPr fontId="4" type="noConversion"/>
  </si>
  <si>
    <t>2.3.11</t>
  </si>
  <si>
    <t>白蚁防治费</t>
    <phoneticPr fontId="4" type="noConversion"/>
  </si>
  <si>
    <t>2.3.12</t>
  </si>
  <si>
    <t>拆迁管理费</t>
  </si>
  <si>
    <t>2.3.13</t>
  </si>
  <si>
    <t>报批报建行政规费其他支出</t>
    <phoneticPr fontId="4" type="noConversion"/>
  </si>
  <si>
    <t>2.3.14</t>
  </si>
  <si>
    <t>国土产权分户</t>
    <phoneticPr fontId="4" type="noConversion"/>
  </si>
  <si>
    <t>户</t>
    <phoneticPr fontId="4" type="noConversion"/>
  </si>
  <si>
    <t>商业约1614户，单价40元；住宅约1550户，单价26.5元</t>
    <phoneticPr fontId="4" type="noConversion"/>
  </si>
  <si>
    <t>2.3.15</t>
  </si>
  <si>
    <t>房屋产权分户</t>
    <phoneticPr fontId="4" type="noConversion"/>
  </si>
  <si>
    <t>商业约1614户，单价550元；住宅约1550户，单价80元</t>
    <phoneticPr fontId="4" type="noConversion"/>
  </si>
  <si>
    <t>2.3.16</t>
  </si>
  <si>
    <t>维修基金</t>
    <phoneticPr fontId="4" type="noConversion"/>
  </si>
  <si>
    <t>2.3.17</t>
  </si>
  <si>
    <t>用地红线图、道路红线图制作费；土地分期公证费；规划公示牌；消防培训；氡浓度检测；土地分期权属调查</t>
    <phoneticPr fontId="4" type="noConversion"/>
  </si>
  <si>
    <t>2.3.18</t>
  </si>
  <si>
    <t>行洪论证、水资源论证</t>
    <phoneticPr fontId="4" type="noConversion"/>
  </si>
  <si>
    <t>项</t>
    <phoneticPr fontId="4" type="noConversion"/>
  </si>
  <si>
    <t>工程管理中心</t>
    <phoneticPr fontId="4" type="noConversion"/>
  </si>
  <si>
    <t>2.3.19</t>
    <phoneticPr fontId="4" type="noConversion"/>
  </si>
  <si>
    <t>场地内管线盲探</t>
    <phoneticPr fontId="4" type="noConversion"/>
  </si>
  <si>
    <t>㎡</t>
    <phoneticPr fontId="4" type="noConversion"/>
  </si>
  <si>
    <t>销售物业的用地面积为基数</t>
    <phoneticPr fontId="4" type="noConversion"/>
  </si>
  <si>
    <t>三通一平费</t>
    <phoneticPr fontId="4" type="noConversion"/>
  </si>
  <si>
    <t>建设场地上的竖向土石方平衡，盈土现场多余土石方外运，亏土现场土方调入，场地平整，路口开设费、以及为施工而引入现场的给水、排水、供电、临时道路工程等所发生的费用，</t>
  </si>
  <si>
    <t>2.4.1</t>
  </si>
  <si>
    <t>临时用电</t>
  </si>
  <si>
    <t>建设单位修建、供施工用的临时用电管线铺设、改造、迁移、临时变压器安装及拆除费用。</t>
    <phoneticPr fontId="4" type="noConversion"/>
  </si>
  <si>
    <t>2.4.2</t>
  </si>
  <si>
    <t>临时用水</t>
  </si>
  <si>
    <t>建设单位修建、供施工用临时给排水设施建造、管线铺设、改造、迁移等费用。</t>
    <phoneticPr fontId="4" type="noConversion"/>
  </si>
  <si>
    <t>2.4.3</t>
  </si>
  <si>
    <t>土石方剥离\场地平整</t>
  </si>
  <si>
    <t>是指为使土地达到开发条件而产生的费用，包括基础开挖前的场地平整、旧房拆除等；建设场地上的竖向土石方平衡，盈土现场多余土石方外运，亏土现场土方调入，场地清运。</t>
    <phoneticPr fontId="4" type="noConversion"/>
  </si>
  <si>
    <t>2.4.4</t>
  </si>
  <si>
    <t>边坡支护</t>
    <phoneticPr fontId="4" type="noConversion"/>
  </si>
  <si>
    <t>高边坡支护</t>
    <phoneticPr fontId="4" type="noConversion"/>
  </si>
  <si>
    <t>2.4.5</t>
  </si>
  <si>
    <t>临时道路</t>
  </si>
  <si>
    <t>建设单位修建、供施工使用的临时道路建造费用。</t>
  </si>
  <si>
    <t>2.4.6</t>
  </si>
  <si>
    <t>铁路通讯电塔改线</t>
    <phoneticPr fontId="4" type="noConversion"/>
  </si>
  <si>
    <t>2.4.7</t>
  </si>
  <si>
    <t>电信电塔改造</t>
    <phoneticPr fontId="4" type="noConversion"/>
  </si>
  <si>
    <t>2.4.8</t>
  </si>
  <si>
    <t>水渠改造</t>
    <phoneticPr fontId="4" type="noConversion"/>
  </si>
  <si>
    <t>2.4.9</t>
  </si>
  <si>
    <t>临时设施费</t>
    <phoneticPr fontId="4" type="noConversion"/>
  </si>
  <si>
    <t>工地甲方临时办公室、临时场地占用费、临时借用空地租费、以及沿红线周围设置的临时围墙、围栏等设施的设计、建造、装饰等费用；工地监控摄像智能化系统工程费。临时设施内的资产，如空调、电视机、电脑、家具等不属于临时设施费。</t>
    <phoneticPr fontId="4" type="noConversion"/>
  </si>
  <si>
    <t>2.4.10</t>
  </si>
  <si>
    <t>三通一平费类其他费用（前期已发生）</t>
    <phoneticPr fontId="4" type="noConversion"/>
  </si>
  <si>
    <t>前期已发生的前期费用等</t>
    <phoneticPr fontId="4" type="noConversion"/>
  </si>
  <si>
    <t>其他费用</t>
    <phoneticPr fontId="4" type="noConversion"/>
  </si>
  <si>
    <t>包括挡光费、危房补偿鉴定费、危房补偿鉴定技术咨询费等。</t>
    <phoneticPr fontId="4" type="noConversion"/>
  </si>
  <si>
    <t>工程管理中心、运营保障部</t>
    <phoneticPr fontId="4" type="noConversion"/>
  </si>
  <si>
    <t>基础设施费</t>
  </si>
  <si>
    <t>指开发项目在开发过程中所发生的各项基础设施支出，主要包括开发项目内道路、供水、供电、供气、排污、排洪、通讯、照明等社区管网工程费和环境卫生、园林绿化等园林环境工程费。</t>
    <phoneticPr fontId="4" type="noConversion"/>
  </si>
  <si>
    <t>室外给排水系统费</t>
    <phoneticPr fontId="4" type="noConversion"/>
  </si>
  <si>
    <t>主要包括小区自来水给水管道、检查井、水泵房设备购置及安装等费用；(自来水公司施工范围)</t>
    <phoneticPr fontId="4" type="noConversion"/>
  </si>
  <si>
    <t>3.1.1A</t>
    <phoneticPr fontId="4" type="noConversion"/>
  </si>
  <si>
    <t>自来水系统（住宅）</t>
    <phoneticPr fontId="4" type="noConversion"/>
  </si>
  <si>
    <t>指红线内给水管网及所有室外消火栓，但不含小区内花木浇灌用水、洗车用水等。主要包括小区自来水给水管道、检查井、水泵房设备购置及安装、自来水远程抄表等费用；(自来水公司施工范围)，主给水管网有在地下室内敷设的，应计入此项费用内，不计入地下室工程费。包括：1、土方开挖及回填，2、管道敷设等；</t>
    <phoneticPr fontId="4" type="noConversion"/>
  </si>
  <si>
    <t>户</t>
    <phoneticPr fontId="4" type="noConversion"/>
  </si>
  <si>
    <t>工程管理中心</t>
    <phoneticPr fontId="4" type="noConversion"/>
  </si>
  <si>
    <t>3.1.1B</t>
    <phoneticPr fontId="4" type="noConversion"/>
  </si>
  <si>
    <t>自来水系统（商业）</t>
    <phoneticPr fontId="4" type="noConversion"/>
  </si>
  <si>
    <t>㎡</t>
    <phoneticPr fontId="4" type="noConversion"/>
  </si>
  <si>
    <t>每80㎡一个总表，每个表3360</t>
    <phoneticPr fontId="4" type="noConversion"/>
  </si>
  <si>
    <t>供水变频加压</t>
    <phoneticPr fontId="4" type="noConversion"/>
  </si>
  <si>
    <t>项</t>
    <phoneticPr fontId="4" type="noConversion"/>
  </si>
  <si>
    <t>3.1.2</t>
  </si>
  <si>
    <t>自来水远程抄表</t>
    <phoneticPr fontId="4" type="noConversion"/>
  </si>
  <si>
    <t>若此项费用已包含自来水系统科目（3.1.1）中，此处不单列</t>
    <phoneticPr fontId="4" type="noConversion"/>
  </si>
  <si>
    <t>3.1.3</t>
  </si>
  <si>
    <t>排水系统工程费</t>
    <phoneticPr fontId="4" type="noConversion"/>
  </si>
  <si>
    <t>1、红线内室外排水管网系统（含化粪池），包括雨（污）水排放、防洪等排水设施的建造、管线铺设费用(例如：散水沟/坡、雨水管/沟/井、污水管/沟/井、化粪池、防洪沟)；向排水公司缴纳的排污费，其中：含雨水、生活污水，环境排水，不含水景、泳池循环用水。包括：1、土方开挖及回填，2、检查井及管道敷设等；</t>
    <phoneticPr fontId="4" type="noConversion"/>
  </si>
  <si>
    <t>3.1.4</t>
  </si>
  <si>
    <t>雨水收集系统工程费</t>
    <phoneticPr fontId="4" type="noConversion"/>
  </si>
  <si>
    <t>3.1.5</t>
  </si>
  <si>
    <t>其他</t>
    <phoneticPr fontId="4" type="noConversion"/>
  </si>
  <si>
    <t>3.2A</t>
    <phoneticPr fontId="4" type="noConversion"/>
  </si>
  <si>
    <t>燃气系统费（含室内外工程）（住宅）</t>
    <phoneticPr fontId="4" type="noConversion"/>
  </si>
  <si>
    <t>指红线内室内外燃气管网敷设，主要包括煤气管道系统、调压站(含室内外工程)（煤气公司施工范围），含土方工程。</t>
    <phoneticPr fontId="4" type="noConversion"/>
  </si>
  <si>
    <t>3.2B</t>
    <phoneticPr fontId="4" type="noConversion"/>
  </si>
  <si>
    <t>燃气系统费（含室内外工程）（商业）</t>
    <phoneticPr fontId="4" type="noConversion"/>
  </si>
  <si>
    <t>3.4A</t>
    <phoneticPr fontId="4" type="noConversion"/>
  </si>
  <si>
    <t>弱电智能化系统（住宅）</t>
    <phoneticPr fontId="4" type="noConversion"/>
  </si>
  <si>
    <t>楼宇对讲系统、背景音乐系统、建筑设备自动化监控系统、多媒体查询及信息发布系统、停车管理系统、小区闭路监控系统、周界红外防越系统、小区门禁系统、电子巡更系统、电子公告屏等；</t>
    <phoneticPr fontId="4" type="noConversion"/>
  </si>
  <si>
    <t>3.4B</t>
    <phoneticPr fontId="4" type="noConversion"/>
  </si>
  <si>
    <t>弱电智能化系统（商业）</t>
    <phoneticPr fontId="4" type="noConversion"/>
  </si>
  <si>
    <t>3.4.1</t>
    <phoneticPr fontId="4" type="noConversion"/>
  </si>
  <si>
    <t>弱电管网预埋</t>
    <phoneticPr fontId="4" type="noConversion"/>
  </si>
  <si>
    <t>3.4.2</t>
    <phoneticPr fontId="4" type="noConversion"/>
  </si>
  <si>
    <t>门禁道闸</t>
    <phoneticPr fontId="4" type="noConversion"/>
  </si>
  <si>
    <t>3.4.3</t>
    <phoneticPr fontId="4" type="noConversion"/>
  </si>
  <si>
    <t>楼宇对讲系统</t>
    <phoneticPr fontId="4" type="noConversion"/>
  </si>
  <si>
    <t>3.4.4</t>
    <phoneticPr fontId="4" type="noConversion"/>
  </si>
  <si>
    <t>监控及安防系统</t>
    <phoneticPr fontId="4" type="noConversion"/>
  </si>
  <si>
    <t>小区闭路监控系统、周界红外防越系统</t>
    <phoneticPr fontId="4" type="noConversion"/>
  </si>
  <si>
    <t>3.4.5</t>
    <phoneticPr fontId="4" type="noConversion"/>
  </si>
  <si>
    <t>LED屏</t>
    <phoneticPr fontId="4" type="noConversion"/>
  </si>
  <si>
    <t>电子公告屏等</t>
    <phoneticPr fontId="4" type="noConversion"/>
  </si>
  <si>
    <t>3.4.6</t>
  </si>
  <si>
    <t>其他弱电智能化系统</t>
    <phoneticPr fontId="4" type="noConversion"/>
  </si>
  <si>
    <t>背景音乐系统、建筑设备自动化监控系统、多媒体查询及信息发布系统、停车管理系统等</t>
    <phoneticPr fontId="4" type="noConversion"/>
  </si>
  <si>
    <t>供电配套设施费及高低压设备</t>
    <phoneticPr fontId="4" type="noConversion"/>
  </si>
  <si>
    <t>市政电网至小区的供电线路铺设、配电室变（配）电设备的购置费、设备安装、电缆铺设费，供（配）电贴费、电源建设费，交纳的电增容费等。（供电局、电力公司施工范围）其中：1、指自小区变电站低压柜（不含低压柜）引至下一级配电柜/箱（不含柜/箱）或用电转换点的电缆敷设及室外强弱电预留管工程。采用四级配电时，下级配电的低压柜出线电缆计入室内电气工程。三级配电时的屋面专用电缆均统一计至屋面配电箱。该项工程的电缆在地下室内敷设时，不计入地下工程费。2、小区内开闭站、配电室的高压柜、低压柜、变压器、柴油发电机、高压电缆、负荷开关设备及安装工程；</t>
    <phoneticPr fontId="4" type="noConversion"/>
  </si>
  <si>
    <t>有线电视初装费</t>
    <phoneticPr fontId="4" type="noConversion"/>
  </si>
  <si>
    <t>电话安装费</t>
    <phoneticPr fontId="4" type="noConversion"/>
  </si>
  <si>
    <t>宽带网安装费</t>
    <phoneticPr fontId="4" type="noConversion"/>
  </si>
  <si>
    <t>小区内道路工程费</t>
    <phoneticPr fontId="4" type="noConversion"/>
  </si>
  <si>
    <t>红线内道路建设费，红线内车行道（含其两旁的人行道）及地面停车场土建工程（含土方、路基及面层）</t>
    <phoneticPr fontId="4" type="noConversion"/>
  </si>
  <si>
    <t>红线外市政设施费</t>
    <phoneticPr fontId="4" type="noConversion"/>
  </si>
  <si>
    <t>因城市规划需要修建的市政道路、绿化等产生的成本
（注：土地出让合同约定的市政设施费计入1.3.1科目，不在此处列支）</t>
    <phoneticPr fontId="4" type="noConversion"/>
  </si>
  <si>
    <t>3.10.1</t>
    <phoneticPr fontId="4" type="noConversion"/>
  </si>
  <si>
    <t>规划市政道路工程费</t>
    <phoneticPr fontId="4" type="noConversion"/>
  </si>
  <si>
    <t>规划道路建设费，车行道（含其两旁的人行道）及地面停车场土建工程（含土方、路基及面层）</t>
    <phoneticPr fontId="4" type="noConversion"/>
  </si>
  <si>
    <t>一条为军产路、一条为小区内道路、一条为红线外道路，均按市政规划路标准修建</t>
    <phoneticPr fontId="4" type="noConversion"/>
  </si>
  <si>
    <t>3.10.2</t>
    <phoneticPr fontId="4" type="noConversion"/>
  </si>
  <si>
    <t>市政绿化工程</t>
    <phoneticPr fontId="4" type="noConversion"/>
  </si>
  <si>
    <t>3.10.3</t>
    <phoneticPr fontId="4" type="noConversion"/>
  </si>
  <si>
    <t>其他市政工程</t>
    <phoneticPr fontId="4" type="noConversion"/>
  </si>
  <si>
    <t>中水处理系统</t>
  </si>
  <si>
    <t>中水回用工程的土建工程、设备安装工程</t>
  </si>
  <si>
    <t>园林环境工程费</t>
    <phoneticPr fontId="4" type="noConversion"/>
  </si>
  <si>
    <t>3.12.1A</t>
    <phoneticPr fontId="4" type="noConversion"/>
  </si>
  <si>
    <t>绿化（除酒店外的区域）</t>
    <phoneticPr fontId="4" type="noConversion"/>
  </si>
  <si>
    <t>包括公共绿化、组团宅间绿化、一楼私家花园等小区内绿化的材料、种植及养护费。</t>
    <phoneticPr fontId="4" type="noConversion"/>
  </si>
  <si>
    <t>一期景观按800至1000元每平米考虑，其余按400至500元每平米考虑，平均按600元/㎡测算</t>
    <phoneticPr fontId="4" type="noConversion"/>
  </si>
  <si>
    <t>3.12.1B</t>
    <phoneticPr fontId="4" type="noConversion"/>
  </si>
  <si>
    <t>绿化（酒店）</t>
    <phoneticPr fontId="4" type="noConversion"/>
  </si>
  <si>
    <t>3.12.1C</t>
    <phoneticPr fontId="4" type="noConversion"/>
  </si>
  <si>
    <t>红线外景观</t>
    <phoneticPr fontId="4" type="noConversion"/>
  </si>
  <si>
    <t>1.5万平的驳岸按800元每平，2万平的河面按50元每平整理，暂考虑5道坝，按30万一道坝考虑</t>
    <phoneticPr fontId="4" type="noConversion"/>
  </si>
  <si>
    <t>3.12.2</t>
    <phoneticPr fontId="4" type="noConversion"/>
  </si>
  <si>
    <t>硬质地面</t>
    <phoneticPr fontId="4" type="noConversion"/>
  </si>
  <si>
    <t>除小区车行道路工程以外的道路含广场。</t>
  </si>
  <si>
    <t>包含在3.12.1A B中</t>
    <phoneticPr fontId="4" type="noConversion"/>
  </si>
  <si>
    <t>3.12.3</t>
    <phoneticPr fontId="4" type="noConversion"/>
  </si>
  <si>
    <t>构筑物及小品</t>
  </si>
  <si>
    <t>小区内的岗亭、儿童乐园、建筑小品、水景土建工程费，以及雕塑、小品、假山等。</t>
    <phoneticPr fontId="4" type="noConversion"/>
  </si>
  <si>
    <t>3.12.4</t>
    <phoneticPr fontId="4" type="noConversion"/>
  </si>
  <si>
    <t>围墙</t>
  </si>
  <si>
    <t>包括永久性围墙、围栏及大门；</t>
    <phoneticPr fontId="4" type="noConversion"/>
  </si>
  <si>
    <t>3.12.5</t>
    <phoneticPr fontId="4" type="noConversion"/>
  </si>
  <si>
    <t>环境照明系统费</t>
    <phoneticPr fontId="4" type="noConversion"/>
  </si>
  <si>
    <t>庭院灯或草坪灯安装、管线安装、泛光照明配电箱（不含箱）后的管线敷设及灯具安装工程等</t>
    <phoneticPr fontId="4" type="noConversion"/>
  </si>
  <si>
    <t>3.12.6</t>
    <phoneticPr fontId="4" type="noConversion"/>
  </si>
  <si>
    <t>环境水系统</t>
  </si>
  <si>
    <t>小区内的水景设备及管网，绿化灌溉系统（含设备及管网）、水景照明（含灯具及管线）等。</t>
  </si>
  <si>
    <t>包含水景呈现的所有工序及设施设备</t>
    <phoneticPr fontId="4" type="noConversion"/>
  </si>
  <si>
    <t>3.12.7</t>
    <phoneticPr fontId="4" type="noConversion"/>
  </si>
  <si>
    <t>其他园林环境工程费</t>
    <phoneticPr fontId="4" type="noConversion"/>
  </si>
  <si>
    <t>包括立面装饰费用、座椅、阳伞、垃圾箱（桶）等</t>
    <phoneticPr fontId="4" type="noConversion"/>
  </si>
  <si>
    <t>包含在3.12.3</t>
    <phoneticPr fontId="4" type="noConversion"/>
  </si>
  <si>
    <t>3.12.8</t>
    <phoneticPr fontId="4" type="noConversion"/>
  </si>
  <si>
    <t>石孟江改造</t>
    <phoneticPr fontId="4" type="noConversion"/>
  </si>
  <si>
    <t>包含在前列表3.12.1C项内</t>
    <phoneticPr fontId="4" type="noConversion"/>
  </si>
  <si>
    <t>挡土墙工程费</t>
    <phoneticPr fontId="4" type="noConversion"/>
  </si>
  <si>
    <t>室外挡土墙，高切坡处理等费用。（注：若挡土墙用于边坡支护计入2.4.4科目）</t>
    <phoneticPr fontId="4" type="noConversion"/>
  </si>
  <si>
    <t>建筑物灯光亮化工程</t>
    <phoneticPr fontId="4" type="noConversion"/>
  </si>
  <si>
    <t>包含在3.12.5项内</t>
    <phoneticPr fontId="4" type="noConversion"/>
  </si>
  <si>
    <t>户外交通设施工程</t>
    <phoneticPr fontId="4" type="noConversion"/>
  </si>
  <si>
    <t>交通划线及停车场设施</t>
    <phoneticPr fontId="4" type="noConversion"/>
  </si>
  <si>
    <t>标识系统制作</t>
    <phoneticPr fontId="4" type="noConversion"/>
  </si>
  <si>
    <t>专业公司制作的小区指示牌、标识牌、楼牌及示意图等</t>
    <phoneticPr fontId="4" type="noConversion"/>
  </si>
  <si>
    <t>信报箱</t>
    <phoneticPr fontId="4" type="noConversion"/>
  </si>
  <si>
    <t>其他代建基础设施（已完）</t>
    <phoneticPr fontId="4" type="noConversion"/>
  </si>
  <si>
    <t>主体建安工程费</t>
  </si>
  <si>
    <t>通用部分</t>
    <phoneticPr fontId="4" type="noConversion"/>
  </si>
  <si>
    <t>4.1.1</t>
    <phoneticPr fontId="4" type="noConversion"/>
  </si>
  <si>
    <t>基坑土方工程</t>
    <phoneticPr fontId="4" type="noConversion"/>
  </si>
  <si>
    <t>指大基坑土方挖运工程</t>
    <phoneticPr fontId="4" type="noConversion"/>
  </si>
  <si>
    <t>4.1.2</t>
    <phoneticPr fontId="4" type="noConversion"/>
  </si>
  <si>
    <t>基坑支护工程</t>
    <phoneticPr fontId="4" type="noConversion"/>
  </si>
  <si>
    <t>基坑支护</t>
    <phoneticPr fontId="4" type="noConversion"/>
  </si>
  <si>
    <t>4.1.3</t>
    <phoneticPr fontId="4" type="noConversion"/>
  </si>
  <si>
    <t>基础工程</t>
    <phoneticPr fontId="4" type="noConversion"/>
  </si>
  <si>
    <t>包括各类型的桩基工程、地基处理</t>
    <phoneticPr fontId="4" type="noConversion"/>
  </si>
  <si>
    <t>4.1.4</t>
    <phoneticPr fontId="4" type="noConversion"/>
  </si>
  <si>
    <t>装配式建筑及绿色建筑</t>
    <phoneticPr fontId="4" type="noConversion"/>
  </si>
  <si>
    <t>根据成都市建委最新政策，2015年前获取的土地可不考虑该项投入</t>
    <phoneticPr fontId="4" type="noConversion"/>
  </si>
  <si>
    <t>单体产品类型</t>
    <phoneticPr fontId="4" type="noConversion"/>
  </si>
  <si>
    <t>4.2.1</t>
    <phoneticPr fontId="4" type="noConversion"/>
  </si>
  <si>
    <t>别墅（联排、合院）（1-4层）</t>
    <phoneticPr fontId="4" type="noConversion"/>
  </si>
  <si>
    <t>4.2.2</t>
    <phoneticPr fontId="4" type="noConversion"/>
  </si>
  <si>
    <t>多层住宅主体（洋房）</t>
    <phoneticPr fontId="4" type="noConversion"/>
  </si>
  <si>
    <t>多层住宅主体（适老化公寓）</t>
    <phoneticPr fontId="4" type="noConversion"/>
  </si>
  <si>
    <t>含底商</t>
    <phoneticPr fontId="4" type="noConversion"/>
  </si>
  <si>
    <t>多层住宅主体（度假公寓等）</t>
    <phoneticPr fontId="4" type="noConversion"/>
  </si>
  <si>
    <t>4.2.3</t>
    <phoneticPr fontId="4" type="noConversion"/>
  </si>
  <si>
    <t>小高层住宅主体（8-11层）</t>
    <phoneticPr fontId="4" type="noConversion"/>
  </si>
  <si>
    <t>4.2.4</t>
    <phoneticPr fontId="4" type="noConversion"/>
  </si>
  <si>
    <t>中高层主体（12-18层）</t>
    <phoneticPr fontId="4" type="noConversion"/>
  </si>
  <si>
    <t>4.2.5</t>
    <phoneticPr fontId="4" type="noConversion"/>
  </si>
  <si>
    <t>高层住宅建筑单体成本（19-33层）</t>
    <phoneticPr fontId="4" type="noConversion"/>
  </si>
  <si>
    <t>4.2.6</t>
    <phoneticPr fontId="4" type="noConversion"/>
  </si>
  <si>
    <t>超高层住宅建筑单体成本（33层以上（超100m））</t>
    <phoneticPr fontId="4" type="noConversion"/>
  </si>
  <si>
    <t>4.2.7</t>
    <phoneticPr fontId="4" type="noConversion"/>
  </si>
  <si>
    <t>可售酒店套房建筑单体成本</t>
    <phoneticPr fontId="4" type="noConversion"/>
  </si>
  <si>
    <t>4.2.8</t>
    <phoneticPr fontId="4" type="noConversion"/>
  </si>
  <si>
    <t>商业建筑单体成本（道文化馆）</t>
    <phoneticPr fontId="4" type="noConversion"/>
  </si>
  <si>
    <t>商业建筑单体成本（临河商业）</t>
    <phoneticPr fontId="4" type="noConversion"/>
  </si>
  <si>
    <t>4.2.9</t>
    <phoneticPr fontId="4" type="noConversion"/>
  </si>
  <si>
    <t>其它用途建筑单体成本</t>
  </si>
  <si>
    <t>整体地下室</t>
    <phoneticPr fontId="4" type="noConversion"/>
  </si>
  <si>
    <t>其他费用</t>
    <phoneticPr fontId="4" type="noConversion"/>
  </si>
  <si>
    <t>防雷接地工程费及其他工程类费用</t>
    <phoneticPr fontId="4" type="noConversion"/>
  </si>
  <si>
    <t>商业2.35
住宅1.25</t>
  </si>
  <si>
    <t>公共配套费</t>
  </si>
  <si>
    <t>指开发项目内发生的、独立的、非营利性的，且产权属于全体业主的，或无偿赠与地方政府、政府公用事业单位的公共配套设施支出</t>
  </si>
  <si>
    <t>物业管理用房</t>
  </si>
  <si>
    <t>物业用房的装饰装修费用、配套资产购置费用。若单独建造，还包括该物业管理用房的建安费用。</t>
  </si>
  <si>
    <t>学校建造与引入费</t>
  </si>
  <si>
    <t>规划设计条件规定为小区配套建设的小学、中学建造成本及配套资产购置以及由开发商承担的教学资源引入费</t>
  </si>
  <si>
    <t>幼儿园建造与引入费</t>
  </si>
  <si>
    <t>规划设计条件规定为小区配套建设的幼儿园建造成本及配套资产购置以及由开发商承担的教学资源引入费</t>
  </si>
  <si>
    <t>文化体育场所及设施</t>
    <phoneticPr fontId="4" type="noConversion"/>
  </si>
  <si>
    <t>为小区配套建设的网球场、篮球场、门球场、羽毛球场、体育锻炼设施等工程建设及设施安装</t>
    <phoneticPr fontId="4" type="noConversion"/>
  </si>
  <si>
    <t>图书馆</t>
  </si>
  <si>
    <t>建造成本及配套资产购置。</t>
  </si>
  <si>
    <t>综合用房（会所）</t>
  </si>
  <si>
    <t>社区/居委会服务用房(自行车棚、社区医院、社区小型超市、社区派出所、社区净菜市场等)</t>
  </si>
  <si>
    <t>小区配套活动室</t>
  </si>
  <si>
    <t>会所（健身房、棋牌室、乒乓球室等）</t>
  </si>
  <si>
    <t>垃圾中转站</t>
  </si>
  <si>
    <t>游泳池</t>
  </si>
  <si>
    <t>儿童游乐设施</t>
  </si>
  <si>
    <t>其它支出</t>
    <phoneticPr fontId="4" type="noConversion"/>
  </si>
  <si>
    <t>指小区内除以上配套设施费用之外的配套设施费用，市政设施用房、专用临时停车位、公交车站建设及引入等建设费用及引入费</t>
    <phoneticPr fontId="4" type="noConversion"/>
  </si>
  <si>
    <t xml:space="preserve"> 开发间接费</t>
    <phoneticPr fontId="4" type="noConversion"/>
  </si>
  <si>
    <t>工程管理费</t>
    <phoneticPr fontId="4" type="noConversion"/>
  </si>
  <si>
    <t>6.1.1</t>
    <phoneticPr fontId="4" type="noConversion"/>
  </si>
  <si>
    <t>工程监理费</t>
  </si>
  <si>
    <t>支付给聘请的项目或工程监理单位的费用；</t>
    <phoneticPr fontId="4" type="noConversion"/>
  </si>
  <si>
    <t>6.1.2</t>
    <phoneticPr fontId="4" type="noConversion"/>
  </si>
  <si>
    <t>工程造价咨询费</t>
  </si>
  <si>
    <t>支付给造价咨询公司的全过程造价咨询费用</t>
  </si>
  <si>
    <t>6.1.3</t>
    <phoneticPr fontId="4" type="noConversion"/>
  </si>
  <si>
    <t>工程招标代理费</t>
    <phoneticPr fontId="4" type="noConversion"/>
  </si>
  <si>
    <t>支付给招标代理公司的招标代理费，包括在政府指定的交易中心场所产生的场地费及中标服务费</t>
    <phoneticPr fontId="4" type="noConversion"/>
  </si>
  <si>
    <t>6.1.4</t>
  </si>
  <si>
    <t>施工合同外奖金</t>
    <phoneticPr fontId="4" type="noConversion"/>
  </si>
  <si>
    <t>赶工费、进度奖</t>
    <phoneticPr fontId="4" type="noConversion"/>
  </si>
  <si>
    <t>6.1.5</t>
  </si>
  <si>
    <t>工程保险费</t>
    <phoneticPr fontId="4" type="noConversion"/>
  </si>
  <si>
    <t>6.1.6</t>
    <phoneticPr fontId="4" type="noConversion"/>
  </si>
  <si>
    <t>沉降观测费</t>
    <phoneticPr fontId="4" type="noConversion"/>
  </si>
  <si>
    <t>6.1.7</t>
    <phoneticPr fontId="4" type="noConversion"/>
  </si>
  <si>
    <t>支付给审图公司的审查费，包含人防、消防、抗震、超限审查等专项审查</t>
  </si>
  <si>
    <t>6.1.8</t>
    <phoneticPr fontId="4" type="noConversion"/>
  </si>
  <si>
    <t>工程检测费</t>
    <phoneticPr fontId="4" type="noConversion"/>
  </si>
  <si>
    <t>工程实体检测、室内空气检测等</t>
    <phoneticPr fontId="4" type="noConversion"/>
  </si>
  <si>
    <t>6.1.8.1</t>
    <phoneticPr fontId="4" type="noConversion"/>
  </si>
  <si>
    <t>工程实体检测</t>
    <phoneticPr fontId="4" type="noConversion"/>
  </si>
  <si>
    <t>6.1.8.2</t>
    <phoneticPr fontId="4" type="noConversion"/>
  </si>
  <si>
    <t>消防检测费</t>
  </si>
  <si>
    <t>6.1.8.3</t>
    <phoneticPr fontId="4" type="noConversion"/>
  </si>
  <si>
    <t>室内环境检测</t>
  </si>
  <si>
    <t>6.1.8.4</t>
    <phoneticPr fontId="4" type="noConversion"/>
  </si>
  <si>
    <t>基坑检测费</t>
    <phoneticPr fontId="4" type="noConversion"/>
  </si>
  <si>
    <t>6.1.8.5</t>
    <phoneticPr fontId="4" type="noConversion"/>
  </si>
  <si>
    <t>桩基检测费</t>
    <phoneticPr fontId="4" type="noConversion"/>
  </si>
  <si>
    <t>6.1.8.6</t>
    <phoneticPr fontId="4" type="noConversion"/>
  </si>
  <si>
    <t>防雷检测费</t>
    <phoneticPr fontId="4" type="noConversion"/>
  </si>
  <si>
    <t>6.1.9</t>
    <phoneticPr fontId="4" type="noConversion"/>
  </si>
  <si>
    <t>工程测量</t>
    <phoneticPr fontId="4" type="noConversion"/>
  </si>
  <si>
    <t>定线、验线、±0、建筑面积测量、绿地面积测量、综合管网测绘</t>
    <phoneticPr fontId="4" type="noConversion"/>
  </si>
  <si>
    <t>地上测绘0.25元/㎡；地下管网730元/m；规划验线3278元/栋；±0检测2800元/栋</t>
    <phoneticPr fontId="4" type="noConversion"/>
  </si>
  <si>
    <t>地下管线暂按总长10公里预估，建筑栋数预估350栋</t>
    <phoneticPr fontId="4" type="noConversion"/>
  </si>
  <si>
    <t>6.1.10</t>
    <phoneticPr fontId="4" type="noConversion"/>
  </si>
  <si>
    <t>房屋面积测绘(含预测和终测）</t>
    <phoneticPr fontId="4" type="noConversion"/>
  </si>
  <si>
    <t>房屋面积预测绘、实测</t>
    <phoneticPr fontId="4" type="noConversion"/>
  </si>
  <si>
    <t>住宅1.96；商业2.04；地下2.72；</t>
    <phoneticPr fontId="4" type="noConversion"/>
  </si>
  <si>
    <t>6.1.11</t>
    <phoneticPr fontId="4" type="noConversion"/>
  </si>
  <si>
    <t>工程档案管理费</t>
    <phoneticPr fontId="4" type="noConversion"/>
  </si>
  <si>
    <t>工程建设档案移交相关费用</t>
    <phoneticPr fontId="4" type="noConversion"/>
  </si>
  <si>
    <t>6.1.12</t>
    <phoneticPr fontId="4" type="noConversion"/>
  </si>
  <si>
    <t>声像资料费</t>
    <phoneticPr fontId="4" type="noConversion"/>
  </si>
  <si>
    <t>工程建设过程中各阶段的声像资料制作及存档</t>
    <phoneticPr fontId="4" type="noConversion"/>
  </si>
  <si>
    <t>项目营销设施建造费（永久）</t>
    <phoneticPr fontId="4" type="noConversion"/>
  </si>
  <si>
    <t>核算销售案场及其他营销设施的建安、装修、家具配饰、设施、整改及租金等费用</t>
  </si>
  <si>
    <t>含售楼部室内软装及5套样板房的室内装修费用</t>
    <phoneticPr fontId="4" type="noConversion"/>
  </si>
  <si>
    <t xml:space="preserve">周转房摊销 </t>
    <phoneticPr fontId="4" type="noConversion"/>
  </si>
  <si>
    <t>核算公司周转房的摊销费用</t>
    <phoneticPr fontId="4" type="noConversion"/>
  </si>
  <si>
    <t>物业管理费用</t>
    <phoneticPr fontId="4" type="noConversion"/>
  </si>
  <si>
    <t>物业管理公司</t>
    <phoneticPr fontId="4" type="noConversion"/>
  </si>
  <si>
    <t>6.4.1</t>
    <phoneticPr fontId="4" type="noConversion"/>
  </si>
  <si>
    <t>前期物管费</t>
    <phoneticPr fontId="4" type="noConversion"/>
  </si>
  <si>
    <t>6.4.2</t>
    <phoneticPr fontId="4" type="noConversion"/>
  </si>
  <si>
    <t>空管房物管费</t>
    <phoneticPr fontId="4" type="noConversion"/>
  </si>
  <si>
    <t>6.4.3</t>
    <phoneticPr fontId="4" type="noConversion"/>
  </si>
  <si>
    <t>物管费定价补贴</t>
    <phoneticPr fontId="4" type="noConversion"/>
  </si>
  <si>
    <t>6.4.4</t>
    <phoneticPr fontId="4" type="noConversion"/>
  </si>
  <si>
    <t>酒店开业筹备费</t>
    <phoneticPr fontId="4" type="noConversion"/>
  </si>
  <si>
    <t>项目管理费</t>
    <phoneticPr fontId="4" type="noConversion"/>
  </si>
  <si>
    <t>主要包括直接从事项目生产的部门（包括项目公司工程部、采购部、成本部、设计管理部等）人员工资、职工福利费、折旧费、修理费、办公费、水电费、劳动保护费，不包括行政人事部、财务部等管理服务部门
（注：可研阶段预估值参考《云南城投置业股份有限公司费用管理办法》中管理费用总额的80%计取）</t>
    <phoneticPr fontId="4" type="noConversion"/>
  </si>
  <si>
    <t>建设期六年，每年管理费1100万元，销售期1年按200万考虑；截止2018年2月28日，已实际发生的管理费4651.36万元</t>
    <phoneticPr fontId="4" type="noConversion"/>
  </si>
  <si>
    <t>财务管理中心</t>
    <phoneticPr fontId="4" type="noConversion"/>
  </si>
  <si>
    <t>6.5.1</t>
    <phoneticPr fontId="4" type="noConversion"/>
  </si>
  <si>
    <t xml:space="preserve">  其中：职工薪酬</t>
  </si>
  <si>
    <t>核算应由开发项目承担的职工薪酬，包括工资、福利、劳动保护费，各项保险等</t>
    <phoneticPr fontId="4" type="noConversion"/>
  </si>
  <si>
    <t>6.5.2</t>
  </si>
  <si>
    <t xml:space="preserve">        劳动保护费</t>
  </si>
  <si>
    <t>6.5.3</t>
  </si>
  <si>
    <t xml:space="preserve">        残疾人保障金</t>
  </si>
  <si>
    <t>6.5.4</t>
  </si>
  <si>
    <t xml:space="preserve">        折旧费</t>
  </si>
  <si>
    <t xml:space="preserve">因管理项目而使用固定资产、长期资产的折旧费用 </t>
    <phoneticPr fontId="4" type="noConversion"/>
  </si>
  <si>
    <t>6.5.5</t>
  </si>
  <si>
    <t xml:space="preserve">        摊销费</t>
  </si>
  <si>
    <t xml:space="preserve">因管理项目而使用固定资产、长期资产的摊销费用 </t>
    <phoneticPr fontId="4" type="noConversion"/>
  </si>
  <si>
    <t>6.5.6</t>
  </si>
  <si>
    <t xml:space="preserve">        业务招待费</t>
  </si>
  <si>
    <t xml:space="preserve">因项目开发而发生的招待费用 </t>
    <phoneticPr fontId="4" type="noConversion"/>
  </si>
  <si>
    <t>6.5.7</t>
  </si>
  <si>
    <t xml:space="preserve">        办公费</t>
  </si>
  <si>
    <t xml:space="preserve">核算能归集到项目成本的日常办公费用 </t>
    <phoneticPr fontId="4" type="noConversion"/>
  </si>
  <si>
    <t>6.5.8</t>
  </si>
  <si>
    <t xml:space="preserve">        会议费</t>
  </si>
  <si>
    <t>6.5.9</t>
  </si>
  <si>
    <t xml:space="preserve">        交通差旅费</t>
  </si>
  <si>
    <t xml:space="preserve">因项目管理而发生的差旅费用 </t>
    <phoneticPr fontId="4" type="noConversion"/>
  </si>
  <si>
    <t>6.5.10</t>
  </si>
  <si>
    <t xml:space="preserve">        电话费</t>
  </si>
  <si>
    <t>6.5.11</t>
  </si>
  <si>
    <t xml:space="preserve">        运杂费</t>
  </si>
  <si>
    <t>6.5.12</t>
  </si>
  <si>
    <t xml:space="preserve">        水电费</t>
  </si>
  <si>
    <t>6.5.13</t>
  </si>
  <si>
    <t xml:space="preserve">        车辆费用</t>
  </si>
  <si>
    <t>6.5.14</t>
  </si>
  <si>
    <t xml:space="preserve">        租赁及物业管理费</t>
  </si>
  <si>
    <t>6.5.15</t>
  </si>
  <si>
    <t xml:space="preserve">        修理费</t>
  </si>
  <si>
    <t>6.5.16</t>
  </si>
  <si>
    <t xml:space="preserve">        信息系统实施维护费</t>
  </si>
  <si>
    <t>6.5.17</t>
  </si>
  <si>
    <t xml:space="preserve">        安全保卫费</t>
  </si>
  <si>
    <t>6.5.18</t>
  </si>
  <si>
    <t xml:space="preserve">        模型制作费</t>
  </si>
  <si>
    <t>6.5.19</t>
  </si>
  <si>
    <t xml:space="preserve">        中介费</t>
  </si>
  <si>
    <t>6.5.19.1</t>
    <phoneticPr fontId="4" type="noConversion"/>
  </si>
  <si>
    <t xml:space="preserve">          其中：咨询费</t>
  </si>
  <si>
    <t>6.5.19.2</t>
  </si>
  <si>
    <t xml:space="preserve">                审计费</t>
  </si>
  <si>
    <t>6.5.19.3</t>
  </si>
  <si>
    <t xml:space="preserve">                评估费</t>
  </si>
  <si>
    <t>6.5.19.4</t>
  </si>
  <si>
    <t xml:space="preserve">                律师费</t>
  </si>
  <si>
    <t>6.5.19.5</t>
  </si>
  <si>
    <t xml:space="preserve">                其他中介费用</t>
  </si>
  <si>
    <t>6.5.20</t>
    <phoneticPr fontId="4" type="noConversion"/>
  </si>
  <si>
    <t xml:space="preserve">        其他项目管理成本</t>
  </si>
  <si>
    <t>税费</t>
    <phoneticPr fontId="4" type="noConversion"/>
  </si>
  <si>
    <t>项目开发而直接发生的土地使用税、印花税</t>
    <phoneticPr fontId="4" type="noConversion"/>
  </si>
  <si>
    <t>财务管理中心</t>
    <phoneticPr fontId="4" type="noConversion"/>
  </si>
  <si>
    <t>6.6.1</t>
    <phoneticPr fontId="4" type="noConversion"/>
  </si>
  <si>
    <t>土地使用税</t>
    <phoneticPr fontId="4" type="noConversion"/>
  </si>
  <si>
    <t>达到预定可使用状态前发生的土地使用税</t>
    <phoneticPr fontId="4" type="noConversion"/>
  </si>
  <si>
    <t>截止2018年2月28日已发生费用2700.45万元(每年574.28万），后续暂按1/2建设期即2.5年考虑缴纳</t>
    <phoneticPr fontId="4" type="noConversion"/>
  </si>
  <si>
    <t>6.6.2</t>
    <phoneticPr fontId="4" type="noConversion"/>
  </si>
  <si>
    <t>印花税等其他税费</t>
    <phoneticPr fontId="4" type="noConversion"/>
  </si>
  <si>
    <t>前期已发生印花税等</t>
    <phoneticPr fontId="4" type="noConversion"/>
  </si>
  <si>
    <t>资本化借款利息费用</t>
    <phoneticPr fontId="4" type="noConversion"/>
  </si>
  <si>
    <t>达到预定可使用状态前发生的财务费用</t>
    <phoneticPr fontId="4" type="noConversion"/>
  </si>
  <si>
    <t>财务管理中心</t>
    <phoneticPr fontId="4" type="noConversion"/>
  </si>
  <si>
    <t>6.7.1</t>
    <phoneticPr fontId="4" type="noConversion"/>
  </si>
  <si>
    <t xml:space="preserve">  其中：利息支出</t>
    <phoneticPr fontId="4" type="noConversion"/>
  </si>
  <si>
    <t xml:space="preserve">可资本化的利息费用 </t>
    <phoneticPr fontId="4" type="noConversion"/>
  </si>
  <si>
    <t>截止2018年2月28日已发生费用58089.79万</t>
    <phoneticPr fontId="4" type="noConversion"/>
  </si>
  <si>
    <t>6.7.3</t>
    <phoneticPr fontId="4" type="noConversion"/>
  </si>
  <si>
    <t>其他利息收入（融资担保收入）</t>
    <phoneticPr fontId="4" type="noConversion"/>
  </si>
  <si>
    <t>利息收入和担保收入，其中前期已发生1360.43万</t>
    <phoneticPr fontId="4" type="noConversion"/>
  </si>
  <si>
    <t xml:space="preserve">        金融机构手续费</t>
  </si>
  <si>
    <t>6.7.4</t>
    <phoneticPr fontId="4" type="noConversion"/>
  </si>
  <si>
    <t xml:space="preserve">        其他借款利息费用</t>
  </si>
  <si>
    <t>其他管理费用</t>
    <phoneticPr fontId="4" type="noConversion"/>
  </si>
  <si>
    <t>不可预见费</t>
    <phoneticPr fontId="4" type="noConversion"/>
  </si>
  <si>
    <t>按照以上2-5项总和的一定比例计提，作为一些难于预计的成本费用准备。</t>
    <phoneticPr fontId="4" type="noConversion"/>
  </si>
  <si>
    <t>二</t>
  </si>
  <si>
    <t>期间费用</t>
  </si>
  <si>
    <t>销售费用</t>
  </si>
  <si>
    <t>指项目公司营销部日常经营过程中发生的各项费用以及专设销售机构的各项经费。包括： 广告费、展览费、租赁费（不包括融资租赁费），以及为销售本公司商品而专设销售机构的职工工资、福利费、办公费、差旅费、折旧费、修理费、业务招待费、低值易耗品的摊销等。</t>
    <phoneticPr fontId="4" type="noConversion"/>
  </si>
  <si>
    <t>销售费用按住宅洋房和车位收入2%，其余业态3%考虑计取（前期已发生584.23万）</t>
    <phoneticPr fontId="4" type="noConversion"/>
  </si>
  <si>
    <t>营销中心</t>
    <phoneticPr fontId="4" type="noConversion"/>
  </si>
  <si>
    <t>差旅费</t>
  </si>
  <si>
    <t>差旅费 项目营销/招商部门人员因工出差，所产生的交通、饮食、住宿及其他与工作有关的费用，参考《云南城投置业股份有限公司费用管理办法》的费用标准</t>
    <phoneticPr fontId="4" type="noConversion"/>
  </si>
  <si>
    <t>出国考察费</t>
  </si>
  <si>
    <t>销售部门发生的出国考察费</t>
    <phoneticPr fontId="4" type="noConversion"/>
  </si>
  <si>
    <t>广告及业务宣传费</t>
  </si>
  <si>
    <t>与营销推广有关的费用，分为：
（1）各媒体广告发布费：包含各种推广形式
（单价按每年城投与各家媒体签订的《战略合作协议》价格为准）
（2）广告公司服务月费</t>
    <phoneticPr fontId="4" type="noConversion"/>
  </si>
  <si>
    <t>租赁及物业管理费</t>
  </si>
  <si>
    <t>租赁费用针对项目售楼部为临时租赁；
物业管理费针对售楼部物业管理维护费；</t>
    <phoneticPr fontId="4" type="noConversion"/>
  </si>
  <si>
    <t>信息系统实施维护费</t>
  </si>
  <si>
    <t>针对营销/招商部门购买的与销售、招商相关的计算机、信息系统等进行维护的经费开支</t>
    <phoneticPr fontId="4" type="noConversion"/>
  </si>
  <si>
    <t>销售代理费和策划经费</t>
  </si>
  <si>
    <t>制作、发布广告的各项费用，如报刊、户外、电视、车身、电台、广告代理等费用。</t>
  </si>
  <si>
    <t>1.7.1</t>
    <phoneticPr fontId="4" type="noConversion"/>
  </si>
  <si>
    <t>其中：销售代理费</t>
  </si>
  <si>
    <t>1、项目销售由销售代理公司完成，支付销售代理费。
2、招商费用,项目如有需要招商部分才计入此费用
（1）项目招商由招商代理公司完成，支付招商代理费
   （2）项目的招商定位等重大策划方案由招商策划公司完成，支付招商策划费
   （3）邀请招商意向对象来本项目考察的交通、饮食、住宿及其他与工作有关的费用
       不能计入费用的为：（请计入运营成本）
        (1)免租期租金补贴
        (2)装修补贴</t>
    <phoneticPr fontId="4" type="noConversion"/>
  </si>
  <si>
    <t>营销中心</t>
    <phoneticPr fontId="4" type="noConversion"/>
  </si>
  <si>
    <t>1.7.2</t>
    <phoneticPr fontId="4" type="noConversion"/>
  </si>
  <si>
    <t xml:space="preserve">      营销策划费</t>
  </si>
  <si>
    <t>项目的定位等重大策划方案由策划代理公司完成，支付营销策划费</t>
    <phoneticPr fontId="4" type="noConversion"/>
  </si>
  <si>
    <t>工资及附加</t>
  </si>
  <si>
    <t>指项目公司营销部员工的薪资、福利、培训、补贴等人工成本。
涵盖：自主销售/自主招商项目的置业顾问/招商顾问的薪酬、社保、佣金、奖励；另营销团队隶属编制内的人员的薪酬、社保、佣金、奖励费用归类为管理费用，不属于营销费用范畴。</t>
    <phoneticPr fontId="4" type="noConversion"/>
  </si>
  <si>
    <t>摊销费</t>
  </si>
  <si>
    <t>1.9.1</t>
    <phoneticPr fontId="4" type="noConversion"/>
  </si>
  <si>
    <t>其中：售楼部装修摊销（临时）</t>
    <phoneticPr fontId="4" type="noConversion"/>
  </si>
  <si>
    <t xml:space="preserve">临时性售楼部（定义：临时建筑物、租赁物业）：费用全部计入营销费用；
永久性售楼部（定义：永久性建筑，后期进行销售或做他用的）；不计入营销费用
</t>
    <phoneticPr fontId="4" type="noConversion"/>
  </si>
  <si>
    <t>1.9.2</t>
    <phoneticPr fontId="4" type="noConversion"/>
  </si>
  <si>
    <t xml:space="preserve">      样板房装修摊销（临时）</t>
    <phoneticPr fontId="4" type="noConversion"/>
  </si>
  <si>
    <t xml:space="preserve">临时性样板房（定义：临时建筑物，租赁物业）：费用全部计入营销费用；
永久性样板房（定义：永久性建筑，后期进行销售的）：不计入营销费用
</t>
    <phoneticPr fontId="4" type="noConversion"/>
  </si>
  <si>
    <t>1.9.3</t>
    <phoneticPr fontId="4" type="noConversion"/>
  </si>
  <si>
    <t xml:space="preserve">  销售软件摊销（销售服务费）</t>
    <phoneticPr fontId="4" type="noConversion"/>
  </si>
  <si>
    <t>购买销售软件的费用进行摊销</t>
    <phoneticPr fontId="4" type="noConversion"/>
  </si>
  <si>
    <t>合同交易费</t>
    <phoneticPr fontId="4" type="noConversion"/>
  </si>
  <si>
    <t>产权登记备案费及签订商品房备案合同所发生的费用</t>
    <phoneticPr fontId="4" type="noConversion"/>
  </si>
  <si>
    <t>销售办公费</t>
    <phoneticPr fontId="4" type="noConversion"/>
  </si>
  <si>
    <t>包含：
（1）营销人员所领取的办公物料：办公用品等
（2）营销中心、售楼部的座机电话费
（3）为了销售而制作、更新的销售物料：沙盘、折页、导视系统、手册、视频片等</t>
    <phoneticPr fontId="4" type="noConversion"/>
  </si>
  <si>
    <t>促销费</t>
  </si>
  <si>
    <t>项目活动费用：包含展位费、活动组织费用、活动礼品费用等</t>
    <phoneticPr fontId="4" type="noConversion"/>
  </si>
  <si>
    <t>折旧费</t>
  </si>
  <si>
    <t>营销类的固定资产进行折旧</t>
    <phoneticPr fontId="4" type="noConversion"/>
  </si>
  <si>
    <t>业务招待费</t>
    <phoneticPr fontId="4" type="noConversion"/>
  </si>
  <si>
    <t>为了促进销售而产生的业务招待费</t>
    <phoneticPr fontId="4" type="noConversion"/>
  </si>
  <si>
    <t>管理费用</t>
  </si>
  <si>
    <t>指公司和各项目公司（除营销外）行政部、财务部等与项目开发不直接相关的部门所发生的行政管理费用，项目公司总经理及其他分管副总发生的费用计入行政管理费用
（注：可研阶段预估值参考《云南城投置业股份有限公司费用管理办法》中管理费用总额的20%计取）</t>
    <phoneticPr fontId="4" type="noConversion"/>
  </si>
  <si>
    <t xml:space="preserve">    工资</t>
  </si>
  <si>
    <t xml:space="preserve">    福利费</t>
  </si>
  <si>
    <t xml:space="preserve">    工会经费</t>
  </si>
  <si>
    <t xml:space="preserve">    职工教育经费</t>
  </si>
  <si>
    <t xml:space="preserve">    住房公积金</t>
  </si>
  <si>
    <t xml:space="preserve">    其他薪酬</t>
  </si>
  <si>
    <t xml:space="preserve">    社会保险</t>
  </si>
  <si>
    <t xml:space="preserve">    劳动保险费</t>
  </si>
  <si>
    <t xml:space="preserve">    劳动保护费</t>
  </si>
  <si>
    <t xml:space="preserve">    交通差旅费</t>
  </si>
  <si>
    <t>指员工因公务外出所发生的市外、国外的交通费、住宿费及误餐补贴（不含招聘或培训的出差）。</t>
    <phoneticPr fontId="4" type="noConversion"/>
  </si>
  <si>
    <t>2.10.1</t>
    <phoneticPr fontId="4" type="noConversion"/>
  </si>
  <si>
    <t xml:space="preserve">        其中：市内交通差旅费</t>
  </si>
  <si>
    <t>2.10.2</t>
  </si>
  <si>
    <t xml:space="preserve">              长途交通差旅费</t>
  </si>
  <si>
    <t xml:space="preserve">    出国考察费</t>
  </si>
  <si>
    <t xml:space="preserve">    电话费</t>
  </si>
  <si>
    <t xml:space="preserve">    邮寄费</t>
  </si>
  <si>
    <t xml:space="preserve">    水费</t>
  </si>
  <si>
    <t xml:space="preserve">    电费</t>
  </si>
  <si>
    <t xml:space="preserve">    汽车费用</t>
  </si>
  <si>
    <t>2.16.1</t>
    <phoneticPr fontId="4" type="noConversion"/>
  </si>
  <si>
    <t xml:space="preserve">        其中：车辆保险费</t>
  </si>
  <si>
    <t>2.16.2</t>
    <phoneticPr fontId="4" type="noConversion"/>
  </si>
  <si>
    <t xml:space="preserve">              修理费</t>
  </si>
  <si>
    <t>2.16.3</t>
    <phoneticPr fontId="4" type="noConversion"/>
  </si>
  <si>
    <t xml:space="preserve">              汽油费用</t>
  </si>
  <si>
    <t>2.16.4</t>
    <phoneticPr fontId="4" type="noConversion"/>
  </si>
  <si>
    <t xml:space="preserve">              其他</t>
  </si>
  <si>
    <t xml:space="preserve">    税金</t>
  </si>
  <si>
    <t>2.17.1</t>
    <phoneticPr fontId="4" type="noConversion"/>
  </si>
  <si>
    <t xml:space="preserve">        其中：房产税</t>
  </si>
  <si>
    <t>2.17.2</t>
    <phoneticPr fontId="4" type="noConversion"/>
  </si>
  <si>
    <t xml:space="preserve">              土地使用税</t>
  </si>
  <si>
    <t>达到预定可使用状态后发生的土地使用税计入期间管理费用</t>
    <phoneticPr fontId="4" type="noConversion"/>
  </si>
  <si>
    <t>2.17.3</t>
  </si>
  <si>
    <t xml:space="preserve">              车船使用税</t>
  </si>
  <si>
    <t>2.17.4</t>
  </si>
  <si>
    <t xml:space="preserve">              印花税</t>
  </si>
  <si>
    <t>2.17.5</t>
  </si>
  <si>
    <t xml:space="preserve">              地方教育费附加</t>
  </si>
  <si>
    <t xml:space="preserve">    印刷费</t>
  </si>
  <si>
    <t xml:space="preserve">    课题费</t>
  </si>
  <si>
    <t xml:space="preserve">    会议费</t>
  </si>
  <si>
    <t>组织会议发生的费用、以及外出参加会议交纳的会务费、各社会团体会费等（非培训性质的会议）。</t>
  </si>
  <si>
    <t xml:space="preserve">    董事会费</t>
  </si>
  <si>
    <t xml:space="preserve">    办公费</t>
  </si>
  <si>
    <t>1、日常办公用品、工作服、饮用水、纸杯、名片、手提袋、信封、复印纸、文件封面、复印机及打印机耗材等发生的费用； 2、报刊、图书、技术资料、图片资料（如晒图）、VCD制作、照片冲扩及外出资料复印费等； 3、办公设备、办公家具，工具器具等的日常修理和日常耗材更换的费用； 4、邮寄快递费、电报费等； 5、临时用工的费用。</t>
    <phoneticPr fontId="4" type="noConversion"/>
  </si>
  <si>
    <t xml:space="preserve">    业务招待费</t>
  </si>
  <si>
    <t>指接待用餐费、礼品费、饮料、烟酒及其他应酬费用。</t>
    <phoneticPr fontId="4" type="noConversion"/>
  </si>
  <si>
    <t xml:space="preserve">    折旧费</t>
  </si>
  <si>
    <t xml:space="preserve">    摊销费</t>
  </si>
  <si>
    <t>土地、办公软件等摊销</t>
    <phoneticPr fontId="4" type="noConversion"/>
  </si>
  <si>
    <t xml:space="preserve">        其中：低值易耗品摊销</t>
  </si>
  <si>
    <t>2.26.1</t>
    <phoneticPr fontId="4" type="noConversion"/>
  </si>
  <si>
    <t xml:space="preserve">              开办费摊销</t>
  </si>
  <si>
    <t>2.26.2</t>
    <phoneticPr fontId="4" type="noConversion"/>
  </si>
  <si>
    <t xml:space="preserve">              无形资产摊销</t>
  </si>
  <si>
    <t>2.26.3</t>
    <phoneticPr fontId="4" type="noConversion"/>
  </si>
  <si>
    <t xml:space="preserve">        其他长期待摊费用摊销</t>
    <phoneticPr fontId="4" type="noConversion"/>
  </si>
  <si>
    <t xml:space="preserve">    抚恤金</t>
  </si>
  <si>
    <t xml:space="preserve">    劳务费</t>
  </si>
  <si>
    <t xml:space="preserve">    中介费</t>
  </si>
  <si>
    <t>2.29.1</t>
    <phoneticPr fontId="4" type="noConversion"/>
  </si>
  <si>
    <t xml:space="preserve">        其中：咨询费</t>
  </si>
  <si>
    <t>2.29.2</t>
    <phoneticPr fontId="4" type="noConversion"/>
  </si>
  <si>
    <t xml:space="preserve">              审计费</t>
  </si>
  <si>
    <t>2.29.3</t>
  </si>
  <si>
    <t xml:space="preserve">              评估费用</t>
  </si>
  <si>
    <t>2.29.4</t>
  </si>
  <si>
    <t xml:space="preserve">              律师费用</t>
  </si>
  <si>
    <t xml:space="preserve">    租赁及物业管理费</t>
  </si>
  <si>
    <t xml:space="preserve">    信息系统运行维护费</t>
  </si>
  <si>
    <t xml:space="preserve">    党务专项经费</t>
  </si>
  <si>
    <t xml:space="preserve">    工会专项经费</t>
  </si>
  <si>
    <t xml:space="preserve">    广告及业务宣传费</t>
  </si>
  <si>
    <t xml:space="preserve">    地下空间技术研究</t>
  </si>
  <si>
    <t xml:space="preserve">    修理费</t>
  </si>
  <si>
    <t xml:space="preserve">    绿化费</t>
  </si>
  <si>
    <t xml:space="preserve">    诉讼费</t>
  </si>
  <si>
    <t xml:space="preserve">    培训费</t>
  </si>
  <si>
    <t xml:space="preserve">    其他</t>
  </si>
  <si>
    <t>财务费用（非资本化）</t>
  </si>
  <si>
    <t>达到预定可使用状态后发生的财务费用</t>
    <phoneticPr fontId="4" type="noConversion"/>
  </si>
  <si>
    <t>三</t>
    <phoneticPr fontId="4" type="noConversion"/>
  </si>
  <si>
    <t>流转税（营业税金及附加+土增）</t>
  </si>
  <si>
    <t>指公司实际缴纳的各种税金。</t>
    <phoneticPr fontId="4" type="noConversion"/>
  </si>
  <si>
    <t>营业税金及附加</t>
  </si>
  <si>
    <t>土地增值税</t>
  </si>
  <si>
    <t>清算模式</t>
    <phoneticPr fontId="4" type="noConversion"/>
  </si>
  <si>
    <t>四</t>
    <phoneticPr fontId="4" type="noConversion"/>
  </si>
  <si>
    <t>企业所得税</t>
  </si>
  <si>
    <t>蓝光青城河谷</t>
    <phoneticPr fontId="4" type="noConversion"/>
  </si>
  <si>
    <t>多层</t>
    <phoneticPr fontId="22" type="noConversion"/>
  </si>
  <si>
    <t>小高层</t>
    <phoneticPr fontId="22" type="noConversion"/>
  </si>
  <si>
    <t>高层</t>
    <phoneticPr fontId="22" type="noConversion"/>
  </si>
  <si>
    <t>钢混</t>
    <phoneticPr fontId="22" type="noConversion"/>
  </si>
  <si>
    <t>中档</t>
  </si>
  <si>
    <t>中档</t>
    <phoneticPr fontId="22" type="noConversion"/>
  </si>
  <si>
    <t>精装修</t>
  </si>
  <si>
    <t>精装修</t>
    <phoneticPr fontId="22" type="noConversion"/>
  </si>
  <si>
    <t>专业</t>
  </si>
  <si>
    <t>专业</t>
    <phoneticPr fontId="22" type="noConversion"/>
  </si>
  <si>
    <t>六通</t>
  </si>
  <si>
    <t>六通</t>
    <phoneticPr fontId="22" type="noConversion"/>
  </si>
  <si>
    <t>平层</t>
  </si>
  <si>
    <t>平层</t>
    <phoneticPr fontId="22" type="noConversion"/>
  </si>
  <si>
    <t>毛坯</t>
  </si>
  <si>
    <t>毛坯</t>
    <phoneticPr fontId="22" type="noConversion"/>
  </si>
  <si>
    <t>简装</t>
    <phoneticPr fontId="22" type="noConversion"/>
  </si>
  <si>
    <t>正常</t>
  </si>
  <si>
    <t>住宅</t>
    <phoneticPr fontId="22" type="noConversion"/>
  </si>
  <si>
    <t>60-70（含）</t>
  </si>
  <si>
    <t>较差</t>
  </si>
  <si>
    <t>一般</t>
  </si>
  <si>
    <t>较好</t>
  </si>
  <si>
    <t>售价</t>
  </si>
  <si>
    <t>万达城</t>
    <phoneticPr fontId="4" type="noConversion"/>
  </si>
  <si>
    <t>宝信青城</t>
    <phoneticPr fontId="4" type="noConversion"/>
  </si>
  <si>
    <t>都江堰青城山中兴镇聚青路</t>
    <phoneticPr fontId="4" type="noConversion"/>
  </si>
  <si>
    <t>都江堰市青城山镇芒城村</t>
    <phoneticPr fontId="4" type="noConversion"/>
  </si>
  <si>
    <t>都江堰市玉堂镇白玉村</t>
    <phoneticPr fontId="4" type="noConversion"/>
  </si>
  <si>
    <t>明宇豪雅青城</t>
    <phoneticPr fontId="4" type="noConversion"/>
  </si>
  <si>
    <t>中铁水映青城</t>
    <phoneticPr fontId="4" type="noConversion"/>
  </si>
  <si>
    <t>都江堰市中兴镇梅花村</t>
    <phoneticPr fontId="4" type="noConversion"/>
  </si>
  <si>
    <t>独栋</t>
    <phoneticPr fontId="22" type="noConversion"/>
  </si>
  <si>
    <t>双拼</t>
    <phoneticPr fontId="22" type="noConversion"/>
  </si>
  <si>
    <t>联排</t>
  </si>
  <si>
    <t>联排</t>
    <phoneticPr fontId="22" type="noConversion"/>
  </si>
  <si>
    <t>都江堰市玉堂镇永康社区</t>
    <phoneticPr fontId="4" type="noConversion"/>
  </si>
  <si>
    <t>不动产收益法（公寓）</t>
  </si>
  <si>
    <t>不动产收益法（酒店）</t>
    <phoneticPr fontId="15" type="noConversion"/>
  </si>
  <si>
    <t>不动产收益法（配套商业）</t>
  </si>
  <si>
    <t>商业</t>
    <phoneticPr fontId="234" type="noConversion"/>
  </si>
  <si>
    <t>单位面积地价</t>
  </si>
  <si>
    <t>较规则</t>
  </si>
  <si>
    <t>较规则</t>
    <phoneticPr fontId="234" type="noConversion"/>
  </si>
  <si>
    <t>六通一平</t>
    <phoneticPr fontId="234" type="noConversion"/>
  </si>
  <si>
    <t>较好</t>
    <phoneticPr fontId="234" type="noConversion"/>
  </si>
  <si>
    <t>五通一平</t>
    <phoneticPr fontId="234" type="noConversion"/>
  </si>
  <si>
    <t>住宅</t>
    <phoneticPr fontId="27" type="noConversion"/>
  </si>
  <si>
    <t>较规则</t>
    <phoneticPr fontId="27" type="noConversion"/>
  </si>
  <si>
    <t>六通一平</t>
    <phoneticPr fontId="27" type="noConversion"/>
  </si>
  <si>
    <t>较好</t>
    <phoneticPr fontId="27" type="noConversion"/>
  </si>
  <si>
    <r>
      <t>1500</t>
    </r>
    <r>
      <rPr>
        <sz val="11"/>
        <rFont val="宋体"/>
        <family val="3"/>
        <charset val="134"/>
      </rPr>
      <t>平方米农贸市场</t>
    </r>
    <phoneticPr fontId="27" type="noConversion"/>
  </si>
  <si>
    <r>
      <t>2000</t>
    </r>
    <r>
      <rPr>
        <sz val="11"/>
        <rFont val="宋体"/>
        <family val="3"/>
        <charset val="134"/>
      </rPr>
      <t>平方米农贸市场</t>
    </r>
    <phoneticPr fontId="27" type="noConversion"/>
  </si>
  <si>
    <t>青城山大道</t>
    <phoneticPr fontId="27" type="noConversion"/>
  </si>
  <si>
    <t>快速路</t>
    <phoneticPr fontId="27" type="noConversion"/>
  </si>
  <si>
    <t>主干道</t>
  </si>
  <si>
    <t>主干道</t>
    <phoneticPr fontId="27" type="noConversion"/>
  </si>
  <si>
    <t>次干道</t>
    <phoneticPr fontId="27" type="noConversion"/>
  </si>
  <si>
    <t>支路</t>
  </si>
  <si>
    <t>支路</t>
    <phoneticPr fontId="27" type="noConversion"/>
  </si>
  <si>
    <t>永安大道</t>
    <phoneticPr fontId="27" type="noConversion"/>
  </si>
  <si>
    <t>金江路</t>
    <phoneticPr fontId="27" type="noConversion"/>
  </si>
  <si>
    <t>快读路</t>
    <phoneticPr fontId="234" type="noConversion"/>
  </si>
  <si>
    <t>主干道</t>
    <phoneticPr fontId="234" type="noConversion"/>
  </si>
  <si>
    <t>次干道</t>
    <phoneticPr fontId="234" type="noConversion"/>
  </si>
  <si>
    <t>支路</t>
    <phoneticPr fontId="234" type="noConversion"/>
  </si>
  <si>
    <t>五通一平</t>
  </si>
  <si>
    <t>六通一平</t>
  </si>
  <si>
    <t>青城山大道</t>
    <phoneticPr fontId="234" type="noConversion"/>
  </si>
  <si>
    <r>
      <rPr>
        <sz val="11"/>
        <rFont val="宋体"/>
        <family val="3"/>
        <charset val="134"/>
      </rPr>
      <t>配建</t>
    </r>
    <r>
      <rPr>
        <sz val="11"/>
        <rFont val="Arial"/>
        <family val="2"/>
      </rPr>
      <t>13000</t>
    </r>
    <r>
      <rPr>
        <sz val="11"/>
        <rFont val="宋体"/>
        <family val="3"/>
        <charset val="134"/>
      </rPr>
      <t>平米酒店</t>
    </r>
    <phoneticPr fontId="234" type="noConversion"/>
  </si>
  <si>
    <t>仅用于修建酒店</t>
    <phoneticPr fontId="234" type="noConversion"/>
  </si>
  <si>
    <t>东软大道</t>
    <phoneticPr fontId="234" type="noConversion"/>
  </si>
  <si>
    <t>正常操作</t>
  </si>
  <si>
    <t>不动产收益法（酒店）</t>
  </si>
  <si>
    <t>不动产收益法（地下车位）</t>
  </si>
  <si>
    <t>非住宅</t>
    <phoneticPr fontId="234" type="noConversion"/>
  </si>
  <si>
    <r>
      <rPr>
        <sz val="11"/>
        <rFont val="宋体"/>
        <family val="3"/>
        <charset val="134"/>
      </rPr>
      <t>商业不得超过计容面积</t>
    </r>
    <r>
      <rPr>
        <sz val="11"/>
        <rFont val="Arial"/>
        <family val="2"/>
      </rPr>
      <t>30%</t>
    </r>
    <r>
      <rPr>
        <sz val="11"/>
        <rFont val="宋体"/>
        <family val="3"/>
        <charset val="134"/>
      </rPr>
      <t/>
    </r>
    <phoneticPr fontId="27" type="noConversion"/>
  </si>
  <si>
    <t>无</t>
    <phoneticPr fontId="27" type="noConversion"/>
  </si>
  <si>
    <r>
      <rPr>
        <sz val="11"/>
        <rFont val="宋体"/>
        <family val="3"/>
        <charset val="134"/>
      </rPr>
      <t>酒店</t>
    </r>
    <r>
      <rPr>
        <sz val="11"/>
        <rFont val="Arial"/>
        <family val="2"/>
      </rPr>
      <t>3000</t>
    </r>
    <r>
      <rPr>
        <sz val="11"/>
        <rFont val="宋体"/>
        <family val="3"/>
        <charset val="134"/>
      </rPr>
      <t>平米</t>
    </r>
    <phoneticPr fontId="27" type="noConversion"/>
  </si>
  <si>
    <t>一般</t>
    <phoneticPr fontId="22" type="noConversion"/>
  </si>
  <si>
    <r>
      <t>1.</t>
    </r>
    <r>
      <rPr>
        <sz val="10"/>
        <color indexed="8"/>
        <rFont val="宋体"/>
        <family val="3"/>
        <charset val="134"/>
      </rPr>
      <t xml:space="preserve">本指标为清水房总包含土建和一般水电安装工程，不含土石方、地基处理、消防弱电、精装修、门窗、总平绿化等。
</t>
    </r>
    <r>
      <rPr>
        <sz val="10"/>
        <color indexed="8"/>
        <rFont val="Arial"/>
        <family val="2"/>
      </rPr>
      <t/>
    </r>
    <phoneticPr fontId="4" type="noConversion"/>
  </si>
  <si>
    <r>
      <t>2.</t>
    </r>
    <r>
      <rPr>
        <sz val="10"/>
        <color indexed="8"/>
        <rFont val="宋体"/>
        <family val="3"/>
        <charset val="134"/>
      </rPr>
      <t>成都市区</t>
    </r>
    <r>
      <rPr>
        <sz val="10"/>
        <color indexed="8"/>
        <rFont val="Arial"/>
        <family val="2"/>
      </rPr>
      <t>2017</t>
    </r>
    <r>
      <rPr>
        <sz val="10"/>
        <color indexed="8"/>
        <rFont val="宋体"/>
        <family val="3"/>
        <charset val="134"/>
      </rPr>
      <t>下半年较</t>
    </r>
    <r>
      <rPr>
        <sz val="10"/>
        <color indexed="8"/>
        <rFont val="Arial"/>
        <family val="2"/>
      </rPr>
      <t>2017</t>
    </r>
    <r>
      <rPr>
        <sz val="10"/>
        <color indexed="8"/>
        <rFont val="宋体"/>
        <family val="3"/>
        <charset val="134"/>
      </rPr>
      <t>上半年钢材和商砼分别较上半年上涨</t>
    </r>
    <r>
      <rPr>
        <sz val="10"/>
        <color indexed="8"/>
        <rFont val="Arial"/>
        <family val="2"/>
      </rPr>
      <t>11%</t>
    </r>
    <r>
      <rPr>
        <sz val="10"/>
        <color indexed="8"/>
        <rFont val="宋体"/>
        <family val="3"/>
        <charset val="134"/>
      </rPr>
      <t>和</t>
    </r>
    <r>
      <rPr>
        <sz val="10"/>
        <color indexed="8"/>
        <rFont val="Arial"/>
        <family val="2"/>
      </rPr>
      <t>27%</t>
    </r>
    <r>
      <rPr>
        <sz val="10"/>
        <color indexed="8"/>
        <rFont val="宋体"/>
        <family val="3"/>
        <charset val="134"/>
      </rPr>
      <t>，预拌砂浆上涨</t>
    </r>
    <r>
      <rPr>
        <sz val="10"/>
        <color indexed="8"/>
        <rFont val="Arial"/>
        <family val="2"/>
      </rPr>
      <t>20%</t>
    </r>
    <r>
      <rPr>
        <sz val="10"/>
        <color indexed="8"/>
        <rFont val="宋体"/>
        <family val="3"/>
        <charset val="134"/>
      </rPr>
      <t>，水泥上涨</t>
    </r>
    <r>
      <rPr>
        <sz val="10"/>
        <color indexed="8"/>
        <rFont val="Arial"/>
        <family val="2"/>
      </rPr>
      <t>11%</t>
    </r>
    <r>
      <rPr>
        <sz val="10"/>
        <color indexed="8"/>
        <rFont val="宋体"/>
        <family val="3"/>
        <charset val="134"/>
      </rPr>
      <t>。砖上涨</t>
    </r>
    <r>
      <rPr>
        <sz val="10"/>
        <color indexed="8"/>
        <rFont val="Arial"/>
        <family val="2"/>
      </rPr>
      <t>12%</t>
    </r>
    <r>
      <rPr>
        <sz val="10"/>
        <color indexed="8"/>
        <rFont val="宋体"/>
        <family val="3"/>
        <charset val="134"/>
      </rPr>
      <t>。</t>
    </r>
    <phoneticPr fontId="4" type="noConversion"/>
  </si>
  <si>
    <t>商业计容面积</t>
    <phoneticPr fontId="234" type="noConversion"/>
  </si>
  <si>
    <t>住宅计容面积</t>
    <phoneticPr fontId="234" type="noConversion"/>
  </si>
  <si>
    <t>容积率</t>
    <phoneticPr fontId="234" type="noConversion"/>
  </si>
  <si>
    <t>土地面积</t>
    <phoneticPr fontId="234" type="noConversion"/>
  </si>
  <si>
    <t>各用途比例</t>
    <phoneticPr fontId="234" type="noConversion"/>
  </si>
  <si>
    <t>商业</t>
    <phoneticPr fontId="234" type="noConversion"/>
  </si>
  <si>
    <t>住宅</t>
    <phoneticPr fontId="234" type="noConversion"/>
  </si>
  <si>
    <r>
      <t>50-70,1</t>
    </r>
    <r>
      <rPr>
        <sz val="11"/>
        <color indexed="8"/>
        <rFont val="宋体"/>
        <family val="3"/>
        <charset val="134"/>
      </rPr>
      <t>梯</t>
    </r>
    <r>
      <rPr>
        <sz val="11"/>
        <color indexed="8"/>
        <rFont val="Arial"/>
        <family val="2"/>
      </rPr>
      <t>5</t>
    </r>
    <r>
      <rPr>
        <sz val="11"/>
        <color indexed="8"/>
        <rFont val="宋体"/>
        <family val="3"/>
        <charset val="134"/>
      </rPr>
      <t>户，精装标准</t>
    </r>
    <r>
      <rPr>
        <sz val="11"/>
        <color indexed="8"/>
        <rFont val="Arial"/>
        <family val="2"/>
      </rPr>
      <t>2000</t>
    </r>
    <phoneticPr fontId="22" type="noConversion"/>
  </si>
  <si>
    <r>
      <t>50</t>
    </r>
    <r>
      <rPr>
        <sz val="11"/>
        <color indexed="8"/>
        <rFont val="宋体"/>
        <family val="3"/>
        <charset val="134"/>
      </rPr>
      <t>、</t>
    </r>
    <r>
      <rPr>
        <sz val="11"/>
        <color indexed="8"/>
        <rFont val="Arial"/>
        <family val="2"/>
      </rPr>
      <t>80-90</t>
    </r>
    <r>
      <rPr>
        <sz val="11"/>
        <color indexed="8"/>
        <rFont val="宋体"/>
        <family val="3"/>
        <charset val="134"/>
      </rPr>
      <t>，</t>
    </r>
    <r>
      <rPr>
        <sz val="11"/>
        <color indexed="8"/>
        <rFont val="Arial"/>
        <family val="2"/>
      </rPr>
      <t>1</t>
    </r>
    <r>
      <rPr>
        <sz val="11"/>
        <color indexed="8"/>
        <rFont val="宋体"/>
        <family val="3"/>
        <charset val="134"/>
      </rPr>
      <t>梯</t>
    </r>
    <r>
      <rPr>
        <sz val="11"/>
        <color indexed="8"/>
        <rFont val="Arial"/>
        <family val="2"/>
      </rPr>
      <t>2</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4</t>
    </r>
    <r>
      <rPr>
        <sz val="11"/>
        <color indexed="8"/>
        <rFont val="宋体"/>
        <family val="3"/>
        <charset val="134"/>
      </rPr>
      <t>户，精装标准</t>
    </r>
    <r>
      <rPr>
        <sz val="11"/>
        <color indexed="8"/>
        <rFont val="Arial"/>
        <family val="2"/>
      </rPr>
      <t>2500</t>
    </r>
    <r>
      <rPr>
        <sz val="11"/>
        <color indexed="8"/>
        <rFont val="宋体"/>
        <family val="3"/>
        <charset val="134"/>
      </rPr>
      <t>（带家具家电有地暖）</t>
    </r>
    <phoneticPr fontId="22" type="noConversion"/>
  </si>
  <si>
    <t>70</t>
    <phoneticPr fontId="27" type="noConversion"/>
  </si>
  <si>
    <t>70</t>
    <phoneticPr fontId="27" type="noConversion"/>
  </si>
  <si>
    <t>40</t>
    <phoneticPr fontId="234" type="noConversion"/>
  </si>
  <si>
    <t>40</t>
    <phoneticPr fontId="234" type="noConversion"/>
  </si>
  <si>
    <t>商业</t>
    <phoneticPr fontId="8" type="noConversion"/>
  </si>
  <si>
    <t>地下车库</t>
    <phoneticPr fontId="8" type="noConversion"/>
  </si>
  <si>
    <t>单栋办公建筑面积(㎡）</t>
    <phoneticPr fontId="4" type="noConversion"/>
  </si>
  <si>
    <t>单栋商业建筑面积(㎡）</t>
    <phoneticPr fontId="4" type="noConversion"/>
  </si>
  <si>
    <t>单栋酒店建筑面积(㎡）</t>
    <phoneticPr fontId="4" type="noConversion"/>
  </si>
  <si>
    <t>设备用房(㎡）</t>
    <phoneticPr fontId="4" type="noConversion"/>
  </si>
  <si>
    <t>酒店(㎡）</t>
    <phoneticPr fontId="4" type="noConversion"/>
  </si>
  <si>
    <t>B27号楼</t>
    <phoneticPr fontId="4" type="noConversion"/>
  </si>
  <si>
    <t>B28号楼</t>
    <phoneticPr fontId="4" type="noConversion"/>
  </si>
  <si>
    <t>B29号楼</t>
    <phoneticPr fontId="4" type="noConversion"/>
  </si>
  <si>
    <t>B30号楼</t>
    <phoneticPr fontId="4" type="noConversion"/>
  </si>
  <si>
    <t>B31号楼</t>
    <phoneticPr fontId="4" type="noConversion"/>
  </si>
  <si>
    <t>B32号楼</t>
    <phoneticPr fontId="4" type="noConversion"/>
  </si>
  <si>
    <t>B33号楼</t>
    <phoneticPr fontId="4" type="noConversion"/>
  </si>
  <si>
    <t>B34号楼</t>
    <phoneticPr fontId="4" type="noConversion"/>
  </si>
  <si>
    <t>B35号楼</t>
  </si>
  <si>
    <t>B36号楼</t>
  </si>
  <si>
    <t>B37号楼</t>
    <phoneticPr fontId="4" type="noConversion"/>
  </si>
  <si>
    <t>B38号楼</t>
    <phoneticPr fontId="4" type="noConversion"/>
  </si>
  <si>
    <t>B39号楼</t>
    <phoneticPr fontId="4" type="noConversion"/>
  </si>
  <si>
    <t>B40号楼</t>
    <phoneticPr fontId="4" type="noConversion"/>
  </si>
  <si>
    <t>B41号楼</t>
    <phoneticPr fontId="4" type="noConversion"/>
  </si>
  <si>
    <t>B42号楼</t>
    <phoneticPr fontId="4" type="noConversion"/>
  </si>
  <si>
    <t>B43号楼</t>
  </si>
  <si>
    <t>B44号楼</t>
    <phoneticPr fontId="4" type="noConversion"/>
  </si>
  <si>
    <t>B45号楼</t>
    <phoneticPr fontId="4" type="noConversion"/>
  </si>
  <si>
    <t>B46号楼</t>
    <phoneticPr fontId="4" type="noConversion"/>
  </si>
  <si>
    <t>B47号楼</t>
  </si>
  <si>
    <t>地下室</t>
    <phoneticPr fontId="4" type="noConversion"/>
  </si>
  <si>
    <t>梦享·青城项目二期综合经济技术指标</t>
  </si>
  <si>
    <t>①套型总建筑面积不大于90 m²的住宅面积及占住宅总建筑面积的比例</t>
  </si>
  <si>
    <t>②套型总建筑面积大于 90 m²的住宅面积及占住宅总建筑面积的比例</t>
  </si>
  <si>
    <t>非住宅</t>
  </si>
  <si>
    <t>办公用房</t>
  </si>
  <si>
    <t>办公建筑面积</t>
  </si>
  <si>
    <t>非生产性工业用房</t>
  </si>
  <si>
    <t>与项目一期合并建设，一期物管用房为468.32㎡，满足一期二期所需。</t>
    <phoneticPr fontId="4" type="noConversion"/>
  </si>
  <si>
    <t>xx用房</t>
  </si>
  <si>
    <t>⑦</t>
  </si>
  <si>
    <t>公共服务配套设施</t>
  </si>
  <si>
    <t>社区服务中心</t>
  </si>
  <si>
    <t>社区用房</t>
  </si>
  <si>
    <t>街道办事处</t>
  </si>
  <si>
    <t>D</t>
  </si>
  <si>
    <t>农贸市场</t>
  </si>
  <si>
    <t>E</t>
  </si>
  <si>
    <t>邮政服务网点</t>
  </si>
  <si>
    <t>F</t>
  </si>
  <si>
    <t>公厕</t>
  </si>
  <si>
    <t>G</t>
  </si>
  <si>
    <t>市政设施用房</t>
  </si>
  <si>
    <t>H</t>
  </si>
  <si>
    <t>文化活动中心</t>
  </si>
  <si>
    <t>I</t>
  </si>
  <si>
    <t>文化活动站</t>
  </si>
  <si>
    <t>J</t>
  </si>
  <si>
    <t>社区卫生服务中心</t>
  </si>
  <si>
    <t>K</t>
  </si>
  <si>
    <t>社区卫生服务站</t>
  </si>
  <si>
    <t>L</t>
  </si>
  <si>
    <t>体育活动中心</t>
  </si>
  <si>
    <t>M</t>
  </si>
  <si>
    <t>幼儿园</t>
  </si>
  <si>
    <t>N</t>
  </si>
  <si>
    <t>小学</t>
  </si>
  <si>
    <t>O</t>
  </si>
  <si>
    <t>中学</t>
  </si>
  <si>
    <t>P</t>
  </si>
  <si>
    <t>派出所</t>
  </si>
  <si>
    <t>Q</t>
  </si>
  <si>
    <t>变（配）电站</t>
  </si>
  <si>
    <t>R</t>
  </si>
  <si>
    <t>开闭所</t>
  </si>
  <si>
    <t>S</t>
  </si>
  <si>
    <t>加油站</t>
  </si>
  <si>
    <t>T</t>
  </si>
  <si>
    <t>加气站</t>
  </si>
  <si>
    <t>U</t>
  </si>
  <si>
    <t>充电站</t>
  </si>
  <si>
    <t>商业檐廊</t>
  </si>
  <si>
    <t>其中：半地下商业用房（计容）</t>
  </si>
  <si>
    <t>其中：半地下办公用房（计容）</t>
  </si>
  <si>
    <t>其中：半地下酒店用房（计容）</t>
  </si>
  <si>
    <t>住宅用房</t>
  </si>
  <si>
    <t>其中：半地下住宅用房（计容）</t>
  </si>
  <si>
    <t>蓄水池</t>
  </si>
  <si>
    <t>xx配套用房</t>
  </si>
  <si>
    <t>住宅容积率</t>
  </si>
  <si>
    <t>高层主体基底（基座）面积</t>
  </si>
  <si>
    <t>高层主体建筑密度</t>
  </si>
  <si>
    <t>考虑二期不设地下室，二期所需机动车位设置于一期地库。</t>
  </si>
  <si>
    <t>1.停车库内停车位</t>
  </si>
  <si>
    <t>1.非住宅停车位</t>
  </si>
  <si>
    <t>（1）办公停车位</t>
  </si>
  <si>
    <t>机械停车位数量</t>
  </si>
  <si>
    <t>机械停车位占总机动车停车位的比例</t>
  </si>
  <si>
    <t>考虑二期不设地下室，二期所需非机动车位设置于一期地库。</t>
  </si>
  <si>
    <t>地上停车位总量</t>
  </si>
  <si>
    <t>（一）</t>
  </si>
  <si>
    <t>简装</t>
  </si>
  <si>
    <t>不小于</t>
    <phoneticPr fontId="234" type="noConversion"/>
  </si>
  <si>
    <t>不大于</t>
    <phoneticPr fontId="234" type="noConversion"/>
  </si>
  <si>
    <t>出让合同</t>
    <phoneticPr fontId="234" type="noConversion"/>
  </si>
  <si>
    <t>用地规证</t>
    <phoneticPr fontId="234" type="noConversion"/>
  </si>
  <si>
    <t>规划总建筑面积</t>
    <phoneticPr fontId="234" type="noConversion"/>
  </si>
  <si>
    <t>地上建筑面积</t>
    <phoneticPr fontId="234" type="noConversion"/>
  </si>
  <si>
    <t>地上计容建筑面积</t>
    <phoneticPr fontId="234" type="noConversion"/>
  </si>
  <si>
    <t>住宅</t>
    <phoneticPr fontId="234" type="noConversion"/>
  </si>
  <si>
    <t>非住宅</t>
    <phoneticPr fontId="234" type="noConversion"/>
  </si>
  <si>
    <t>商业</t>
    <phoneticPr fontId="234" type="noConversion"/>
  </si>
  <si>
    <t>酒店</t>
    <phoneticPr fontId="234" type="noConversion"/>
  </si>
  <si>
    <t>写字楼</t>
    <phoneticPr fontId="234" type="noConversion"/>
  </si>
  <si>
    <t>配套</t>
    <phoneticPr fontId="234" type="noConversion"/>
  </si>
  <si>
    <t>小计</t>
    <phoneticPr fontId="234" type="noConversion"/>
  </si>
  <si>
    <t>地上不计容建筑面积</t>
    <phoneticPr fontId="234" type="noConversion"/>
  </si>
  <si>
    <t>地下建筑面积</t>
    <phoneticPr fontId="234" type="noConversion"/>
  </si>
  <si>
    <t>车位</t>
    <phoneticPr fontId="234" type="noConversion"/>
  </si>
  <si>
    <t>其他</t>
    <phoneticPr fontId="234" type="noConversion"/>
  </si>
  <si>
    <t>土地</t>
    <phoneticPr fontId="234" type="noConversion"/>
  </si>
  <si>
    <t>合计</t>
    <phoneticPr fontId="234" type="noConversion"/>
  </si>
  <si>
    <t>中兴镇新益村一、五、七、八组510181016002GB00012号一宗住宅、商业用地</t>
    <phoneticPr fontId="7" type="noConversion"/>
  </si>
  <si>
    <t>《国有建设用地使用权出让合同》[合同编号：510181-2012-（C）-004、510181-2012-（C）-005、510181-2012-（C）-006]及附件、《北京市规划委员会关于同意XX项目的规划设计方案的规划意见复函》[]以及《建设工程规划许可证》[]</t>
    <phoneticPr fontId="7" type="noConversion"/>
  </si>
  <si>
    <t>各用途容积率</t>
    <phoneticPr fontId="234" type="noConversion"/>
  </si>
  <si>
    <t>各用途土地面积占比</t>
    <phoneticPr fontId="234" type="noConversion"/>
  </si>
  <si>
    <t>叠拼</t>
  </si>
  <si>
    <t>叠拼</t>
    <phoneticPr fontId="234" type="noConversion"/>
  </si>
  <si>
    <r>
      <rPr>
        <b/>
        <sz val="16"/>
        <color indexed="10"/>
        <rFont val="仿宋_GB2312"/>
        <family val="3"/>
        <charset val="134"/>
      </rPr>
      <t>套用比较法</t>
    </r>
    <phoneticPr fontId="4" type="noConversion"/>
  </si>
  <si>
    <r>
      <rPr>
        <b/>
        <sz val="16"/>
        <rFont val="仿宋_GB2312"/>
        <family val="3"/>
        <charset val="134"/>
      </rPr>
      <t>住宅、综合</t>
    </r>
    <phoneticPr fontId="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</si>
  <si>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4" type="noConversion"/>
  </si>
  <si>
    <r>
      <rPr>
        <b/>
        <sz val="12"/>
        <rFont val="仿宋_GB2312"/>
        <family val="3"/>
        <charset val="134"/>
      </rPr>
      <t>总价</t>
    </r>
    <phoneticPr fontId="4" type="noConversion"/>
  </si>
  <si>
    <t>楼面地价</t>
    <phoneticPr fontId="4" type="noConversion"/>
  </si>
  <si>
    <r>
      <rPr>
        <b/>
        <sz val="12"/>
        <rFont val="仿宋_GB2312"/>
        <family val="3"/>
        <charset val="134"/>
      </rPr>
      <t>单位面积地价</t>
    </r>
    <phoneticPr fontId="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</si>
  <si>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4"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</si>
  <si>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</si>
  <si>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</si>
  <si>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</si>
  <si>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</si>
  <si>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</si>
  <si>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</si>
  <si>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</si>
  <si>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</si>
  <si>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项目位置</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</si>
  <si>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</si>
  <si>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</si>
  <si>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</si>
  <si>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t>100/</t>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</si>
  <si>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</si>
  <si>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</si>
  <si>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交易情况</t>
    </r>
    <phoneticPr fontId="4" type="noConversion"/>
  </si>
  <si>
    <t>100/</t>
    <phoneticPr fontId="4" type="noConversion"/>
  </si>
  <si>
    <r>
      <rPr>
        <b/>
        <sz val="11"/>
        <color indexed="8"/>
        <rFont val="仿宋_GB2312"/>
        <family val="3"/>
        <charset val="134"/>
      </rPr>
      <t>用途</t>
    </r>
    <phoneticPr fontId="4" type="noConversion"/>
  </si>
  <si>
    <r>
      <rPr>
        <sz val="11"/>
        <rFont val="仿宋_GB2312"/>
        <family val="3"/>
        <charset val="134"/>
      </rPr>
      <t>权益状况</t>
    </r>
    <phoneticPr fontId="4" type="noConversion"/>
  </si>
  <si>
    <t>100/</t>
    <phoneticPr fontId="4" type="noConversion"/>
  </si>
  <si>
    <r>
      <rPr>
        <sz val="11"/>
        <color indexed="8"/>
        <rFont val="仿宋_GB2312"/>
        <family val="3"/>
        <charset val="134"/>
      </rPr>
      <t>权益状况</t>
    </r>
    <phoneticPr fontId="4" type="noConversion"/>
  </si>
  <si>
    <r>
      <rPr>
        <b/>
        <sz val="11"/>
        <color indexed="8"/>
        <rFont val="仿宋_GB2312"/>
        <family val="3"/>
        <charset val="134"/>
      </rPr>
      <t>土地使用年限（年）</t>
    </r>
    <phoneticPr fontId="4" type="noConversion"/>
  </si>
  <si>
    <t>70</t>
    <phoneticPr fontId="4" type="noConversion"/>
  </si>
  <si>
    <t>100/</t>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</si>
  <si>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</si>
  <si>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4" type="noConversion"/>
  </si>
  <si>
    <t>配套500平米</t>
    <phoneticPr fontId="4" type="noConversion"/>
  </si>
  <si>
    <r>
      <rPr>
        <sz val="11"/>
        <rFont val="宋体"/>
        <family val="3"/>
        <charset val="134"/>
      </rPr>
      <t>商业不得超过计容面积</t>
    </r>
    <r>
      <rPr>
        <sz val="11"/>
        <rFont val="Arial"/>
        <family val="2"/>
      </rPr>
      <t>30%</t>
    </r>
    <r>
      <rPr>
        <sz val="11"/>
        <rFont val="宋体"/>
        <family val="3"/>
        <charset val="134"/>
      </rPr>
      <t/>
    </r>
    <phoneticPr fontId="4" type="noConversion"/>
  </si>
  <si>
    <t>商业比</t>
    <phoneticPr fontId="4" type="noConversion"/>
  </si>
  <si>
    <t>区域因素</t>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</si>
  <si>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</si>
  <si>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4" type="noConversion"/>
  </si>
  <si>
    <t>100/</t>
    <phoneticPr fontId="4" type="noConversion"/>
  </si>
  <si>
    <r>
      <rPr>
        <sz val="11"/>
        <color indexed="8"/>
        <rFont val="仿宋_GB2312"/>
        <family val="3"/>
        <charset val="134"/>
      </rPr>
      <t>交通便捷度</t>
    </r>
    <phoneticPr fontId="4" type="noConversion"/>
  </si>
  <si>
    <t>公共配套设施</t>
    <phoneticPr fontId="4" type="noConversion"/>
  </si>
  <si>
    <t>基础设施水平</t>
    <phoneticPr fontId="4" type="noConversion"/>
  </si>
  <si>
    <r>
      <rPr>
        <sz val="11"/>
        <color indexed="8"/>
        <rFont val="仿宋_GB2312"/>
        <family val="3"/>
        <charset val="134"/>
      </rPr>
      <t>临街状况</t>
    </r>
    <phoneticPr fontId="4" type="noConversion"/>
  </si>
  <si>
    <t>100/</t>
    <phoneticPr fontId="4" type="noConversion"/>
  </si>
  <si>
    <r>
      <rPr>
        <sz val="11"/>
        <color indexed="8"/>
        <rFont val="仿宋_GB2312"/>
        <family val="3"/>
        <charset val="134"/>
      </rPr>
      <t>毗邻道路的类型与等级</t>
    </r>
    <phoneticPr fontId="4" type="noConversion"/>
  </si>
  <si>
    <t>青城山大道</t>
    <phoneticPr fontId="4" type="noConversion"/>
  </si>
  <si>
    <t>外北街</t>
    <phoneticPr fontId="4" type="noConversion"/>
  </si>
  <si>
    <r>
      <rPr>
        <sz val="11"/>
        <color indexed="8"/>
        <rFont val="仿宋_GB2312"/>
        <family val="3"/>
        <charset val="134"/>
      </rPr>
      <t>土地级别</t>
    </r>
    <phoneticPr fontId="4" type="noConversion"/>
  </si>
  <si>
    <r>
      <rPr>
        <sz val="11"/>
        <rFont val="仿宋_GB2312"/>
        <family val="3"/>
        <charset val="134"/>
      </rPr>
      <t>实物状况</t>
    </r>
    <phoneticPr fontId="4" type="noConversion"/>
  </si>
  <si>
    <t>个别因素</t>
    <phoneticPr fontId="4"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</si>
  <si>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</si>
  <si>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</si>
  <si>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</si>
  <si>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t>100/</t>
    <phoneticPr fontId="4" type="noConversion"/>
  </si>
  <si>
    <t>100/</t>
    <phoneticPr fontId="4" type="noConversion"/>
  </si>
  <si>
    <r>
      <rPr>
        <sz val="11"/>
        <color indexed="8"/>
        <rFont val="仿宋_GB2312"/>
        <family val="3"/>
        <charset val="134"/>
      </rPr>
      <t>工程地质条件</t>
    </r>
    <phoneticPr fontId="4" type="noConversion"/>
  </si>
  <si>
    <r>
      <rPr>
        <sz val="11"/>
        <rFont val="仿宋_GB2312"/>
        <family val="3"/>
        <charset val="134"/>
      </rPr>
      <t>实物状况</t>
    </r>
    <phoneticPr fontId="4" type="noConversion"/>
  </si>
  <si>
    <r>
      <rPr>
        <sz val="11"/>
        <rFont val="仿宋_GB2312"/>
        <family val="3"/>
        <charset val="134"/>
      </rPr>
      <t>实物状况</t>
    </r>
    <phoneticPr fontId="4"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</si>
  <si>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</si>
  <si>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4"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</si>
  <si>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</si>
  <si>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</si>
  <si>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</si>
  <si>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</si>
  <si>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4" type="noConversion"/>
  </si>
  <si>
    <r>
      <rPr>
        <sz val="11"/>
        <rFont val="仿宋_GB2312"/>
        <family val="3"/>
        <charset val="134"/>
      </rPr>
      <t>修正单价</t>
    </r>
    <phoneticPr fontId="4" type="noConversion"/>
  </si>
  <si>
    <t>政府土地出让收益比例</t>
    <phoneticPr fontId="4" type="noConversion"/>
  </si>
  <si>
    <r>
      <rPr>
        <sz val="11"/>
        <rFont val="仿宋_GB2312"/>
        <family val="3"/>
        <charset val="134"/>
      </rPr>
      <t>建筑面积</t>
    </r>
    <phoneticPr fontId="4" type="noConversion"/>
  </si>
  <si>
    <r>
      <rPr>
        <sz val="11"/>
        <rFont val="仿宋_GB2312"/>
        <family val="3"/>
        <charset val="134"/>
      </rPr>
      <t>总价</t>
    </r>
    <phoneticPr fontId="4" type="noConversion"/>
  </si>
  <si>
    <t>对应的地上用途及土地级别（北京市）</t>
    <phoneticPr fontId="4" type="noConversion"/>
  </si>
  <si>
    <t>北京市</t>
    <phoneticPr fontId="4" type="noConversion"/>
  </si>
  <si>
    <t>外省市地下修正系数请自行录入</t>
    <phoneticPr fontId="4" type="noConversion"/>
  </si>
  <si>
    <r>
      <rPr>
        <sz val="10"/>
        <rFont val="仿宋_GB2312"/>
        <family val="3"/>
        <charset val="134"/>
      </rPr>
      <t>地上</t>
    </r>
    <phoneticPr fontId="4" type="noConversion"/>
  </si>
  <si>
    <r>
      <rPr>
        <sz val="10"/>
        <rFont val="仿宋_GB2312"/>
        <family val="3"/>
        <charset val="134"/>
      </rPr>
      <t>地下商业（</t>
    </r>
    <r>
      <rPr>
        <sz val="10"/>
        <rFont val="Arial"/>
        <family val="2"/>
      </rPr>
      <t>-1</t>
    </r>
    <r>
      <rPr>
        <sz val="10"/>
        <rFont val="仿宋_GB2312"/>
        <family val="3"/>
        <charset val="134"/>
      </rPr>
      <t>）</t>
    </r>
    <phoneticPr fontId="4" type="noConversion"/>
  </si>
  <si>
    <t>对应商业级别</t>
    <phoneticPr fontId="4" type="noConversion"/>
  </si>
  <si>
    <r>
      <rPr>
        <sz val="10"/>
        <rFont val="仿宋_GB2312"/>
        <family val="3"/>
        <charset val="134"/>
      </rPr>
      <t>地下商业（</t>
    </r>
    <r>
      <rPr>
        <sz val="10"/>
        <rFont val="Arial"/>
        <family val="2"/>
      </rPr>
      <t>-2</t>
    </r>
    <r>
      <rPr>
        <sz val="10"/>
        <rFont val="仿宋_GB2312"/>
        <family val="3"/>
        <charset val="134"/>
      </rPr>
      <t>）</t>
    </r>
    <phoneticPr fontId="4" type="noConversion"/>
  </si>
  <si>
    <r>
      <rPr>
        <sz val="10"/>
        <rFont val="仿宋_GB2312"/>
        <family val="3"/>
        <charset val="134"/>
      </rPr>
      <t>地下商业（</t>
    </r>
    <r>
      <rPr>
        <sz val="10"/>
        <rFont val="Arial"/>
        <family val="2"/>
      </rPr>
      <t>-3</t>
    </r>
    <r>
      <rPr>
        <sz val="10"/>
        <rFont val="仿宋_GB2312"/>
        <family val="3"/>
        <charset val="134"/>
      </rPr>
      <t>）</t>
    </r>
    <phoneticPr fontId="4" type="noConversion"/>
  </si>
  <si>
    <r>
      <rPr>
        <sz val="10"/>
        <rFont val="仿宋_GB2312"/>
        <family val="3"/>
        <charset val="134"/>
      </rPr>
      <t>地下商业（</t>
    </r>
    <r>
      <rPr>
        <sz val="10"/>
        <rFont val="Arial"/>
        <family val="2"/>
      </rPr>
      <t>-4</t>
    </r>
    <r>
      <rPr>
        <sz val="10"/>
        <rFont val="仿宋_GB2312"/>
        <family val="3"/>
        <charset val="134"/>
      </rPr>
      <t>）</t>
    </r>
    <phoneticPr fontId="4" type="noConversion"/>
  </si>
  <si>
    <t>地下办公（含物业）</t>
    <phoneticPr fontId="4" type="noConversion"/>
  </si>
  <si>
    <t>对应办公级别</t>
    <phoneticPr fontId="4" type="noConversion"/>
  </si>
  <si>
    <r>
      <rPr>
        <sz val="10"/>
        <rFont val="仿宋_GB2312"/>
        <family val="3"/>
        <charset val="134"/>
      </rPr>
      <t>地下仓储</t>
    </r>
    <phoneticPr fontId="4" type="noConversion"/>
  </si>
  <si>
    <r>
      <rPr>
        <sz val="10"/>
        <rFont val="仿宋_GB2312"/>
        <family val="3"/>
        <charset val="134"/>
      </rPr>
      <t>地下车库</t>
    </r>
    <phoneticPr fontId="4" type="noConversion"/>
  </si>
  <si>
    <r>
      <rPr>
        <sz val="10"/>
        <rFont val="仿宋_GB2312"/>
        <family val="3"/>
        <charset val="134"/>
      </rPr>
      <t>地下车库</t>
    </r>
    <r>
      <rPr>
        <sz val="10"/>
        <rFont val="Arial"/>
        <family val="2"/>
      </rPr>
      <t>-</t>
    </r>
    <r>
      <rPr>
        <sz val="10"/>
        <rFont val="仿宋_GB2312"/>
        <family val="3"/>
        <charset val="134"/>
      </rPr>
      <t>商业</t>
    </r>
    <phoneticPr fontId="4" type="noConversion"/>
  </si>
  <si>
    <r>
      <rPr>
        <sz val="10"/>
        <rFont val="仿宋_GB2312"/>
        <family val="3"/>
        <charset val="134"/>
      </rPr>
      <t>地下车库</t>
    </r>
    <r>
      <rPr>
        <sz val="10"/>
        <rFont val="Arial"/>
        <family val="2"/>
      </rPr>
      <t>-</t>
    </r>
    <r>
      <rPr>
        <sz val="10"/>
        <rFont val="仿宋_GB2312"/>
        <family val="3"/>
        <charset val="134"/>
      </rPr>
      <t>办公</t>
    </r>
    <phoneticPr fontId="4" type="noConversion"/>
  </si>
  <si>
    <r>
      <rPr>
        <b/>
        <sz val="10"/>
        <rFont val="仿宋_GB2312"/>
        <family val="3"/>
        <charset val="134"/>
      </rPr>
      <t>土地购买价格</t>
    </r>
    <phoneticPr fontId="4" type="noConversion"/>
  </si>
  <si>
    <t>-</t>
    <phoneticPr fontId="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</si>
  <si>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</si>
  <si>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t>交易时间（按季度修正）</t>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</si>
  <si>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</si>
  <si>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</si>
  <si>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phoneticPr fontId="4" type="noConversion"/>
  </si>
  <si>
    <r>
      <rPr>
        <b/>
        <sz val="11"/>
        <rFont val="仿宋_GB2312"/>
        <family val="3"/>
        <charset val="134"/>
      </rPr>
      <t>权益状况</t>
    </r>
    <phoneticPr fontId="4" type="noConversion"/>
  </si>
  <si>
    <r>
      <rPr>
        <sz val="11"/>
        <color indexed="8"/>
        <rFont val="仿宋_GB2312"/>
        <family val="3"/>
        <charset val="134"/>
      </rPr>
      <t>用途</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</si>
  <si>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</si>
  <si>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</si>
  <si>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t>无</t>
    <phoneticPr fontId="4" type="noConversion"/>
  </si>
  <si>
    <r>
      <rPr>
        <b/>
        <sz val="11"/>
        <rFont val="仿宋_GB2312"/>
        <family val="3"/>
        <charset val="134"/>
      </rPr>
      <t>区位状况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</si>
  <si>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</si>
  <si>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</si>
  <si>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</si>
  <si>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</si>
  <si>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</si>
  <si>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</si>
  <si>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</si>
  <si>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</si>
  <si>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</si>
  <si>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</si>
  <si>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</si>
  <si>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4" type="noConversion"/>
  </si>
  <si>
    <r>
      <rPr>
        <sz val="11"/>
        <rFont val="仿宋_GB2312"/>
        <family val="3"/>
        <charset val="134"/>
      </rPr>
      <t>双面临街</t>
    </r>
    <phoneticPr fontId="4" type="noConversion"/>
  </si>
  <si>
    <r>
      <rPr>
        <sz val="11"/>
        <rFont val="仿宋_GB2312"/>
        <family val="3"/>
        <charset val="134"/>
      </rPr>
      <t>单面临街</t>
    </r>
    <phoneticPr fontId="4" type="noConversion"/>
  </si>
  <si>
    <r>
      <rPr>
        <sz val="11"/>
        <rFont val="仿宋_GB2312"/>
        <family val="3"/>
        <charset val="134"/>
      </rPr>
      <t>不临街</t>
    </r>
    <phoneticPr fontId="4" type="noConversion"/>
  </si>
  <si>
    <t>快速路</t>
    <phoneticPr fontId="4" type="noConversion"/>
  </si>
  <si>
    <t>主干道</t>
    <phoneticPr fontId="4" type="noConversion"/>
  </si>
  <si>
    <t>次干道</t>
    <phoneticPr fontId="4" type="noConversion"/>
  </si>
  <si>
    <t>支路</t>
    <phoneticPr fontId="4" type="noConversion"/>
  </si>
  <si>
    <r>
      <rPr>
        <sz val="11"/>
        <color indexed="8"/>
        <rFont val="仿宋_GB2312"/>
        <family val="3"/>
        <charset val="134"/>
      </rPr>
      <t>土地级别</t>
    </r>
    <phoneticPr fontId="4" type="noConversion"/>
  </si>
  <si>
    <r>
      <rPr>
        <b/>
        <sz val="11"/>
        <rFont val="仿宋_GB2312"/>
        <family val="3"/>
        <charset val="134"/>
      </rPr>
      <t>实物状况</t>
    </r>
    <phoneticPr fontId="4" type="noConversion"/>
  </si>
  <si>
    <t>较规则</t>
    <phoneticPr fontId="4" type="noConversion"/>
  </si>
  <si>
    <t>六通一平</t>
    <phoneticPr fontId="4" type="noConversion"/>
  </si>
  <si>
    <t>较好</t>
    <phoneticPr fontId="4" type="noConversion"/>
  </si>
  <si>
    <t>比较法-住宅、综合（楼面价）</t>
  </si>
  <si>
    <r>
      <t>比较法</t>
    </r>
    <r>
      <rPr>
        <sz val="11"/>
        <color theme="1"/>
        <rFont val="Arial"/>
        <family val="2"/>
      </rPr>
      <t>-</t>
    </r>
    <r>
      <rPr>
        <sz val="11"/>
        <color theme="1"/>
        <rFont val="宋体"/>
        <family val="3"/>
        <charset val="134"/>
      </rPr>
      <t>住宅、综合（楼面价）</t>
    </r>
  </si>
  <si>
    <r>
      <rPr>
        <sz val="11"/>
        <rFont val="宋体"/>
        <family val="3"/>
        <charset val="134"/>
      </rPr>
      <t>大于等于</t>
    </r>
    <r>
      <rPr>
        <sz val="11"/>
        <rFont val="Arial"/>
        <family val="2"/>
      </rPr>
      <t>50%</t>
    </r>
    <phoneticPr fontId="234" type="noConversion"/>
  </si>
  <si>
    <r>
      <rPr>
        <sz val="11"/>
        <color indexed="8"/>
        <rFont val="宋体"/>
        <family val="3"/>
        <charset val="134"/>
      </rPr>
      <t>大于等于</t>
    </r>
    <r>
      <rPr>
        <sz val="11"/>
        <color indexed="8"/>
        <rFont val="Arial"/>
        <family val="2"/>
      </rPr>
      <t>50%</t>
    </r>
    <phoneticPr fontId="234" type="noConversion"/>
  </si>
  <si>
    <r>
      <rPr>
        <sz val="11"/>
        <color indexed="8"/>
        <rFont val="宋体"/>
        <family val="3"/>
        <charset val="134"/>
      </rPr>
      <t>小于</t>
    </r>
    <r>
      <rPr>
        <sz val="11"/>
        <color indexed="8"/>
        <rFont val="Arial"/>
        <family val="2"/>
      </rPr>
      <t>50%</t>
    </r>
    <phoneticPr fontId="234" type="noConversion"/>
  </si>
  <si>
    <r>
      <rPr>
        <sz val="11"/>
        <rFont val="宋体"/>
        <family val="3"/>
        <charset val="134"/>
      </rPr>
      <t>小于</t>
    </r>
    <r>
      <rPr>
        <sz val="11"/>
        <rFont val="Arial"/>
        <family val="2"/>
      </rPr>
      <t>50%</t>
    </r>
    <phoneticPr fontId="234" type="noConversion"/>
  </si>
  <si>
    <t>五星级酒店街皮套设施不小于40000平方米</t>
    <phoneticPr fontId="4" type="noConversion"/>
  </si>
  <si>
    <t>周边居住用地比例、居住小区规模和社区发展完善程度</t>
    <phoneticPr fontId="4" type="noConversion"/>
  </si>
  <si>
    <r>
      <t>XX</t>
    </r>
    <r>
      <rPr>
        <sz val="11"/>
        <color theme="9" tint="-0.249977111117893"/>
        <rFont val="仿宋_GB2312"/>
        <family val="3"/>
        <charset val="134"/>
      </rPr>
      <t>商圈，周边商业氛围，人流量</t>
    </r>
    <phoneticPr fontId="4" type="noConversion"/>
  </si>
  <si>
    <t>周边道路状况、公共交通通达情况、停车便捷程度</t>
    <phoneticPr fontId="4" type="noConversion"/>
  </si>
  <si>
    <t>建兴路</t>
    <phoneticPr fontId="4" type="noConversion"/>
  </si>
  <si>
    <t>住宅、商业</t>
  </si>
  <si>
    <t>住宅、商业</t>
    <phoneticPr fontId="4" type="noConversion"/>
  </si>
  <si>
    <r>
      <rPr>
        <sz val="11"/>
        <rFont val="宋体"/>
        <family val="3"/>
        <charset val="134"/>
      </rPr>
      <t>社区用房</t>
    </r>
    <r>
      <rPr>
        <sz val="11"/>
        <rFont val="Arial"/>
        <family val="2"/>
      </rPr>
      <t>500</t>
    </r>
    <r>
      <rPr>
        <sz val="11"/>
        <rFont val="宋体"/>
        <family val="3"/>
        <charset val="134"/>
      </rPr>
      <t>平米无偿移交政府、政府灾毁地块、存在零星地块</t>
    </r>
    <r>
      <rPr>
        <sz val="11"/>
        <rFont val="Arial"/>
        <family val="2"/>
      </rPr>
      <t>330</t>
    </r>
    <r>
      <rPr>
        <sz val="11"/>
        <rFont val="宋体"/>
        <family val="3"/>
        <charset val="134"/>
      </rPr>
      <t>平方米</t>
    </r>
    <phoneticPr fontId="4" type="noConversion"/>
  </si>
  <si>
    <r>
      <rPr>
        <sz val="11"/>
        <rFont val="宋体"/>
        <family val="3"/>
        <charset val="134"/>
      </rPr>
      <t>文化活动站</t>
    </r>
    <r>
      <rPr>
        <sz val="11"/>
        <rFont val="Arial"/>
        <family val="2"/>
      </rPr>
      <t>300</t>
    </r>
    <r>
      <rPr>
        <sz val="11"/>
        <rFont val="宋体"/>
        <family val="3"/>
        <charset val="134"/>
      </rPr>
      <t>平米无偿移交政府</t>
    </r>
    <phoneticPr fontId="4" type="noConversion"/>
  </si>
  <si>
    <r>
      <t>92</t>
    </r>
    <r>
      <rPr>
        <sz val="11"/>
        <color indexed="8"/>
        <rFont val="宋体"/>
        <family val="3"/>
        <charset val="134"/>
      </rPr>
      <t>，</t>
    </r>
    <r>
      <rPr>
        <sz val="11"/>
        <color indexed="8"/>
        <rFont val="Arial"/>
        <family val="2"/>
      </rPr>
      <t>8</t>
    </r>
    <r>
      <rPr>
        <sz val="11"/>
        <color indexed="8"/>
        <rFont val="宋体"/>
        <family val="3"/>
        <charset val="134"/>
      </rPr>
      <t>联排，地上</t>
    </r>
    <r>
      <rPr>
        <sz val="11"/>
        <color indexed="8"/>
        <rFont val="Arial"/>
        <family val="2"/>
      </rPr>
      <t>3</t>
    </r>
    <r>
      <rPr>
        <sz val="11"/>
        <color indexed="8"/>
        <rFont val="宋体"/>
        <family val="3"/>
        <charset val="134"/>
      </rPr>
      <t>层</t>
    </r>
    <phoneticPr fontId="234" type="noConversion"/>
  </si>
  <si>
    <r>
      <t>95</t>
    </r>
    <r>
      <rPr>
        <sz val="11"/>
        <color indexed="8"/>
        <rFont val="宋体"/>
        <family val="3"/>
        <charset val="134"/>
      </rPr>
      <t>，</t>
    </r>
    <r>
      <rPr>
        <sz val="11"/>
        <color indexed="8"/>
        <rFont val="Arial"/>
        <family val="2"/>
      </rPr>
      <t>6</t>
    </r>
    <r>
      <rPr>
        <sz val="11"/>
        <color indexed="8"/>
        <rFont val="宋体"/>
        <family val="3"/>
        <charset val="134"/>
      </rPr>
      <t>联排，地上</t>
    </r>
    <r>
      <rPr>
        <sz val="11"/>
        <color indexed="8"/>
        <rFont val="Arial"/>
        <family val="2"/>
      </rPr>
      <t>2</t>
    </r>
    <r>
      <rPr>
        <sz val="11"/>
        <color indexed="8"/>
        <rFont val="宋体"/>
        <family val="3"/>
        <charset val="134"/>
      </rPr>
      <t>层</t>
    </r>
    <phoneticPr fontId="234" type="noConversion"/>
  </si>
  <si>
    <r>
      <t>145</t>
    </r>
    <r>
      <rPr>
        <sz val="11"/>
        <color indexed="8"/>
        <rFont val="宋体"/>
        <family val="3"/>
        <charset val="134"/>
      </rPr>
      <t>，</t>
    </r>
    <r>
      <rPr>
        <sz val="11"/>
        <color indexed="8"/>
        <rFont val="Arial"/>
        <family val="2"/>
      </rPr>
      <t>4</t>
    </r>
    <r>
      <rPr>
        <sz val="11"/>
        <color indexed="8"/>
        <rFont val="宋体"/>
        <family val="3"/>
        <charset val="134"/>
      </rPr>
      <t>联排，地上</t>
    </r>
    <r>
      <rPr>
        <sz val="11"/>
        <color rgb="FFFF0000"/>
        <rFont val="Arial"/>
        <family val="2"/>
      </rPr>
      <t>2</t>
    </r>
    <r>
      <rPr>
        <sz val="11"/>
        <color indexed="8"/>
        <rFont val="宋体"/>
        <family val="3"/>
        <charset val="134"/>
      </rPr>
      <t>层</t>
    </r>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</si>
</sst>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quot;㎡&quot;"/>
    <numFmt numFmtId="195" formatCode="0&quot;辆&quot;"/>
    <numFmt numFmtId="196" formatCode="0.000000000_ "/>
    <numFmt numFmtId="197" formatCode="0.000000_ "/>
  </numFmts>
  <fonts count="30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name val="仿宋_GB2312"/>
      <family val="3"/>
      <charset val="134"/>
    </font>
    <font>
      <sz val="20"/>
      <name val="黑体"/>
      <family val="3"/>
      <charset val="134"/>
    </font>
    <font>
      <sz val="11"/>
      <name val="宋体"/>
      <family val="3"/>
      <charset val="134"/>
      <scheme val="minor"/>
    </font>
    <font>
      <b/>
      <sz val="16"/>
      <name val="宋体"/>
      <family val="3"/>
      <charset val="134"/>
      <scheme val="minor"/>
    </font>
    <font>
      <b/>
      <sz val="20"/>
      <name val="黑体"/>
      <family val="3"/>
      <charset val="134"/>
    </font>
    <font>
      <b/>
      <sz val="10"/>
      <name val="黑体"/>
      <family val="3"/>
      <charset val="134"/>
    </font>
    <font>
      <b/>
      <sz val="10"/>
      <name val="宋体"/>
      <family val="3"/>
      <charset val="134"/>
      <scheme val="major"/>
    </font>
    <font>
      <b/>
      <sz val="12"/>
      <name val="Times New Roman"/>
      <family val="1"/>
    </font>
    <font>
      <b/>
      <sz val="10"/>
      <name val="宋体"/>
      <family val="3"/>
      <charset val="134"/>
      <scheme val="minor"/>
    </font>
    <font>
      <b/>
      <sz val="9"/>
      <name val="宋体"/>
      <family val="3"/>
      <charset val="134"/>
    </font>
    <font>
      <sz val="10"/>
      <name val="宋体"/>
      <family val="3"/>
      <charset val="134"/>
      <scheme val="minor"/>
    </font>
    <font>
      <b/>
      <sz val="10"/>
      <name val="Times New Roman"/>
      <family val="1"/>
    </font>
    <font>
      <b/>
      <sz val="9"/>
      <color rgb="FFFF0000"/>
      <name val="宋体"/>
      <family val="3"/>
      <charset val="134"/>
    </font>
    <font>
      <b/>
      <sz val="9"/>
      <color rgb="FF000000"/>
      <name val="宋体"/>
      <family val="3"/>
      <charset val="134"/>
    </font>
    <font>
      <b/>
      <sz val="9"/>
      <color theme="1"/>
      <name val="宋体"/>
      <family val="3"/>
      <charset val="134"/>
    </font>
    <font>
      <sz val="12"/>
      <color theme="1"/>
      <name val="宋体"/>
      <family val="3"/>
      <charset val="134"/>
    </font>
    <font>
      <sz val="8.85"/>
      <name val="宋体"/>
      <family val="3"/>
      <charset val="134"/>
    </font>
    <font>
      <b/>
      <sz val="8.85"/>
      <name val="宋体"/>
      <family val="3"/>
      <charset val="134"/>
    </font>
    <font>
      <b/>
      <sz val="11"/>
      <name val="宋体"/>
      <family val="3"/>
      <charset val="134"/>
      <scheme val="minor"/>
    </font>
    <font>
      <sz val="12"/>
      <name val="宋体"/>
      <family val="3"/>
      <charset val="134"/>
      <scheme val="minor"/>
    </font>
    <font>
      <sz val="11"/>
      <color indexed="8"/>
      <name val="宋体"/>
      <family val="3"/>
      <charset val="134"/>
      <scheme val="minor"/>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41"/>
        <bgColor indexed="64"/>
      </patternFill>
    </fill>
    <fill>
      <patternFill patternType="solid">
        <fgColor rgb="FF00B050"/>
        <bgColor indexed="64"/>
      </patternFill>
    </fill>
    <fill>
      <patternFill patternType="solid">
        <fgColor theme="4" tint="0.59999389629810485"/>
        <bgColor indexed="64"/>
      </patternFill>
    </fill>
    <fill>
      <patternFill patternType="solid">
        <fgColor theme="5" tint="0.39991454817346722"/>
        <bgColor indexed="64"/>
      </patternFill>
    </fill>
    <fill>
      <patternFill patternType="solid">
        <fgColor rgb="FF00B0F0"/>
        <bgColor indexed="64"/>
      </patternFill>
    </fill>
    <fill>
      <patternFill patternType="solid">
        <fgColor indexed="2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6"/>
        <bgColor indexed="64"/>
      </patternFill>
    </fill>
    <fill>
      <patternFill patternType="solid">
        <fgColor theme="9" tint="0.79998168889431442"/>
        <bgColor indexed="64"/>
      </patternFill>
    </fill>
    <fill>
      <patternFill patternType="solid">
        <fgColor theme="4"/>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style="thin">
        <color indexed="8"/>
      </bottom>
      <diagonal/>
    </border>
    <border>
      <left/>
      <right/>
      <top/>
      <bottom style="thin">
        <color auto="1"/>
      </bottom>
      <diagonal/>
    </border>
  </borders>
  <cellStyleXfs count="21">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xf numFmtId="0" fontId="33" fillId="0" borderId="0">
      <alignment vertical="center"/>
    </xf>
    <xf numFmtId="0" fontId="1" fillId="0" borderId="0">
      <alignment vertical="center"/>
    </xf>
    <xf numFmtId="0" fontId="33" fillId="0" borderId="0">
      <alignment vertical="center"/>
    </xf>
    <xf numFmtId="0" fontId="33" fillId="0" borderId="0">
      <alignment vertical="center"/>
    </xf>
    <xf numFmtId="0" fontId="33" fillId="0" borderId="0">
      <alignment vertical="center"/>
    </xf>
  </cellStyleXfs>
  <cellXfs count="432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0" fontId="72" fillId="5" borderId="43" xfId="0" applyFont="1" applyFill="1" applyBorder="1" applyAlignment="1" applyProtection="1">
      <alignment horizontal="right" vertical="center" wrapText="1"/>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0" fontId="279" fillId="17" borderId="153" xfId="0" applyFont="1" applyFill="1" applyBorder="1" applyAlignment="1">
      <alignment horizontal="center"/>
    </xf>
    <xf numFmtId="0" fontId="279" fillId="17" borderId="154" xfId="0" applyFont="1" applyFill="1" applyBorder="1" applyAlignment="1">
      <alignment horizontal="center"/>
    </xf>
    <xf numFmtId="0" fontId="146" fillId="0" borderId="0" xfId="0" applyFont="1" applyAlignment="1">
      <alignment horizontal="left" vertical="center" wrapText="1"/>
    </xf>
    <xf numFmtId="0" fontId="0" fillId="0" borderId="155" xfId="0" applyBorder="1" applyAlignment="1">
      <alignment horizontal="right" vertical="center" wrapText="1"/>
    </xf>
    <xf numFmtId="0" fontId="146" fillId="0" borderId="155" xfId="0" applyFont="1" applyBorder="1" applyAlignment="1">
      <alignment horizontal="right" vertical="center" wrapText="1"/>
    </xf>
    <xf numFmtId="0" fontId="146"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6" fillId="18" borderId="155"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5" xfId="0" applyFont="1" applyFill="1" applyBorder="1" applyAlignment="1">
      <alignment horizontal="right" vertical="center" wrapText="1"/>
    </xf>
    <xf numFmtId="0" fontId="87" fillId="0" borderId="0" xfId="15"/>
    <xf numFmtId="0" fontId="87" fillId="0" borderId="0" xfId="15"/>
    <xf numFmtId="0" fontId="87" fillId="0" borderId="0" xfId="15"/>
    <xf numFmtId="0" fontId="59" fillId="21" borderId="10" xfId="16" applyFont="1" applyFill="1" applyBorder="1" applyAlignment="1" applyProtection="1">
      <alignment horizontal="center" vertical="center" wrapText="1"/>
      <protection locked="0"/>
    </xf>
    <xf numFmtId="0" fontId="146" fillId="0" borderId="0" xfId="4" applyAlignment="1"/>
    <xf numFmtId="0" fontId="59" fillId="19" borderId="3" xfId="16" applyFont="1" applyFill="1" applyBorder="1" applyAlignment="1" applyProtection="1">
      <alignment horizontal="center" vertical="center" wrapText="1"/>
      <protection locked="0"/>
    </xf>
    <xf numFmtId="0" fontId="281" fillId="19" borderId="3"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10" xfId="16" applyFont="1" applyFill="1" applyBorder="1" applyAlignment="1" applyProtection="1">
      <alignment horizontal="center" vertical="center" wrapText="1"/>
      <protection locked="0"/>
    </xf>
    <xf numFmtId="0" fontId="59" fillId="22" borderId="3" xfId="16" applyFont="1" applyFill="1" applyBorder="1" applyAlignment="1" applyProtection="1">
      <alignment horizontal="center" vertical="center" wrapText="1"/>
      <protection locked="0"/>
    </xf>
    <xf numFmtId="0" fontId="59" fillId="23" borderId="2" xfId="16" applyFont="1" applyFill="1" applyBorder="1" applyAlignment="1">
      <alignment horizontal="center" vertical="center" wrapText="1"/>
    </xf>
    <xf numFmtId="0" fontId="146" fillId="24" borderId="2" xfId="4" applyFill="1" applyBorder="1" applyAlignment="1"/>
    <xf numFmtId="0" fontId="146" fillId="25" borderId="2" xfId="4" applyFill="1" applyBorder="1" applyAlignment="1"/>
    <xf numFmtId="0" fontId="146" fillId="0" borderId="2" xfId="4" applyBorder="1" applyAlignment="1"/>
    <xf numFmtId="0" fontId="59" fillId="6" borderId="2" xfId="16" applyFont="1" applyFill="1" applyBorder="1" applyAlignment="1">
      <alignment horizontal="center" vertical="center" wrapText="1"/>
    </xf>
    <xf numFmtId="0" fontId="59" fillId="7" borderId="2" xfId="16" applyFont="1" applyFill="1" applyBorder="1" applyAlignment="1">
      <alignment horizontal="center" vertical="center" wrapText="1"/>
    </xf>
    <xf numFmtId="0" fontId="146" fillId="24" borderId="2" xfId="4" applyFont="1" applyFill="1" applyBorder="1" applyAlignment="1"/>
    <xf numFmtId="0" fontId="146" fillId="0" borderId="2" xfId="4" applyFont="1" applyBorder="1" applyAlignment="1"/>
    <xf numFmtId="0" fontId="59" fillId="0" borderId="2" xfId="16" applyFont="1" applyFill="1" applyBorder="1" applyAlignment="1">
      <alignment horizontal="center" vertical="center" wrapText="1"/>
    </xf>
    <xf numFmtId="176" fontId="59" fillId="0" borderId="2" xfId="16" applyNumberFormat="1" applyFont="1" applyFill="1" applyBorder="1" applyAlignment="1">
      <alignment horizontal="center" vertical="center" wrapText="1"/>
    </xf>
    <xf numFmtId="0" fontId="59" fillId="24" borderId="2" xfId="16" applyFont="1" applyFill="1" applyBorder="1" applyAlignment="1">
      <alignment horizontal="center" vertical="center" wrapText="1"/>
    </xf>
    <xf numFmtId="0" fontId="59" fillId="0" borderId="2" xfId="16" applyFont="1" applyFill="1" applyBorder="1" applyAlignment="1">
      <alignment vertical="center" wrapText="1"/>
    </xf>
    <xf numFmtId="179" fontId="146" fillId="7" borderId="2" xfId="4" applyNumberFormat="1" applyFill="1" applyBorder="1" applyAlignment="1"/>
    <xf numFmtId="0" fontId="146" fillId="7" borderId="2" xfId="4" applyFill="1" applyBorder="1" applyAlignment="1"/>
    <xf numFmtId="0" fontId="184" fillId="0" borderId="2" xfId="16" applyFont="1" applyFill="1" applyBorder="1" applyAlignment="1">
      <alignment horizontal="center" vertical="center" wrapText="1"/>
    </xf>
    <xf numFmtId="179" fontId="146" fillId="0" borderId="0" xfId="4" applyNumberFormat="1" applyAlignment="1"/>
    <xf numFmtId="0" fontId="146" fillId="0" borderId="0" xfId="4" applyAlignment="1">
      <alignment vertical="center" wrapText="1"/>
    </xf>
    <xf numFmtId="0" fontId="283" fillId="0" borderId="2" xfId="4" applyFont="1" applyBorder="1" applyAlignment="1">
      <alignment horizontal="center" vertical="center"/>
    </xf>
    <xf numFmtId="194" fontId="283" fillId="0" borderId="2" xfId="4" applyNumberFormat="1" applyFont="1" applyBorder="1" applyAlignment="1">
      <alignment vertical="center"/>
    </xf>
    <xf numFmtId="0" fontId="283" fillId="0" borderId="2" xfId="4" applyFont="1" applyBorder="1" applyAlignment="1">
      <alignment vertical="center"/>
    </xf>
    <xf numFmtId="49" fontId="283" fillId="0" borderId="2" xfId="4" applyNumberFormat="1" applyFont="1" applyBorder="1" applyAlignment="1">
      <alignment horizontal="center" vertical="center"/>
    </xf>
    <xf numFmtId="10" fontId="283" fillId="0" borderId="2" xfId="4" applyNumberFormat="1" applyFont="1" applyBorder="1" applyAlignment="1">
      <alignment vertical="center"/>
    </xf>
    <xf numFmtId="0" fontId="283" fillId="0" borderId="2" xfId="4" applyFont="1" applyFill="1" applyBorder="1" applyAlignment="1">
      <alignment horizontal="center" vertical="center"/>
    </xf>
    <xf numFmtId="194" fontId="283" fillId="0" borderId="2" xfId="4" applyNumberFormat="1" applyFont="1" applyFill="1" applyBorder="1" applyAlignment="1">
      <alignment vertical="center"/>
    </xf>
    <xf numFmtId="0" fontId="283" fillId="0" borderId="2" xfId="4" applyNumberFormat="1" applyFont="1" applyBorder="1" applyAlignment="1">
      <alignment vertical="center"/>
    </xf>
    <xf numFmtId="0" fontId="283" fillId="0" borderId="10" xfId="4" applyFont="1" applyBorder="1" applyAlignment="1">
      <alignment horizontal="center" vertical="center"/>
    </xf>
    <xf numFmtId="0" fontId="283" fillId="0" borderId="10" xfId="4" applyFont="1" applyBorder="1" applyAlignment="1">
      <alignment vertical="center"/>
    </xf>
    <xf numFmtId="179" fontId="283" fillId="0" borderId="2" xfId="4" applyNumberFormat="1" applyFont="1" applyBorder="1" applyAlignment="1">
      <alignment vertical="center"/>
    </xf>
    <xf numFmtId="195" fontId="283" fillId="0" borderId="2" xfId="4" applyNumberFormat="1" applyFont="1" applyFill="1" applyBorder="1" applyAlignment="1">
      <alignment vertical="center"/>
    </xf>
    <xf numFmtId="10" fontId="283" fillId="0" borderId="2" xfId="4" applyNumberFormat="1" applyFont="1" applyFill="1" applyBorder="1" applyAlignment="1">
      <alignment vertical="center"/>
    </xf>
    <xf numFmtId="0" fontId="283" fillId="0" borderId="21" xfId="4" applyFont="1" applyFill="1" applyBorder="1" applyAlignment="1">
      <alignment horizontal="center" vertical="center"/>
    </xf>
    <xf numFmtId="0" fontId="283" fillId="0" borderId="2" xfId="4" applyFont="1" applyBorder="1" applyAlignment="1">
      <alignment vertical="center" wrapText="1"/>
    </xf>
    <xf numFmtId="0" fontId="87" fillId="6" borderId="0" xfId="15" applyFill="1"/>
    <xf numFmtId="0" fontId="0" fillId="6" borderId="0" xfId="0" applyFill="1">
      <alignment vertical="center"/>
    </xf>
    <xf numFmtId="177" fontId="82" fillId="0" borderId="2" xfId="2" applyNumberFormat="1" applyFont="1" applyFill="1" applyBorder="1" applyAlignment="1" applyProtection="1">
      <alignment vertical="center"/>
      <protection locked="0"/>
    </xf>
    <xf numFmtId="176" fontId="1" fillId="0" borderId="0" xfId="17" applyNumberFormat="1">
      <alignment vertical="center"/>
    </xf>
    <xf numFmtId="176" fontId="286" fillId="0" borderId="0" xfId="17" applyNumberFormat="1" applyFont="1" applyFill="1" applyBorder="1" applyAlignment="1">
      <alignment horizontal="center" vertical="center" wrapText="1"/>
    </xf>
    <xf numFmtId="176" fontId="282" fillId="0" borderId="0" xfId="17" applyNumberFormat="1" applyFont="1" applyFill="1" applyBorder="1" applyAlignment="1">
      <alignment horizontal="center" vertical="center"/>
    </xf>
    <xf numFmtId="176" fontId="285" fillId="0" borderId="0" xfId="17" applyNumberFormat="1" applyFont="1" applyFill="1" applyBorder="1" applyAlignment="1">
      <alignment horizontal="center" vertical="center"/>
    </xf>
    <xf numFmtId="176" fontId="285" fillId="0" borderId="157" xfId="17" applyNumberFormat="1" applyFont="1" applyFill="1" applyBorder="1" applyAlignment="1">
      <alignment horizontal="center" vertical="center"/>
    </xf>
    <xf numFmtId="176" fontId="287" fillId="0" borderId="0" xfId="17" applyNumberFormat="1" applyFont="1" applyFill="1" applyBorder="1" applyAlignment="1">
      <alignment horizontal="center" vertical="center"/>
    </xf>
    <xf numFmtId="176" fontId="227" fillId="8" borderId="2" xfId="17" applyNumberFormat="1" applyFont="1" applyFill="1" applyBorder="1">
      <alignment vertical="center"/>
    </xf>
    <xf numFmtId="179" fontId="0" fillId="0" borderId="0" xfId="19" applyNumberFormat="1" applyFont="1" applyFill="1" applyAlignment="1">
      <alignment vertical="center"/>
    </xf>
    <xf numFmtId="176" fontId="235" fillId="27" borderId="2" xfId="17" applyNumberFormat="1" applyFont="1" applyFill="1" applyBorder="1" applyAlignment="1" applyProtection="1">
      <alignment horizontal="center" vertical="center" wrapText="1"/>
    </xf>
    <xf numFmtId="176" fontId="235" fillId="27" borderId="2" xfId="17" applyNumberFormat="1" applyFont="1" applyFill="1" applyBorder="1" applyAlignment="1" applyProtection="1">
      <alignment horizontal="center" vertical="center" wrapText="1"/>
      <protection locked="0"/>
    </xf>
    <xf numFmtId="176" fontId="227" fillId="27" borderId="2" xfId="17" applyNumberFormat="1" applyFont="1" applyFill="1" applyBorder="1" applyAlignment="1" applyProtection="1">
      <alignment horizontal="center" vertical="center" wrapText="1"/>
    </xf>
    <xf numFmtId="176" fontId="235" fillId="0" borderId="5" xfId="17" applyNumberFormat="1" applyFont="1" applyFill="1" applyBorder="1" applyAlignment="1">
      <alignment vertical="center" wrapText="1"/>
    </xf>
    <xf numFmtId="176" fontId="288" fillId="0" borderId="5" xfId="18" applyNumberFormat="1" applyFont="1" applyFill="1" applyBorder="1" applyAlignment="1" applyProtection="1">
      <alignment horizontal="center" vertical="center" wrapText="1"/>
    </xf>
    <xf numFmtId="176" fontId="227" fillId="0" borderId="2" xfId="17" applyNumberFormat="1" applyFont="1" applyFill="1" applyBorder="1" applyAlignment="1">
      <alignment horizontal="left" vertical="center" wrapText="1"/>
    </xf>
    <xf numFmtId="176" fontId="4" fillId="0" borderId="2" xfId="17" applyNumberFormat="1" applyFont="1" applyFill="1" applyBorder="1" applyAlignment="1">
      <alignment horizontal="center" vertical="center" wrapText="1"/>
    </xf>
    <xf numFmtId="187" fontId="33" fillId="0" borderId="2" xfId="17" applyNumberFormat="1" applyFont="1" applyBorder="1">
      <alignment vertical="center"/>
    </xf>
    <xf numFmtId="176" fontId="33" fillId="0" borderId="2" xfId="17" applyNumberFormat="1" applyFont="1" applyBorder="1">
      <alignment vertical="center"/>
    </xf>
    <xf numFmtId="176" fontId="128" fillId="0" borderId="2" xfId="17" applyNumberFormat="1" applyFont="1" applyBorder="1">
      <alignment vertical="center"/>
    </xf>
    <xf numFmtId="176" fontId="44" fillId="0" borderId="2" xfId="17" applyNumberFormat="1" applyFont="1" applyBorder="1" applyAlignment="1" applyProtection="1">
      <alignment horizontal="center" vertical="center" wrapText="1"/>
    </xf>
    <xf numFmtId="176" fontId="44" fillId="0" borderId="2" xfId="17" applyNumberFormat="1" applyFont="1" applyBorder="1" applyAlignment="1" applyProtection="1">
      <alignment vertical="center" wrapText="1"/>
    </xf>
    <xf numFmtId="176" fontId="235" fillId="0" borderId="2" xfId="17" applyNumberFormat="1" applyFont="1" applyBorder="1" applyAlignment="1">
      <alignment horizontal="center" vertical="center"/>
    </xf>
    <xf numFmtId="176" fontId="235" fillId="0" borderId="5" xfId="18" applyNumberFormat="1" applyFont="1" applyFill="1" applyBorder="1" applyAlignment="1" applyProtection="1">
      <alignment horizontal="center" vertical="center" wrapText="1"/>
    </xf>
    <xf numFmtId="176" fontId="128" fillId="0" borderId="2" xfId="17" applyNumberFormat="1" applyFont="1" applyFill="1" applyBorder="1" applyAlignment="1">
      <alignment horizontal="left" vertical="center" wrapText="1"/>
    </xf>
    <xf numFmtId="176" fontId="33" fillId="0" borderId="2" xfId="17" applyNumberFormat="1" applyFont="1" applyFill="1" applyBorder="1" applyAlignment="1">
      <alignment horizontal="center" vertical="center" wrapText="1"/>
    </xf>
    <xf numFmtId="176" fontId="1" fillId="0" borderId="2" xfId="17" applyNumberFormat="1" applyFont="1" applyBorder="1" applyAlignment="1">
      <alignment horizontal="center" vertical="center"/>
    </xf>
    <xf numFmtId="176" fontId="1" fillId="0" borderId="2" xfId="17" applyNumberFormat="1" applyFont="1" applyBorder="1">
      <alignment vertical="center"/>
    </xf>
    <xf numFmtId="176" fontId="1" fillId="0" borderId="0" xfId="17" applyNumberFormat="1" applyFont="1">
      <alignment vertical="center"/>
    </xf>
    <xf numFmtId="184" fontId="289" fillId="9" borderId="2" xfId="17" applyNumberFormat="1" applyFont="1" applyFill="1" applyBorder="1" applyAlignment="1">
      <alignment horizontal="center" vertical="center"/>
    </xf>
    <xf numFmtId="176" fontId="290" fillId="9" borderId="2" xfId="17" applyNumberFormat="1" applyFont="1" applyFill="1" applyBorder="1" applyAlignment="1">
      <alignment horizontal="left" vertical="center" wrapText="1"/>
    </xf>
    <xf numFmtId="176" fontId="128" fillId="9" borderId="2" xfId="17" applyNumberFormat="1" applyFont="1" applyFill="1" applyBorder="1" applyAlignment="1" applyProtection="1">
      <alignment horizontal="left" vertical="center" wrapText="1"/>
    </xf>
    <xf numFmtId="176" fontId="4" fillId="9" borderId="2" xfId="17" applyNumberFormat="1" applyFont="1" applyFill="1" applyBorder="1" applyAlignment="1">
      <alignment horizontal="center" vertical="center" wrapText="1"/>
    </xf>
    <xf numFmtId="187" fontId="4" fillId="9" borderId="2" xfId="17" applyNumberFormat="1" applyFont="1" applyFill="1" applyBorder="1">
      <alignment vertical="center"/>
    </xf>
    <xf numFmtId="176" fontId="4" fillId="9" borderId="2" xfId="17" applyNumberFormat="1" applyFont="1" applyFill="1" applyBorder="1">
      <alignment vertical="center"/>
    </xf>
    <xf numFmtId="176" fontId="128" fillId="9" borderId="2" xfId="17" applyNumberFormat="1" applyFont="1" applyFill="1" applyBorder="1">
      <alignment vertical="center"/>
    </xf>
    <xf numFmtId="176" fontId="227" fillId="9" borderId="2" xfId="17" applyNumberFormat="1" applyFont="1" applyFill="1" applyBorder="1">
      <alignment vertical="center"/>
    </xf>
    <xf numFmtId="176" fontId="290" fillId="9" borderId="2" xfId="17" applyNumberFormat="1" applyFont="1" applyFill="1" applyBorder="1" applyAlignment="1">
      <alignment horizontal="center" vertical="center"/>
    </xf>
    <xf numFmtId="176" fontId="290" fillId="9" borderId="2" xfId="17" applyNumberFormat="1" applyFont="1" applyFill="1" applyBorder="1">
      <alignment vertical="center"/>
    </xf>
    <xf numFmtId="176" fontId="290" fillId="0" borderId="0" xfId="17" applyNumberFormat="1" applyFont="1">
      <alignment vertical="center"/>
    </xf>
    <xf numFmtId="187" fontId="289" fillId="0" borderId="2" xfId="17" applyNumberFormat="1" applyFont="1" applyBorder="1" applyAlignment="1">
      <alignment horizontal="center" vertical="center"/>
    </xf>
    <xf numFmtId="176" fontId="227" fillId="0" borderId="2" xfId="17" applyNumberFormat="1" applyFont="1" applyFill="1" applyBorder="1" applyAlignment="1" applyProtection="1">
      <alignment horizontal="left" vertical="center" wrapText="1"/>
    </xf>
    <xf numFmtId="176" fontId="128" fillId="0" borderId="2" xfId="17" applyNumberFormat="1" applyFont="1" applyFill="1" applyBorder="1" applyAlignment="1" applyProtection="1">
      <alignment horizontal="left" vertical="center" wrapText="1"/>
    </xf>
    <xf numFmtId="187" fontId="128" fillId="0" borderId="2" xfId="17" applyNumberFormat="1" applyFont="1" applyBorder="1">
      <alignment vertical="center"/>
    </xf>
    <xf numFmtId="176" fontId="202" fillId="28" borderId="2" xfId="17" applyNumberFormat="1" applyFont="1" applyFill="1" applyBorder="1">
      <alignment vertical="center"/>
    </xf>
    <xf numFmtId="176" fontId="290" fillId="0" borderId="2" xfId="17" applyNumberFormat="1" applyFont="1" applyBorder="1" applyAlignment="1">
      <alignment horizontal="center" vertical="center"/>
    </xf>
    <xf numFmtId="176" fontId="1" fillId="0" borderId="2" xfId="17" applyNumberFormat="1" applyBorder="1">
      <alignment vertical="center"/>
    </xf>
    <xf numFmtId="176" fontId="128" fillId="0" borderId="2" xfId="17" applyNumberFormat="1" applyFont="1" applyFill="1" applyBorder="1" applyAlignment="1" applyProtection="1">
      <alignment horizontal="center" vertical="center"/>
    </xf>
    <xf numFmtId="176" fontId="128" fillId="0" borderId="2" xfId="17" applyNumberFormat="1" applyFont="1" applyBorder="1" applyAlignment="1">
      <alignment vertical="center" wrapText="1"/>
    </xf>
    <xf numFmtId="187" fontId="291" fillId="6" borderId="2" xfId="17" applyNumberFormat="1" applyFont="1" applyFill="1" applyBorder="1" applyAlignment="1">
      <alignment horizontal="center" vertical="center"/>
    </xf>
    <xf numFmtId="176" fontId="128" fillId="6" borderId="2" xfId="17" applyNumberFormat="1" applyFont="1" applyFill="1" applyBorder="1" applyAlignment="1" applyProtection="1">
      <alignment horizontal="left" vertical="center" wrapText="1"/>
    </xf>
    <xf numFmtId="176" fontId="128" fillId="6" borderId="2" xfId="17" applyNumberFormat="1" applyFont="1" applyFill="1" applyBorder="1" applyAlignment="1" applyProtection="1">
      <alignment horizontal="center" vertical="center"/>
    </xf>
    <xf numFmtId="176" fontId="202" fillId="6" borderId="2" xfId="17" applyNumberFormat="1" applyFont="1" applyFill="1" applyBorder="1">
      <alignment vertical="center"/>
    </xf>
    <xf numFmtId="176" fontId="227" fillId="6" borderId="2" xfId="17" applyNumberFormat="1" applyFont="1" applyFill="1" applyBorder="1">
      <alignment vertical="center"/>
    </xf>
    <xf numFmtId="176" fontId="290" fillId="6" borderId="2" xfId="17" applyNumberFormat="1" applyFont="1" applyFill="1" applyBorder="1" applyAlignment="1">
      <alignment horizontal="center" vertical="center"/>
    </xf>
    <xf numFmtId="176" fontId="1" fillId="6" borderId="2" xfId="17" applyNumberFormat="1" applyFill="1" applyBorder="1">
      <alignment vertical="center"/>
    </xf>
    <xf numFmtId="176" fontId="1" fillId="6" borderId="0" xfId="17" applyNumberFormat="1" applyFill="1">
      <alignment vertical="center"/>
    </xf>
    <xf numFmtId="187" fontId="291" fillId="0" borderId="2" xfId="17" applyNumberFormat="1" applyFont="1" applyBorder="1" applyAlignment="1">
      <alignment horizontal="center" vertical="center"/>
    </xf>
    <xf numFmtId="176" fontId="128" fillId="28" borderId="2" xfId="17" applyNumberFormat="1" applyFont="1" applyFill="1" applyBorder="1">
      <alignment vertical="center"/>
    </xf>
    <xf numFmtId="176" fontId="227" fillId="9" borderId="2" xfId="17" applyNumberFormat="1" applyFont="1" applyFill="1" applyBorder="1" applyAlignment="1">
      <alignment horizontal="left" vertical="center" wrapText="1"/>
    </xf>
    <xf numFmtId="176" fontId="4" fillId="9" borderId="2" xfId="17" applyNumberFormat="1" applyFont="1" applyFill="1" applyBorder="1" applyAlignment="1">
      <alignment horizontal="center" vertical="center"/>
    </xf>
    <xf numFmtId="176" fontId="128" fillId="0" borderId="2" xfId="17" applyNumberFormat="1" applyFont="1" applyBorder="1" applyAlignment="1" applyProtection="1">
      <alignment vertical="center" wrapText="1"/>
    </xf>
    <xf numFmtId="176" fontId="128" fillId="0" borderId="2" xfId="17" applyNumberFormat="1" applyFont="1" applyFill="1" applyBorder="1" applyAlignment="1" applyProtection="1">
      <alignment horizontal="center" vertical="center" wrapText="1"/>
    </xf>
    <xf numFmtId="176" fontId="202" fillId="0" borderId="2" xfId="17" applyNumberFormat="1" applyFont="1" applyFill="1" applyBorder="1" applyAlignment="1" applyProtection="1">
      <alignment horizontal="left" vertical="center" wrapText="1"/>
    </xf>
    <xf numFmtId="176" fontId="202" fillId="0" borderId="2" xfId="17" applyNumberFormat="1" applyFont="1" applyBorder="1">
      <alignment vertical="center"/>
    </xf>
    <xf numFmtId="176" fontId="259" fillId="0" borderId="2" xfId="17" applyNumberFormat="1" applyFont="1" applyBorder="1">
      <alignment vertical="center"/>
    </xf>
    <xf numFmtId="176" fontId="259" fillId="0" borderId="0" xfId="17" applyNumberFormat="1" applyFont="1">
      <alignment vertical="center"/>
    </xf>
    <xf numFmtId="176" fontId="128" fillId="0" borderId="2" xfId="17" applyNumberFormat="1" applyFont="1" applyFill="1" applyBorder="1">
      <alignment vertical="center"/>
    </xf>
    <xf numFmtId="176" fontId="128" fillId="0" borderId="2" xfId="17" applyNumberFormat="1" applyFont="1" applyFill="1" applyBorder="1" applyAlignment="1">
      <alignment vertical="center" wrapText="1"/>
    </xf>
    <xf numFmtId="176" fontId="44" fillId="0" borderId="2" xfId="17" applyNumberFormat="1" applyFont="1" applyFill="1" applyBorder="1" applyAlignment="1" applyProtection="1">
      <alignment horizontal="left" vertical="center" wrapText="1"/>
    </xf>
    <xf numFmtId="176" fontId="128" fillId="0" borderId="2" xfId="20" applyNumberFormat="1" applyFont="1" applyFill="1" applyBorder="1" applyAlignment="1" applyProtection="1">
      <alignment horizontal="left" vertical="center" wrapText="1"/>
    </xf>
    <xf numFmtId="187" fontId="289" fillId="0" borderId="2" xfId="17" applyNumberFormat="1" applyFont="1" applyFill="1" applyBorder="1" applyAlignment="1">
      <alignment horizontal="center" vertical="center"/>
    </xf>
    <xf numFmtId="176" fontId="227" fillId="0" borderId="2" xfId="20" applyNumberFormat="1" applyFont="1" applyFill="1" applyBorder="1" applyAlignment="1" applyProtection="1">
      <alignment horizontal="left" vertical="center" wrapText="1"/>
    </xf>
    <xf numFmtId="176" fontId="290" fillId="0" borderId="2" xfId="17" applyNumberFormat="1" applyFont="1" applyFill="1" applyBorder="1" applyAlignment="1">
      <alignment horizontal="center" vertical="center" wrapText="1"/>
    </xf>
    <xf numFmtId="176" fontId="128" fillId="9" borderId="2" xfId="17" applyNumberFormat="1" applyFont="1" applyFill="1" applyBorder="1" applyAlignment="1" applyProtection="1">
      <alignment horizontal="center" vertical="center"/>
    </xf>
    <xf numFmtId="187" fontId="128" fillId="9" borderId="2" xfId="17" applyNumberFormat="1" applyFont="1" applyFill="1" applyBorder="1">
      <alignment vertical="center"/>
    </xf>
    <xf numFmtId="176" fontId="227"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left" vertical="center" wrapText="1"/>
    </xf>
    <xf numFmtId="176" fontId="128" fillId="0" borderId="2" xfId="17" applyNumberFormat="1" applyFont="1" applyBorder="1" applyAlignment="1">
      <alignment horizontal="center" vertical="center" wrapText="1"/>
    </xf>
    <xf numFmtId="187" fontId="44" fillId="0" borderId="2" xfId="17" applyNumberFormat="1" applyFont="1" applyBorder="1" applyAlignment="1">
      <alignment vertical="center"/>
    </xf>
    <xf numFmtId="176" fontId="44" fillId="0" borderId="2" xfId="17" applyNumberFormat="1" applyFont="1" applyBorder="1" applyAlignment="1">
      <alignment vertical="center"/>
    </xf>
    <xf numFmtId="176" fontId="292" fillId="0" borderId="2" xfId="17" applyNumberFormat="1" applyFont="1" applyBorder="1" applyAlignment="1">
      <alignment vertical="center"/>
    </xf>
    <xf numFmtId="176" fontId="44" fillId="0" borderId="0" xfId="17" applyNumberFormat="1" applyFont="1" applyAlignment="1">
      <alignment vertical="center"/>
    </xf>
    <xf numFmtId="176" fontId="128" fillId="0" borderId="2" xfId="17" applyNumberFormat="1" applyFont="1" applyFill="1" applyBorder="1" applyAlignment="1" applyProtection="1">
      <alignment vertical="center" wrapText="1"/>
    </xf>
    <xf numFmtId="176" fontId="128" fillId="0" borderId="2" xfId="17" applyNumberFormat="1" applyFont="1" applyBorder="1" applyAlignment="1">
      <alignment horizontal="center" vertical="center"/>
    </xf>
    <xf numFmtId="176" fontId="44" fillId="0" borderId="2" xfId="17" applyNumberFormat="1" applyFont="1" applyBorder="1" applyAlignment="1">
      <alignment horizontal="center" vertical="center"/>
    </xf>
    <xf numFmtId="176" fontId="44" fillId="0" borderId="2" xfId="17" applyNumberFormat="1" applyFont="1" applyBorder="1" applyAlignment="1">
      <alignment horizontal="left" vertical="center" wrapText="1"/>
    </xf>
    <xf numFmtId="187" fontId="128" fillId="8" borderId="2" xfId="17" applyNumberFormat="1" applyFont="1" applyFill="1" applyBorder="1">
      <alignment vertical="center"/>
    </xf>
    <xf numFmtId="176" fontId="128" fillId="0" borderId="2" xfId="17" applyNumberFormat="1" applyFont="1" applyBorder="1" applyAlignment="1">
      <alignment vertical="center"/>
    </xf>
    <xf numFmtId="176" fontId="227" fillId="0" borderId="2" xfId="17" applyNumberFormat="1" applyFont="1" applyBorder="1">
      <alignment vertical="center"/>
    </xf>
    <xf numFmtId="176" fontId="290" fillId="0" borderId="2" xfId="17" applyNumberFormat="1" applyFont="1" applyBorder="1">
      <alignment vertical="center"/>
    </xf>
    <xf numFmtId="176" fontId="128" fillId="0" borderId="9" xfId="17" applyNumberFormat="1" applyFont="1" applyFill="1" applyBorder="1" applyAlignment="1" applyProtection="1">
      <alignment horizontal="center" vertical="center"/>
    </xf>
    <xf numFmtId="176" fontId="227" fillId="0" borderId="2" xfId="17" applyNumberFormat="1" applyFont="1" applyBorder="1" applyAlignment="1">
      <alignment vertical="center" wrapText="1"/>
    </xf>
    <xf numFmtId="176" fontId="227" fillId="0" borderId="2" xfId="17" applyNumberFormat="1" applyFont="1" applyFill="1" applyBorder="1">
      <alignment vertical="center"/>
    </xf>
    <xf numFmtId="187" fontId="128" fillId="6" borderId="2" xfId="17" applyNumberFormat="1" applyFont="1" applyFill="1" applyBorder="1">
      <alignment vertical="center"/>
    </xf>
    <xf numFmtId="176" fontId="128" fillId="6" borderId="2" xfId="17" applyNumberFormat="1" applyFont="1" applyFill="1" applyBorder="1">
      <alignment vertical="center"/>
    </xf>
    <xf numFmtId="176" fontId="128" fillId="6" borderId="2" xfId="17" applyNumberFormat="1" applyFont="1" applyFill="1" applyBorder="1" applyAlignment="1">
      <alignment vertical="center" wrapText="1"/>
    </xf>
    <xf numFmtId="176" fontId="290" fillId="6" borderId="2" xfId="17" applyNumberFormat="1" applyFont="1" applyFill="1" applyBorder="1">
      <alignment vertical="center"/>
    </xf>
    <xf numFmtId="176" fontId="290" fillId="6" borderId="0" xfId="17" applyNumberFormat="1" applyFont="1" applyFill="1">
      <alignment vertical="center"/>
    </xf>
    <xf numFmtId="176" fontId="227" fillId="28" borderId="2" xfId="17" applyNumberFormat="1" applyFont="1" applyFill="1" applyBorder="1">
      <alignment vertical="center"/>
    </xf>
    <xf numFmtId="176" fontId="128" fillId="9" borderId="2" xfId="17" applyNumberFormat="1" applyFont="1" applyFill="1" applyBorder="1" applyAlignment="1">
      <alignment horizontal="left" vertical="center" wrapText="1"/>
    </xf>
    <xf numFmtId="176" fontId="128" fillId="9" borderId="2" xfId="17" applyNumberFormat="1" applyFont="1" applyFill="1" applyBorder="1" applyAlignment="1">
      <alignment horizontal="center" vertical="center"/>
    </xf>
    <xf numFmtId="187" fontId="128" fillId="9" borderId="2" xfId="17" applyNumberFormat="1" applyFont="1" applyFill="1" applyBorder="1" applyAlignment="1">
      <alignment horizontal="center" vertical="center"/>
    </xf>
    <xf numFmtId="187" fontId="289" fillId="26" borderId="2" xfId="17" applyNumberFormat="1" applyFont="1" applyFill="1" applyBorder="1" applyAlignment="1">
      <alignment horizontal="center" vertical="center"/>
    </xf>
    <xf numFmtId="176" fontId="290" fillId="26" borderId="2" xfId="17" applyNumberFormat="1" applyFont="1" applyFill="1" applyBorder="1" applyAlignment="1">
      <alignment horizontal="left" vertical="center" wrapText="1"/>
    </xf>
    <xf numFmtId="176" fontId="128" fillId="8" borderId="2" xfId="17" applyNumberFormat="1" applyFont="1" applyFill="1" applyBorder="1" applyAlignment="1">
      <alignment horizontal="left" vertical="center" wrapText="1"/>
    </xf>
    <xf numFmtId="176" fontId="212" fillId="8" borderId="2" xfId="17" applyNumberFormat="1" applyFont="1" applyFill="1" applyBorder="1" applyAlignment="1">
      <alignment horizontal="center" vertical="center"/>
    </xf>
    <xf numFmtId="176" fontId="230" fillId="8" borderId="2" xfId="17" applyNumberFormat="1" applyFont="1" applyFill="1" applyBorder="1">
      <alignment vertical="center"/>
    </xf>
    <xf numFmtId="176" fontId="293" fillId="8" borderId="2" xfId="17" applyNumberFormat="1" applyFont="1" applyFill="1" applyBorder="1">
      <alignment vertical="center"/>
    </xf>
    <xf numFmtId="187" fontId="291" fillId="8" borderId="2" xfId="17" applyNumberFormat="1" applyFont="1" applyFill="1" applyBorder="1" applyAlignment="1">
      <alignment horizontal="center" vertical="center"/>
    </xf>
    <xf numFmtId="176" fontId="4" fillId="8" borderId="2" xfId="17" applyNumberFormat="1" applyFont="1" applyFill="1" applyBorder="1" applyAlignment="1">
      <alignment horizontal="left" vertical="center" wrapText="1"/>
    </xf>
    <xf numFmtId="176" fontId="227" fillId="8" borderId="2" xfId="17" applyNumberFormat="1" applyFont="1" applyFill="1" applyBorder="1" applyAlignment="1">
      <alignment vertical="center" wrapText="1"/>
    </xf>
    <xf numFmtId="176" fontId="227" fillId="26" borderId="2" xfId="17" applyNumberFormat="1" applyFont="1" applyFill="1" applyBorder="1" applyAlignment="1" applyProtection="1">
      <alignment horizontal="left" vertical="center" wrapText="1"/>
    </xf>
    <xf numFmtId="187" fontId="128" fillId="0" borderId="2" xfId="17" applyNumberFormat="1" applyFont="1" applyFill="1" applyBorder="1" applyAlignment="1" applyProtection="1">
      <alignment horizontal="center" vertical="center"/>
    </xf>
    <xf numFmtId="176" fontId="128" fillId="8" borderId="2" xfId="17" applyNumberFormat="1" applyFont="1" applyFill="1" applyBorder="1">
      <alignment vertical="center"/>
    </xf>
    <xf numFmtId="176" fontId="290" fillId="8" borderId="2" xfId="17" applyNumberFormat="1" applyFont="1" applyFill="1" applyBorder="1" applyAlignment="1">
      <alignment horizontal="center" vertical="center"/>
    </xf>
    <xf numFmtId="176" fontId="1" fillId="8" borderId="2" xfId="17" applyNumberFormat="1" applyFill="1" applyBorder="1">
      <alignment vertical="center"/>
    </xf>
    <xf numFmtId="176" fontId="128" fillId="9" borderId="0" xfId="17" applyNumberFormat="1" applyFont="1" applyFill="1" applyAlignment="1">
      <alignment vertical="center" wrapText="1"/>
    </xf>
    <xf numFmtId="187" fontId="128" fillId="9" borderId="2" xfId="17" applyNumberFormat="1" applyFont="1" applyFill="1" applyBorder="1" applyAlignment="1" applyProtection="1">
      <alignment horizontal="center" vertical="center"/>
    </xf>
    <xf numFmtId="176" fontId="294" fillId="0" borderId="2" xfId="17" applyNumberFormat="1" applyFont="1" applyBorder="1" applyAlignment="1">
      <alignment horizontal="left" vertical="center" wrapText="1"/>
    </xf>
    <xf numFmtId="176" fontId="128" fillId="0" borderId="9" xfId="17" applyNumberFormat="1" applyFont="1" applyFill="1" applyBorder="1" applyAlignment="1" applyProtection="1">
      <alignment horizontal="center" vertical="center" wrapText="1"/>
    </xf>
    <xf numFmtId="176" fontId="44" fillId="0" borderId="9" xfId="17" applyNumberFormat="1" applyFont="1" applyFill="1" applyBorder="1" applyAlignment="1" applyProtection="1">
      <alignment horizontal="center" vertical="center" wrapText="1"/>
    </xf>
    <xf numFmtId="176" fontId="294" fillId="0" borderId="0" xfId="17" applyNumberFormat="1" applyFont="1">
      <alignment vertical="center"/>
    </xf>
    <xf numFmtId="176" fontId="44" fillId="0" borderId="2" xfId="17" applyNumberFormat="1" applyFont="1" applyFill="1" applyBorder="1" applyAlignment="1" applyProtection="1">
      <alignment horizontal="center" vertical="center" wrapText="1"/>
    </xf>
    <xf numFmtId="176" fontId="1" fillId="9" borderId="2" xfId="17" applyNumberFormat="1" applyFill="1" applyBorder="1">
      <alignment vertical="center"/>
    </xf>
    <xf numFmtId="176" fontId="290" fillId="0" borderId="2" xfId="17" applyNumberFormat="1" applyFont="1" applyFill="1" applyBorder="1" applyAlignment="1">
      <alignment horizontal="left" vertical="center" wrapText="1"/>
    </xf>
    <xf numFmtId="176" fontId="265" fillId="0" borderId="0" xfId="17" applyNumberFormat="1" applyFont="1" applyAlignment="1">
      <alignment vertical="center" wrapText="1"/>
    </xf>
    <xf numFmtId="176" fontId="290" fillId="0" borderId="2" xfId="17" applyNumberFormat="1" applyFont="1" applyBorder="1" applyAlignment="1">
      <alignment horizontal="left" vertical="center" wrapText="1"/>
    </xf>
    <xf numFmtId="187" fontId="170" fillId="0" borderId="2" xfId="17" applyNumberFormat="1" applyFont="1" applyBorder="1" applyAlignment="1">
      <alignment horizontal="center" vertical="center"/>
    </xf>
    <xf numFmtId="176" fontId="236" fillId="0" borderId="2" xfId="17" applyNumberFormat="1" applyFont="1" applyFill="1" applyBorder="1" applyAlignment="1" applyProtection="1">
      <alignment horizontal="left" vertical="center" wrapText="1"/>
    </xf>
    <xf numFmtId="176" fontId="202" fillId="0" borderId="2" xfId="17" applyNumberFormat="1" applyFont="1" applyFill="1" applyBorder="1" applyAlignment="1" applyProtection="1">
      <alignment horizontal="center" vertical="center"/>
    </xf>
    <xf numFmtId="176" fontId="295" fillId="0" borderId="2" xfId="17" applyNumberFormat="1" applyFont="1" applyBorder="1" applyAlignment="1">
      <alignment horizontal="center" vertical="center"/>
    </xf>
    <xf numFmtId="176" fontId="296" fillId="0" borderId="2" xfId="17" applyNumberFormat="1" applyFont="1" applyBorder="1">
      <alignment vertical="center"/>
    </xf>
    <xf numFmtId="176" fontId="296" fillId="0" borderId="0" xfId="17" applyNumberFormat="1" applyFont="1">
      <alignment vertical="center"/>
    </xf>
    <xf numFmtId="187" fontId="165" fillId="0" borderId="2" xfId="17" applyNumberFormat="1" applyFont="1" applyBorder="1" applyAlignment="1">
      <alignment horizontal="center" vertical="center"/>
    </xf>
    <xf numFmtId="176" fontId="202" fillId="0" borderId="2" xfId="17" applyNumberFormat="1" applyFont="1" applyFill="1" applyBorder="1" applyAlignment="1" applyProtection="1">
      <alignment vertical="center" wrapText="1"/>
    </xf>
    <xf numFmtId="176" fontId="212" fillId="0" borderId="2" xfId="17" applyNumberFormat="1" applyFont="1" applyFill="1" applyBorder="1" applyAlignment="1" applyProtection="1">
      <alignment horizontal="left" vertical="center" wrapText="1"/>
    </xf>
    <xf numFmtId="176" fontId="212" fillId="0" borderId="2" xfId="17" applyNumberFormat="1" applyFont="1" applyFill="1" applyBorder="1" applyAlignment="1" applyProtection="1">
      <alignment horizontal="center" vertical="center"/>
    </xf>
    <xf numFmtId="176" fontId="212" fillId="0" borderId="2" xfId="17" applyNumberFormat="1" applyFont="1" applyBorder="1">
      <alignment vertical="center"/>
    </xf>
    <xf numFmtId="176" fontId="128" fillId="28" borderId="2" xfId="17" applyNumberFormat="1" applyFont="1" applyFill="1" applyBorder="1" applyAlignment="1">
      <alignment vertical="center" wrapText="1"/>
    </xf>
    <xf numFmtId="176" fontId="297" fillId="0" borderId="156" xfId="17" applyNumberFormat="1" applyFont="1" applyFill="1" applyBorder="1" applyAlignment="1">
      <alignment horizontal="left" vertical="center"/>
    </xf>
    <xf numFmtId="176" fontId="298" fillId="0" borderId="2" xfId="17" applyNumberFormat="1" applyFont="1" applyFill="1" applyBorder="1" applyAlignment="1">
      <alignment horizontal="left" vertical="center"/>
    </xf>
    <xf numFmtId="176" fontId="128" fillId="7" borderId="2" xfId="17" applyNumberFormat="1" applyFont="1" applyFill="1" applyBorder="1">
      <alignment vertical="center"/>
    </xf>
    <xf numFmtId="176" fontId="297" fillId="0" borderId="2" xfId="17" applyNumberFormat="1" applyFont="1" applyFill="1" applyBorder="1" applyAlignment="1">
      <alignment horizontal="left" vertical="center"/>
    </xf>
    <xf numFmtId="176" fontId="236" fillId="9" borderId="2" xfId="17" applyNumberFormat="1" applyFont="1" applyFill="1" applyBorder="1" applyAlignment="1">
      <alignment horizontal="left" vertical="center" wrapText="1"/>
    </xf>
    <xf numFmtId="176" fontId="290" fillId="9" borderId="0" xfId="17" applyNumberFormat="1" applyFont="1" applyFill="1">
      <alignment vertical="center"/>
    </xf>
    <xf numFmtId="176" fontId="235" fillId="0" borderId="2" xfId="17" applyNumberFormat="1" applyFont="1" applyFill="1" applyBorder="1" applyAlignment="1">
      <alignment horizontal="center" vertical="center" wrapText="1"/>
    </xf>
    <xf numFmtId="176" fontId="128" fillId="0" borderId="2" xfId="17" applyNumberFormat="1" applyFont="1" applyFill="1" applyBorder="1" applyAlignment="1">
      <alignment horizontal="center" vertical="center" wrapText="1"/>
    </xf>
    <xf numFmtId="184" fontId="289" fillId="0" borderId="2" xfId="17" applyNumberFormat="1" applyFont="1" applyBorder="1" applyAlignment="1">
      <alignment horizontal="center" vertical="center"/>
    </xf>
    <xf numFmtId="184" fontId="291" fillId="0" borderId="2" xfId="17" applyNumberFormat="1" applyFont="1" applyBorder="1" applyAlignment="1">
      <alignment horizontal="center" vertical="center"/>
    </xf>
    <xf numFmtId="176" fontId="4" fillId="0" borderId="2" xfId="17" applyNumberFormat="1" applyFont="1" applyFill="1" applyBorder="1" applyAlignment="1">
      <alignment horizontal="left" vertical="center" wrapText="1"/>
    </xf>
    <xf numFmtId="176" fontId="4" fillId="0" borderId="2" xfId="17" applyNumberFormat="1" applyFont="1" applyBorder="1">
      <alignment vertical="center"/>
    </xf>
    <xf numFmtId="176" fontId="4" fillId="0" borderId="0" xfId="17" applyNumberFormat="1" applyFont="1">
      <alignment vertical="center"/>
    </xf>
    <xf numFmtId="176" fontId="235" fillId="0" borderId="2" xfId="17" applyNumberFormat="1" applyFont="1" applyBorder="1">
      <alignment vertical="center"/>
    </xf>
    <xf numFmtId="176" fontId="235" fillId="0" borderId="0" xfId="17" applyNumberFormat="1" applyFont="1">
      <alignment vertical="center"/>
    </xf>
    <xf numFmtId="176" fontId="289" fillId="0" borderId="2" xfId="17" applyNumberFormat="1" applyFont="1" applyBorder="1" applyAlignment="1">
      <alignment horizontal="center" vertical="center"/>
    </xf>
    <xf numFmtId="0" fontId="1" fillId="0" borderId="0" xfId="17">
      <alignment vertical="center"/>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49" fontId="85" fillId="2" borderId="43"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applyFill="1"/>
    <xf numFmtId="0" fontId="0" fillId="0" borderId="0" xfId="0" applyFill="1">
      <alignment vertical="center"/>
    </xf>
    <xf numFmtId="0" fontId="87" fillId="9" borderId="0" xfId="15" applyFill="1"/>
    <xf numFmtId="0" fontId="0" fillId="9" borderId="0" xfId="0" applyFill="1">
      <alignment vertical="center"/>
    </xf>
    <xf numFmtId="0" fontId="87" fillId="5" borderId="0" xfId="15" applyFill="1"/>
    <xf numFmtId="0" fontId="0" fillId="5" borderId="0" xfId="0" applyFill="1">
      <alignment vertical="center"/>
    </xf>
    <xf numFmtId="0" fontId="87" fillId="29" borderId="0" xfId="15" applyFill="1"/>
    <xf numFmtId="0" fontId="0" fillId="29" borderId="0" xfId="0" applyFill="1">
      <alignment vertical="center"/>
    </xf>
    <xf numFmtId="0" fontId="87" fillId="30" borderId="0" xfId="15" applyFill="1"/>
    <xf numFmtId="0" fontId="0" fillId="30" borderId="0" xfId="0" applyFill="1">
      <alignment vertical="center"/>
    </xf>
    <xf numFmtId="177" fontId="72" fillId="0" borderId="2" xfId="0" applyNumberFormat="1"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6" fontId="149" fillId="0" borderId="2" xfId="1" applyNumberFormat="1" applyFont="1" applyFill="1" applyBorder="1" applyAlignment="1" applyProtection="1">
      <alignment horizontal="center" vertical="center" wrapText="1"/>
      <protection locked="0"/>
    </xf>
    <xf numFmtId="0" fontId="87" fillId="31" borderId="0" xfId="15" applyFill="1"/>
    <xf numFmtId="0" fontId="0" fillId="31" borderId="0" xfId="0" applyFill="1">
      <alignment vertical="center"/>
    </xf>
    <xf numFmtId="0" fontId="77" fillId="5" borderId="0" xfId="0" applyFont="1" applyFill="1" applyAlignment="1" applyProtection="1">
      <alignment horizontal="right" vertical="center"/>
      <protection locked="0"/>
    </xf>
    <xf numFmtId="181" fontId="89" fillId="5" borderId="8" xfId="0" applyNumberFormat="1" applyFont="1" applyFill="1" applyBorder="1" applyAlignment="1" applyProtection="1">
      <alignment horizontal="right" vertical="center"/>
      <protection locked="0"/>
    </xf>
    <xf numFmtId="0" fontId="145" fillId="2" borderId="24" xfId="0" applyNumberFormat="1" applyFont="1" applyFill="1" applyBorder="1" applyAlignment="1" applyProtection="1">
      <alignment horizontal="center" vertical="center" wrapText="1"/>
      <protection locked="0"/>
    </xf>
    <xf numFmtId="10" fontId="85" fillId="2" borderId="25" xfId="0" applyNumberFormat="1" applyFont="1" applyFill="1" applyBorder="1" applyAlignment="1" applyProtection="1">
      <alignment horizontal="center" vertical="center"/>
      <protection locked="0"/>
    </xf>
    <xf numFmtId="10" fontId="85" fillId="0" borderId="25" xfId="0" applyNumberFormat="1" applyFont="1" applyFill="1" applyBorder="1" applyAlignment="1" applyProtection="1">
      <alignment horizontal="center" vertical="center"/>
      <protection locked="0"/>
    </xf>
    <xf numFmtId="10" fontId="85" fillId="0" borderId="46" xfId="0" applyNumberFormat="1" applyFont="1" applyFill="1" applyBorder="1" applyAlignment="1" applyProtection="1">
      <alignment horizontal="center" vertical="center"/>
      <protection locked="0"/>
    </xf>
    <xf numFmtId="0" fontId="0" fillId="0" borderId="2"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46" fillId="0" borderId="11" xfId="0" applyFont="1" applyBorder="1" applyAlignment="1">
      <alignment horizontal="left" vertical="center"/>
    </xf>
    <xf numFmtId="49" fontId="85" fillId="6" borderId="11"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right" vertical="center"/>
    </xf>
    <xf numFmtId="0" fontId="72" fillId="23" borderId="12"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49" fontId="77" fillId="5" borderId="0" xfId="0" applyNumberFormat="1" applyFont="1" applyFill="1" applyAlignment="1" applyProtection="1">
      <alignment vertical="center"/>
      <protection locked="0"/>
    </xf>
    <xf numFmtId="0" fontId="146" fillId="0" borderId="0" xfId="4"/>
    <xf numFmtId="0" fontId="299" fillId="0" borderId="7" xfId="4" applyFont="1" applyBorder="1" applyAlignment="1">
      <alignment horizontal="center"/>
    </xf>
    <xf numFmtId="0" fontId="283" fillId="0" borderId="11" xfId="4" applyFont="1" applyBorder="1" applyAlignment="1">
      <alignment horizontal="center" vertical="center"/>
    </xf>
    <xf numFmtId="0" fontId="283" fillId="0" borderId="12" xfId="4" applyFont="1" applyBorder="1" applyAlignment="1">
      <alignment vertical="center"/>
    </xf>
    <xf numFmtId="179" fontId="283" fillId="0" borderId="12" xfId="4" applyNumberFormat="1" applyFont="1" applyBorder="1" applyAlignment="1"/>
    <xf numFmtId="196" fontId="283" fillId="0" borderId="12" xfId="4" applyNumberFormat="1" applyFont="1" applyBorder="1" applyAlignment="1"/>
    <xf numFmtId="49" fontId="283" fillId="0" borderId="11" xfId="4" applyNumberFormat="1" applyFont="1" applyBorder="1" applyAlignment="1">
      <alignment horizontal="center" vertical="center"/>
    </xf>
    <xf numFmtId="0" fontId="283" fillId="0" borderId="12" xfId="4" applyFont="1" applyBorder="1" applyAlignment="1"/>
    <xf numFmtId="0" fontId="146" fillId="0" borderId="11" xfId="4" applyFont="1" applyBorder="1" applyAlignment="1">
      <alignment horizontal="center" vertical="center"/>
    </xf>
    <xf numFmtId="194" fontId="146" fillId="0" borderId="2" xfId="4" applyNumberFormat="1" applyFont="1" applyBorder="1" applyAlignment="1">
      <alignment vertical="center"/>
    </xf>
    <xf numFmtId="0" fontId="146" fillId="0" borderId="12" xfId="4" applyFont="1" applyBorder="1" applyAlignment="1">
      <alignment wrapText="1"/>
    </xf>
    <xf numFmtId="0" fontId="146" fillId="0" borderId="12" xfId="4" applyFont="1" applyBorder="1" applyAlignment="1"/>
    <xf numFmtId="0" fontId="300" fillId="0" borderId="12" xfId="4" applyFont="1" applyBorder="1" applyAlignment="1"/>
    <xf numFmtId="0" fontId="283" fillId="0" borderId="11" xfId="4" applyFont="1" applyFill="1" applyBorder="1" applyAlignment="1">
      <alignment horizontal="center" vertical="center"/>
    </xf>
    <xf numFmtId="0" fontId="145" fillId="0" borderId="11" xfId="4" applyFont="1" applyBorder="1" applyAlignment="1">
      <alignment horizontal="center" vertical="center"/>
    </xf>
    <xf numFmtId="178" fontId="283" fillId="0" borderId="12" xfId="4" applyNumberFormat="1" applyFont="1" applyBorder="1" applyAlignment="1"/>
    <xf numFmtId="179" fontId="283" fillId="0" borderId="12" xfId="4" applyNumberFormat="1" applyFont="1" applyBorder="1" applyAlignment="1">
      <alignment vertical="center"/>
    </xf>
    <xf numFmtId="197" fontId="283" fillId="0" borderId="12" xfId="4" applyNumberFormat="1" applyFont="1" applyBorder="1" applyAlignment="1">
      <alignment vertical="center"/>
    </xf>
    <xf numFmtId="0" fontId="283" fillId="0" borderId="2" xfId="4" applyFont="1" applyFill="1" applyBorder="1" applyAlignment="1">
      <alignment vertical="center"/>
    </xf>
    <xf numFmtId="9" fontId="283" fillId="0" borderId="2" xfId="4" applyNumberFormat="1" applyFont="1" applyFill="1" applyBorder="1" applyAlignment="1">
      <alignment vertical="center"/>
    </xf>
    <xf numFmtId="195" fontId="283" fillId="32" borderId="2" xfId="4" applyNumberFormat="1" applyFont="1" applyFill="1" applyBorder="1" applyAlignment="1">
      <alignment vertical="center"/>
    </xf>
    <xf numFmtId="195" fontId="283" fillId="0" borderId="44" xfId="4" applyNumberFormat="1" applyFont="1" applyFill="1" applyBorder="1" applyAlignment="1">
      <alignment vertical="center"/>
    </xf>
    <xf numFmtId="0" fontId="283" fillId="0" borderId="46" xfId="4" applyFont="1" applyFill="1" applyBorder="1" applyAlignment="1">
      <alignment vertical="center"/>
    </xf>
    <xf numFmtId="0" fontId="82" fillId="0" borderId="2" xfId="0" applyFont="1" applyBorder="1" applyAlignment="1" applyProtection="1">
      <alignment horizontal="center" vertical="center" wrapText="1"/>
      <protection locked="0"/>
    </xf>
    <xf numFmtId="0" fontId="0" fillId="0" borderId="42" xfId="0" applyBorder="1" applyAlignment="1">
      <alignment horizontal="left" vertical="center"/>
    </xf>
    <xf numFmtId="0" fontId="146" fillId="0" borderId="9" xfId="0" applyFont="1" applyBorder="1" applyAlignment="1">
      <alignment horizontal="left" vertical="center"/>
    </xf>
    <xf numFmtId="0" fontId="0" fillId="0" borderId="47" xfId="0" applyBorder="1" applyAlignment="1">
      <alignment horizontal="left" vertical="center"/>
    </xf>
    <xf numFmtId="0" fontId="146" fillId="0" borderId="47" xfId="0" applyFont="1" applyBorder="1" applyAlignment="1">
      <alignment horizontal="left" vertical="center"/>
    </xf>
    <xf numFmtId="0" fontId="147" fillId="0" borderId="1" xfId="0" applyFont="1" applyBorder="1" applyAlignment="1">
      <alignment horizontal="left" vertical="center"/>
    </xf>
    <xf numFmtId="0" fontId="146" fillId="0" borderId="2" xfId="0" applyFont="1" applyBorder="1" applyAlignment="1">
      <alignment horizontal="left" vertical="center" wrapText="1"/>
    </xf>
    <xf numFmtId="0" fontId="146" fillId="0" borderId="7" xfId="0" applyFont="1" applyBorder="1" applyAlignment="1">
      <alignment horizontal="left" vertical="center" wrapText="1"/>
    </xf>
    <xf numFmtId="0" fontId="0" fillId="0" borderId="12" xfId="0" applyBorder="1" applyAlignment="1">
      <alignment horizontal="left" vertical="center" wrapText="1"/>
    </xf>
    <xf numFmtId="0" fontId="0" fillId="0" borderId="46" xfId="0" applyBorder="1" applyAlignment="1">
      <alignment horizontal="left" vertical="center" wrapText="1"/>
    </xf>
    <xf numFmtId="0" fontId="85" fillId="2" borderId="87" xfId="0" applyNumberFormat="1" applyFont="1" applyFill="1" applyBorder="1" applyAlignment="1" applyProtection="1">
      <alignment horizontal="center" vertical="center" wrapText="1"/>
      <protection locked="0"/>
    </xf>
    <xf numFmtId="0" fontId="85" fillId="2" borderId="23" xfId="0" applyNumberFormat="1" applyFont="1" applyFill="1" applyBorder="1" applyAlignment="1" applyProtection="1">
      <alignment horizontal="center" vertical="center" wrapText="1"/>
      <protection locked="0"/>
    </xf>
    <xf numFmtId="0" fontId="85" fillId="5" borderId="69" xfId="0" applyNumberFormat="1" applyFont="1" applyFill="1" applyBorder="1" applyAlignment="1" applyProtection="1">
      <alignment horizontal="center" vertical="center" wrapText="1"/>
    </xf>
    <xf numFmtId="0" fontId="145" fillId="2" borderId="50" xfId="0" applyNumberFormat="1" applyFont="1" applyFill="1" applyBorder="1" applyAlignment="1" applyProtection="1">
      <alignment horizontal="center" vertical="center" wrapText="1"/>
      <protection locked="0"/>
    </xf>
    <xf numFmtId="0" fontId="0" fillId="9" borderId="12" xfId="0" applyFill="1" applyBorder="1" applyAlignment="1">
      <alignment horizontal="left" vertical="center" wrapText="1"/>
    </xf>
    <xf numFmtId="0" fontId="0" fillId="29" borderId="6" xfId="0" applyFill="1" applyBorder="1" applyAlignment="1">
      <alignment horizontal="left" vertical="center"/>
    </xf>
    <xf numFmtId="9" fontId="0" fillId="0" borderId="7" xfId="0" applyNumberFormat="1" applyBorder="1" applyAlignment="1">
      <alignment horizontal="left" vertical="center"/>
    </xf>
    <xf numFmtId="0" fontId="146" fillId="0" borderId="2" xfId="0" applyFont="1" applyBorder="1" applyAlignment="1">
      <alignment horizontal="left" vertical="center"/>
    </xf>
    <xf numFmtId="0" fontId="0" fillId="29" borderId="2" xfId="0" applyFill="1" applyBorder="1" applyAlignment="1">
      <alignment horizontal="left" vertical="center"/>
    </xf>
    <xf numFmtId="9" fontId="0" fillId="0" borderId="12" xfId="0" applyNumberFormat="1" applyBorder="1" applyAlignment="1">
      <alignment horizontal="left" vertical="center"/>
    </xf>
    <xf numFmtId="0" fontId="146" fillId="0" borderId="44" xfId="0" applyFont="1" applyBorder="1" applyAlignment="1">
      <alignment horizontal="left" vertical="center"/>
    </xf>
    <xf numFmtId="0" fontId="0" fillId="29" borderId="44" xfId="0" applyFill="1" applyBorder="1" applyAlignment="1">
      <alignment horizontal="left" vertical="center"/>
    </xf>
    <xf numFmtId="0" fontId="146" fillId="0" borderId="46" xfId="0" applyFont="1" applyBorder="1" applyAlignment="1">
      <alignment horizontal="left" vertical="center"/>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0" fontId="152" fillId="5" borderId="4" xfId="1" applyFont="1" applyFill="1" applyBorder="1" applyAlignment="1" applyProtection="1">
      <alignment vertical="center"/>
    </xf>
    <xf numFmtId="0" fontId="102" fillId="5" borderId="14" xfId="1" applyFont="1" applyFill="1" applyBorder="1" applyAlignment="1" applyProtection="1">
      <alignment horizontal="right" vertical="center"/>
    </xf>
    <xf numFmtId="0" fontId="102" fillId="5" borderId="0" xfId="1" applyFont="1" applyFill="1" applyAlignment="1" applyProtection="1">
      <alignment horizontal="center" vertical="center"/>
    </xf>
    <xf numFmtId="0" fontId="69" fillId="5" borderId="14" xfId="1" applyFont="1" applyFill="1" applyBorder="1" applyAlignment="1" applyProtection="1">
      <alignment vertical="center"/>
    </xf>
    <xf numFmtId="0" fontId="102" fillId="5" borderId="14" xfId="1" applyFont="1" applyFill="1" applyBorder="1" applyAlignment="1" applyProtection="1">
      <alignment vertical="center"/>
    </xf>
    <xf numFmtId="0" fontId="99" fillId="5" borderId="0" xfId="1" applyFont="1" applyFill="1" applyAlignment="1" applyProtection="1">
      <alignment horizontal="center" vertical="center"/>
    </xf>
    <xf numFmtId="187" fontId="102" fillId="5" borderId="14" xfId="1" applyNumberFormat="1" applyFont="1" applyFill="1" applyBorder="1" applyAlignment="1" applyProtection="1">
      <alignment horizontal="center" vertical="center"/>
    </xf>
    <xf numFmtId="181" fontId="102" fillId="5" borderId="14" xfId="1" applyNumberFormat="1" applyFont="1" applyFill="1" applyBorder="1" applyAlignment="1" applyProtection="1">
      <alignment vertical="center"/>
    </xf>
    <xf numFmtId="0" fontId="102" fillId="5" borderId="14" xfId="1" applyFont="1" applyFill="1" applyBorder="1" applyAlignment="1" applyProtection="1">
      <alignment horizontal="center" vertical="center"/>
    </xf>
    <xf numFmtId="0" fontId="102" fillId="5" borderId="0"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99" fillId="0" borderId="0" xfId="1" applyFont="1" applyFill="1" applyBorder="1" applyAlignment="1" applyProtection="1">
      <alignment horizontal="center" vertical="center"/>
    </xf>
    <xf numFmtId="0" fontId="99" fillId="0" borderId="0" xfId="1" applyFont="1" applyFill="1" applyAlignment="1" applyProtection="1">
      <alignment horizontal="center" vertical="center"/>
    </xf>
    <xf numFmtId="177" fontId="98" fillId="5" borderId="2" xfId="1" applyNumberFormat="1" applyFont="1" applyFill="1" applyBorder="1" applyAlignment="1" applyProtection="1">
      <alignment horizontal="right" vertical="center"/>
    </xf>
    <xf numFmtId="0" fontId="98"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7" fontId="102" fillId="5" borderId="0" xfId="1" applyNumberFormat="1" applyFont="1" applyFill="1" applyBorder="1" applyAlignment="1" applyProtection="1">
      <alignment horizontal="center" vertical="center"/>
      <protection locked="0"/>
    </xf>
    <xf numFmtId="181" fontId="102" fillId="5" borderId="0" xfId="1" applyNumberFormat="1" applyFont="1" applyFill="1" applyBorder="1" applyAlignment="1" applyProtection="1">
      <alignment vertical="center"/>
      <protection locked="0"/>
    </xf>
    <xf numFmtId="0" fontId="102" fillId="5" borderId="0" xfId="1" applyFont="1" applyFill="1" applyBorder="1" applyAlignment="1" applyProtection="1">
      <alignment horizontal="center" vertical="center"/>
      <protection locked="0"/>
    </xf>
    <xf numFmtId="184" fontId="98" fillId="5" borderId="10" xfId="1" applyNumberFormat="1" applyFont="1" applyFill="1" applyBorder="1" applyAlignment="1" applyProtection="1">
      <alignment horizontal="right" vertical="center"/>
    </xf>
    <xf numFmtId="0" fontId="99" fillId="5" borderId="0" xfId="1" applyFont="1" applyFill="1" applyAlignment="1" applyProtection="1">
      <alignment horizontal="center" vertical="center"/>
      <protection locked="0"/>
    </xf>
    <xf numFmtId="0" fontId="59" fillId="5" borderId="0" xfId="1" applyFont="1" applyFill="1" applyAlignment="1" applyProtection="1">
      <alignment horizontal="center" vertical="center"/>
      <protection locked="0"/>
    </xf>
    <xf numFmtId="0" fontId="102" fillId="5" borderId="157" xfId="1" applyFont="1" applyFill="1" applyBorder="1" applyAlignment="1" applyProtection="1">
      <alignment horizontal="center" vertical="center"/>
    </xf>
    <xf numFmtId="0" fontId="98" fillId="5" borderId="10" xfId="1" applyFont="1" applyFill="1" applyBorder="1" applyAlignment="1" applyProtection="1">
      <alignment vertical="center"/>
    </xf>
    <xf numFmtId="0" fontId="98" fillId="5" borderId="2" xfId="1" applyFont="1" applyFill="1" applyBorder="1" applyAlignment="1" applyProtection="1">
      <alignment vertical="center"/>
    </xf>
    <xf numFmtId="0" fontId="98" fillId="5" borderId="4" xfId="1" applyFont="1" applyFill="1" applyBorder="1" applyAlignment="1" applyProtection="1">
      <alignment vertical="center"/>
    </xf>
    <xf numFmtId="0" fontId="155" fillId="5" borderId="32" xfId="1" applyFont="1" applyFill="1" applyBorder="1" applyAlignment="1" applyProtection="1">
      <alignment horizontal="left" vertical="center"/>
    </xf>
    <xf numFmtId="0" fontId="84" fillId="5" borderId="26" xfId="1" applyFont="1" applyFill="1" applyBorder="1" applyAlignment="1" applyProtection="1">
      <alignment vertical="center" wrapText="1"/>
    </xf>
    <xf numFmtId="0" fontId="84" fillId="5" borderId="28" xfId="1" applyFont="1" applyFill="1" applyBorder="1" applyAlignment="1" applyProtection="1">
      <alignment vertical="center" wrapText="1"/>
    </xf>
    <xf numFmtId="187"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vertical="center" wrapText="1"/>
      <protection locked="0"/>
    </xf>
    <xf numFmtId="0" fontId="85" fillId="5" borderId="0" xfId="1" applyFont="1" applyFill="1" applyBorder="1" applyAlignment="1" applyProtection="1">
      <alignment horizontal="center" vertical="center"/>
      <protection locked="0"/>
    </xf>
    <xf numFmtId="0" fontId="85" fillId="5" borderId="3" xfId="1" applyFont="1" applyFill="1" applyBorder="1" applyAlignment="1" applyProtection="1">
      <alignment horizontal="center" vertical="center"/>
    </xf>
    <xf numFmtId="0" fontId="85" fillId="0" borderId="0" xfId="1" applyFont="1" applyFill="1" applyAlignment="1" applyProtection="1">
      <alignment horizontal="center" vertical="center"/>
    </xf>
    <xf numFmtId="0" fontId="84" fillId="5" borderId="31" xfId="1" applyFont="1" applyFill="1" applyBorder="1" applyAlignment="1" applyProtection="1">
      <alignment vertical="center" wrapText="1"/>
    </xf>
    <xf numFmtId="0" fontId="84" fillId="5" borderId="0" xfId="1" applyFont="1" applyFill="1" applyBorder="1" applyAlignment="1" applyProtection="1">
      <alignment vertical="center" wrapText="1"/>
    </xf>
    <xf numFmtId="0" fontId="76" fillId="5" borderId="59" xfId="1" applyFont="1" applyFill="1" applyBorder="1" applyAlignment="1" applyProtection="1">
      <alignment vertical="center" wrapText="1"/>
    </xf>
    <xf numFmtId="0" fontId="76" fillId="5" borderId="57" xfId="1" applyFont="1" applyFill="1" applyBorder="1" applyAlignment="1" applyProtection="1">
      <alignment horizontal="left" vertical="center" wrapText="1"/>
    </xf>
    <xf numFmtId="183" fontId="72" fillId="5" borderId="62" xfId="1" applyNumberFormat="1" applyFont="1" applyFill="1" applyBorder="1" applyAlignment="1" applyProtection="1">
      <alignment horizontal="center" vertical="center" wrapText="1"/>
    </xf>
    <xf numFmtId="0" fontId="72" fillId="5" borderId="34" xfId="1" applyNumberFormat="1" applyFont="1" applyFill="1" applyBorder="1" applyAlignment="1" applyProtection="1">
      <alignment horizontal="center" vertical="center" wrapText="1"/>
    </xf>
    <xf numFmtId="183" fontId="72" fillId="0" borderId="62" xfId="1" applyNumberFormat="1" applyFont="1" applyFill="1" applyBorder="1" applyAlignment="1" applyProtection="1">
      <alignment horizontal="center" vertical="center" wrapText="1"/>
      <protection locked="0"/>
    </xf>
    <xf numFmtId="0" fontId="72" fillId="5" borderId="49" xfId="1" applyNumberFormat="1" applyFont="1" applyFill="1" applyBorder="1" applyAlignment="1" applyProtection="1">
      <alignment horizontal="center" vertical="center" wrapText="1"/>
    </xf>
    <xf numFmtId="183" fontId="72" fillId="0" borderId="33" xfId="1" applyNumberFormat="1" applyFont="1" applyFill="1" applyBorder="1" applyAlignment="1" applyProtection="1">
      <alignment horizontal="center" vertical="center" wrapText="1"/>
      <protection locked="0"/>
    </xf>
    <xf numFmtId="0" fontId="72" fillId="5" borderId="9" xfId="1" applyNumberFormat="1" applyFont="1" applyFill="1" applyBorder="1" applyAlignment="1" applyProtection="1">
      <alignment horizontal="center" vertical="center" wrapText="1"/>
    </xf>
    <xf numFmtId="181" fontId="72"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protection locked="0"/>
    </xf>
    <xf numFmtId="186" fontId="72" fillId="5" borderId="5" xfId="1" applyNumberFormat="1" applyFont="1" applyFill="1" applyBorder="1" applyAlignment="1" applyProtection="1">
      <alignment horizontal="center" vertical="center"/>
    </xf>
    <xf numFmtId="49" fontId="72" fillId="5" borderId="9" xfId="1" applyNumberFormat="1" applyFont="1" applyFill="1" applyBorder="1" applyAlignment="1" applyProtection="1">
      <alignment horizontal="center" vertical="center"/>
    </xf>
    <xf numFmtId="0" fontId="72" fillId="5" borderId="3" xfId="1" applyFont="1" applyFill="1" applyBorder="1" applyAlignment="1" applyProtection="1">
      <alignment horizontal="center" vertical="center"/>
    </xf>
    <xf numFmtId="0" fontId="72" fillId="5" borderId="2" xfId="1" applyNumberFormat="1" applyFont="1" applyFill="1" applyBorder="1" applyAlignment="1" applyProtection="1">
      <alignment horizontal="center" vertical="center"/>
    </xf>
    <xf numFmtId="0" fontId="72" fillId="0" borderId="0" xfId="1" applyFont="1" applyFill="1" applyAlignment="1" applyProtection="1">
      <alignment horizontal="center" vertical="center"/>
    </xf>
    <xf numFmtId="0" fontId="76" fillId="5" borderId="64" xfId="1" applyFont="1" applyFill="1" applyBorder="1" applyAlignment="1" applyProtection="1">
      <alignment vertical="center" wrapText="1"/>
    </xf>
    <xf numFmtId="0" fontId="76" fillId="5" borderId="16" xfId="1" applyFont="1" applyFill="1" applyBorder="1" applyAlignment="1" applyProtection="1">
      <alignment horizontal="left" vertical="center" wrapText="1"/>
    </xf>
    <xf numFmtId="49" fontId="72" fillId="2" borderId="62" xfId="1" applyNumberFormat="1" applyFont="1" applyFill="1" applyBorder="1" applyAlignment="1" applyProtection="1">
      <alignment horizontal="center" vertical="center" wrapText="1"/>
      <protection locked="0"/>
    </xf>
    <xf numFmtId="49" fontId="72" fillId="2" borderId="33" xfId="1" applyNumberFormat="1" applyFont="1" applyFill="1" applyBorder="1" applyAlignment="1" applyProtection="1">
      <alignment horizontal="center" vertical="center" wrapText="1"/>
      <protection locked="0"/>
    </xf>
    <xf numFmtId="0" fontId="76" fillId="5" borderId="87" xfId="1" applyFont="1" applyFill="1" applyBorder="1" applyAlignment="1" applyProtection="1">
      <alignment vertical="center" wrapText="1"/>
    </xf>
    <xf numFmtId="0" fontId="76" fillId="5" borderId="63" xfId="1" applyFont="1" applyFill="1" applyBorder="1" applyAlignment="1" applyProtection="1">
      <alignment horizontal="left" vertical="center" wrapText="1"/>
    </xf>
    <xf numFmtId="0" fontId="72" fillId="2" borderId="30" xfId="1" applyNumberFormat="1" applyFont="1" applyFill="1" applyBorder="1" applyAlignment="1" applyProtection="1">
      <alignment horizontal="center" vertical="center" wrapText="1"/>
      <protection locked="0"/>
    </xf>
    <xf numFmtId="0" fontId="72" fillId="5" borderId="7" xfId="1" applyNumberFormat="1" applyFont="1" applyFill="1" applyBorder="1" applyAlignment="1" applyProtection="1">
      <alignment horizontal="center" vertical="center" wrapText="1"/>
    </xf>
    <xf numFmtId="0" fontId="72" fillId="2" borderId="59" xfId="1" applyNumberFormat="1" applyFont="1" applyFill="1" applyBorder="1" applyAlignment="1" applyProtection="1">
      <alignment horizontal="center" vertical="center" wrapText="1"/>
      <protection locked="0"/>
    </xf>
    <xf numFmtId="0" fontId="72" fillId="5" borderId="18" xfId="1" applyFont="1" applyFill="1" applyBorder="1" applyAlignment="1" applyProtection="1">
      <alignment horizontal="center" vertical="center"/>
      <protection locked="0"/>
    </xf>
    <xf numFmtId="0" fontId="72" fillId="5" borderId="2" xfId="1" applyFont="1" applyFill="1" applyBorder="1" applyAlignment="1" applyProtection="1">
      <alignment horizontal="center" vertical="center" wrapText="1"/>
    </xf>
    <xf numFmtId="0" fontId="72" fillId="5" borderId="2" xfId="1" applyFont="1" applyFill="1" applyBorder="1" applyAlignment="1" applyProtection="1">
      <alignment horizontal="center" vertical="center"/>
    </xf>
    <xf numFmtId="0" fontId="104" fillId="5" borderId="64" xfId="1" applyFont="1" applyFill="1" applyBorder="1" applyAlignment="1" applyProtection="1">
      <alignment vertical="center" wrapText="1"/>
    </xf>
    <xf numFmtId="0" fontId="72" fillId="0" borderId="20" xfId="1" applyNumberFormat="1" applyFont="1" applyFill="1" applyBorder="1" applyAlignment="1" applyProtection="1">
      <alignment horizontal="center" vertical="center" wrapText="1"/>
      <protection locked="0"/>
    </xf>
    <xf numFmtId="0" fontId="72" fillId="5" borderId="12" xfId="1" applyNumberFormat="1" applyFont="1" applyFill="1" applyBorder="1" applyAlignment="1" applyProtection="1">
      <alignment horizontal="center" vertical="center" wrapText="1"/>
    </xf>
    <xf numFmtId="49" fontId="72" fillId="0" borderId="50" xfId="1" applyNumberFormat="1" applyFont="1" applyFill="1" applyBorder="1" applyAlignment="1" applyProtection="1">
      <alignment horizontal="center" vertical="center" wrapText="1"/>
      <protection locked="0"/>
    </xf>
    <xf numFmtId="0" fontId="72" fillId="23" borderId="12" xfId="1" applyNumberFormat="1" applyFont="1" applyFill="1" applyBorder="1" applyAlignment="1" applyProtection="1">
      <alignment horizontal="center" vertical="center" wrapText="1"/>
    </xf>
    <xf numFmtId="49" fontId="72" fillId="0" borderId="20" xfId="1" applyNumberFormat="1" applyFont="1" applyFill="1" applyBorder="1" applyAlignment="1" applyProtection="1">
      <alignment horizontal="center" vertical="center" wrapText="1"/>
      <protection locked="0"/>
    </xf>
    <xf numFmtId="0" fontId="93" fillId="5" borderId="9" xfId="1" applyNumberFormat="1" applyFont="1" applyFill="1" applyBorder="1" applyAlignment="1" applyProtection="1">
      <alignment horizontal="center" vertical="center" wrapText="1"/>
    </xf>
    <xf numFmtId="181" fontId="105" fillId="5" borderId="0" xfId="1" applyNumberFormat="1" applyFont="1" applyFill="1" applyBorder="1" applyAlignment="1" applyProtection="1">
      <alignment horizontal="center" vertical="center" wrapText="1"/>
      <protection locked="0"/>
    </xf>
    <xf numFmtId="0" fontId="105" fillId="5" borderId="18" xfId="1" applyFont="1" applyFill="1" applyBorder="1" applyAlignment="1" applyProtection="1">
      <alignment horizontal="center" vertical="center"/>
      <protection locked="0"/>
    </xf>
    <xf numFmtId="0" fontId="105" fillId="0" borderId="0" xfId="1" applyFont="1" applyFill="1" applyAlignment="1" applyProtection="1">
      <alignment horizontal="center" vertical="center"/>
    </xf>
    <xf numFmtId="0" fontId="84" fillId="5" borderId="64" xfId="1" applyFont="1" applyFill="1" applyBorder="1" applyAlignment="1" applyProtection="1">
      <alignment vertical="center" wrapText="1"/>
    </xf>
    <xf numFmtId="0" fontId="72" fillId="0" borderId="9" xfId="1" applyNumberFormat="1" applyFont="1" applyFill="1" applyBorder="1" applyAlignment="1" applyProtection="1">
      <alignment horizontal="center" vertical="center" wrapText="1"/>
      <protection locked="0"/>
    </xf>
    <xf numFmtId="0" fontId="72" fillId="0" borderId="11" xfId="1" applyNumberFormat="1" applyFont="1" applyFill="1" applyBorder="1" applyAlignment="1" applyProtection="1">
      <alignment horizontal="center" vertical="center" wrapText="1"/>
      <protection locked="0"/>
    </xf>
    <xf numFmtId="0" fontId="93" fillId="0" borderId="9" xfId="1" applyNumberFormat="1" applyFont="1" applyFill="1" applyBorder="1" applyAlignment="1" applyProtection="1">
      <alignment horizontal="center" vertical="center" wrapText="1"/>
      <protection locked="0"/>
    </xf>
    <xf numFmtId="181" fontId="81" fillId="5" borderId="0" xfId="1" applyNumberFormat="1" applyFont="1" applyFill="1" applyBorder="1" applyAlignment="1" applyProtection="1">
      <alignment horizontal="center" vertical="center" wrapText="1"/>
      <protection locked="0"/>
    </xf>
    <xf numFmtId="0" fontId="85" fillId="5" borderId="18" xfId="1" applyFont="1" applyFill="1" applyBorder="1" applyAlignment="1" applyProtection="1">
      <alignment horizontal="center" vertical="center"/>
      <protection locked="0"/>
    </xf>
    <xf numFmtId="0" fontId="76" fillId="5" borderId="16" xfId="1" applyFont="1" applyFill="1" applyBorder="1" applyAlignment="1" applyProtection="1">
      <alignment horizontal="left" vertical="center" wrapText="1"/>
      <protection locked="0"/>
    </xf>
    <xf numFmtId="0" fontId="72" fillId="5" borderId="63" xfId="1" applyNumberFormat="1" applyFont="1" applyFill="1" applyBorder="1" applyAlignment="1" applyProtection="1">
      <alignment horizontal="center" vertical="center" wrapText="1"/>
    </xf>
    <xf numFmtId="0" fontId="145" fillId="0" borderId="11" xfId="1" applyNumberFormat="1" applyFont="1" applyFill="1" applyBorder="1" applyAlignment="1" applyProtection="1">
      <alignment horizontal="center" vertical="center" wrapText="1"/>
      <protection locked="0"/>
    </xf>
    <xf numFmtId="0" fontId="85" fillId="0" borderId="11" xfId="1" applyNumberFormat="1" applyFont="1" applyFill="1" applyBorder="1" applyAlignment="1" applyProtection="1">
      <alignment horizontal="center" vertical="center" wrapText="1"/>
      <protection locked="0"/>
    </xf>
    <xf numFmtId="0" fontId="84" fillId="8" borderId="87" xfId="1" applyFont="1" applyFill="1" applyBorder="1" applyAlignment="1" applyProtection="1">
      <alignment vertical="center" wrapText="1"/>
    </xf>
    <xf numFmtId="0" fontId="76" fillId="8" borderId="63" xfId="1" applyFont="1" applyFill="1" applyBorder="1" applyAlignment="1" applyProtection="1">
      <alignment horizontal="left" vertical="center" wrapText="1"/>
      <protection locked="0"/>
    </xf>
    <xf numFmtId="0" fontId="85" fillId="0" borderId="8" xfId="1" applyNumberFormat="1" applyFont="1" applyFill="1" applyBorder="1" applyAlignment="1" applyProtection="1">
      <alignment horizontal="center" vertical="center" wrapText="1"/>
      <protection locked="0"/>
    </xf>
    <xf numFmtId="0" fontId="85" fillId="5" borderId="12" xfId="1" applyNumberFormat="1" applyFont="1" applyFill="1" applyBorder="1" applyAlignment="1" applyProtection="1">
      <alignment horizontal="center" vertical="center" wrapText="1"/>
    </xf>
    <xf numFmtId="181" fontId="106" fillId="5" borderId="0" xfId="1" applyNumberFormat="1" applyFont="1" applyFill="1" applyBorder="1" applyAlignment="1" applyProtection="1">
      <alignment horizontal="center" vertical="center" wrapText="1"/>
      <protection locked="0"/>
    </xf>
    <xf numFmtId="0" fontId="84" fillId="8" borderId="54" xfId="1" applyFont="1" applyFill="1" applyBorder="1" applyAlignment="1" applyProtection="1">
      <alignment vertical="center" wrapText="1"/>
    </xf>
    <xf numFmtId="0" fontId="134" fillId="8" borderId="66" xfId="1" applyFont="1" applyFill="1" applyBorder="1" applyAlignment="1" applyProtection="1">
      <alignment horizontal="left" vertical="center" wrapText="1"/>
      <protection locked="0"/>
    </xf>
    <xf numFmtId="0" fontId="85" fillId="0" borderId="56" xfId="1" applyNumberFormat="1" applyFont="1" applyFill="1" applyBorder="1" applyAlignment="1" applyProtection="1">
      <alignment horizontal="center" vertical="center" wrapText="1"/>
      <protection locked="0"/>
    </xf>
    <xf numFmtId="0" fontId="85" fillId="5" borderId="46" xfId="1" applyNumberFormat="1" applyFont="1" applyFill="1" applyBorder="1" applyAlignment="1" applyProtection="1">
      <alignment horizontal="center" vertical="center" wrapText="1"/>
    </xf>
    <xf numFmtId="0" fontId="253" fillId="5" borderId="24" xfId="1" applyFont="1" applyFill="1" applyBorder="1" applyAlignment="1" applyProtection="1">
      <alignment vertical="center" wrapText="1"/>
    </xf>
    <xf numFmtId="0" fontId="72" fillId="5" borderId="52" xfId="1" applyFont="1" applyFill="1" applyBorder="1" applyAlignment="1" applyProtection="1">
      <alignment horizontal="center" vertical="center" wrapText="1"/>
    </xf>
    <xf numFmtId="49" fontId="85" fillId="5" borderId="58" xfId="1" applyNumberFormat="1" applyFont="1" applyFill="1" applyBorder="1" applyAlignment="1" applyProtection="1">
      <alignment horizontal="center" vertical="center" wrapText="1"/>
    </xf>
    <xf numFmtId="0" fontId="85" fillId="5" borderId="40" xfId="1" applyNumberFormat="1" applyFont="1" applyFill="1" applyBorder="1" applyAlignment="1" applyProtection="1">
      <alignment horizontal="center" vertical="center" wrapText="1"/>
    </xf>
    <xf numFmtId="49" fontId="85" fillId="0" borderId="53" xfId="1" applyNumberFormat="1" applyFont="1" applyFill="1" applyBorder="1" applyAlignment="1" applyProtection="1">
      <alignment horizontal="center" vertical="center" wrapText="1"/>
      <protection locked="0"/>
    </xf>
    <xf numFmtId="0" fontId="85" fillId="5" borderId="41" xfId="1" applyNumberFormat="1" applyFont="1" applyFill="1" applyBorder="1" applyAlignment="1" applyProtection="1">
      <alignment horizontal="center" vertical="center" wrapText="1"/>
    </xf>
    <xf numFmtId="49" fontId="85" fillId="0" borderId="58" xfId="1" applyNumberFormat="1" applyFont="1" applyFill="1" applyBorder="1" applyAlignment="1" applyProtection="1">
      <alignment horizontal="center" vertical="center" wrapText="1"/>
      <protection locked="0"/>
    </xf>
    <xf numFmtId="0" fontId="85" fillId="5" borderId="2" xfId="1" applyFont="1" applyFill="1" applyBorder="1" applyAlignment="1" applyProtection="1">
      <alignment horizontal="center" vertical="center" wrapText="1"/>
    </xf>
    <xf numFmtId="186" fontId="85" fillId="5" borderId="5" xfId="1" applyNumberFormat="1" applyFont="1" applyFill="1" applyBorder="1" applyAlignment="1" applyProtection="1">
      <alignment horizontal="center" vertical="center"/>
    </xf>
    <xf numFmtId="49" fontId="85" fillId="5" borderId="9" xfId="1" applyNumberFormat="1" applyFont="1" applyFill="1" applyBorder="1" applyAlignment="1" applyProtection="1">
      <alignment horizontal="center" vertical="center"/>
    </xf>
    <xf numFmtId="0" fontId="85" fillId="5" borderId="2" xfId="1" applyFont="1" applyFill="1" applyBorder="1" applyAlignment="1" applyProtection="1">
      <alignment horizontal="center" vertical="center"/>
    </xf>
    <xf numFmtId="0" fontId="85" fillId="5" borderId="2" xfId="1" applyNumberFormat="1" applyFont="1" applyFill="1" applyBorder="1" applyAlignment="1" applyProtection="1">
      <alignment horizontal="center" vertical="center"/>
    </xf>
    <xf numFmtId="0" fontId="84" fillId="5" borderId="24" xfId="1" applyFont="1" applyFill="1" applyBorder="1" applyAlignment="1" applyProtection="1">
      <alignment vertical="center" wrapText="1"/>
    </xf>
    <xf numFmtId="0" fontId="85" fillId="5" borderId="65" xfId="1" applyFont="1" applyFill="1" applyBorder="1" applyAlignment="1" applyProtection="1">
      <alignment horizontal="center" vertical="center"/>
    </xf>
    <xf numFmtId="0" fontId="85" fillId="2" borderId="20" xfId="1" applyNumberFormat="1" applyFont="1" applyFill="1" applyBorder="1" applyAlignment="1" applyProtection="1">
      <alignment horizontal="center" vertical="center" wrapText="1"/>
      <protection locked="0"/>
    </xf>
    <xf numFmtId="0" fontId="85" fillId="5" borderId="17" xfId="1" applyNumberFormat="1" applyFont="1" applyFill="1" applyBorder="1" applyAlignment="1" applyProtection="1">
      <alignment horizontal="center" vertical="center" wrapText="1"/>
    </xf>
    <xf numFmtId="49" fontId="85" fillId="2" borderId="50" xfId="1" applyNumberFormat="1" applyFont="1" applyFill="1" applyBorder="1" applyAlignment="1" applyProtection="1">
      <alignment horizontal="center" vertical="center" wrapText="1"/>
      <protection locked="0"/>
    </xf>
    <xf numFmtId="0" fontId="85" fillId="5" borderId="51" xfId="1" applyNumberFormat="1" applyFont="1" applyFill="1" applyBorder="1" applyAlignment="1" applyProtection="1">
      <alignment horizontal="center" vertical="center" wrapText="1"/>
    </xf>
    <xf numFmtId="49" fontId="85" fillId="2" borderId="20" xfId="1" applyNumberFormat="1" applyFont="1" applyFill="1" applyBorder="1" applyAlignment="1" applyProtection="1">
      <alignment horizontal="center" vertical="center" wrapText="1"/>
      <protection locked="0"/>
    </xf>
    <xf numFmtId="0" fontId="85" fillId="5" borderId="52" xfId="1" applyNumberFormat="1" applyFont="1" applyFill="1" applyBorder="1" applyAlignment="1" applyProtection="1">
      <alignment horizontal="center" vertical="center" wrapText="1"/>
    </xf>
    <xf numFmtId="0" fontId="72" fillId="5" borderId="25" xfId="1" applyFont="1" applyFill="1" applyBorder="1" applyAlignment="1" applyProtection="1">
      <alignment horizontal="center" vertical="center" wrapText="1"/>
    </xf>
    <xf numFmtId="49" fontId="85" fillId="5" borderId="32" xfId="1" applyNumberFormat="1" applyFont="1" applyFill="1" applyBorder="1" applyAlignment="1" applyProtection="1">
      <alignment horizontal="center" vertical="center" wrapText="1"/>
    </xf>
    <xf numFmtId="0" fontId="85" fillId="5" borderId="13" xfId="1" applyNumberFormat="1" applyFont="1" applyFill="1" applyBorder="1" applyAlignment="1" applyProtection="1">
      <alignment horizontal="center" vertical="center" wrapText="1"/>
    </xf>
    <xf numFmtId="49" fontId="85" fillId="0" borderId="24" xfId="1" applyNumberFormat="1" applyFont="1" applyFill="1" applyBorder="1" applyAlignment="1" applyProtection="1">
      <alignment horizontal="center" vertical="center" wrapText="1"/>
      <protection locked="0"/>
    </xf>
    <xf numFmtId="49" fontId="85" fillId="0" borderId="18" xfId="1" applyNumberFormat="1" applyFont="1" applyFill="1" applyBorder="1" applyAlignment="1" applyProtection="1">
      <alignment horizontal="center" vertical="center" wrapText="1"/>
      <protection locked="0"/>
    </xf>
    <xf numFmtId="0" fontId="85" fillId="5" borderId="25" xfId="1" applyNumberFormat="1" applyFont="1" applyFill="1" applyBorder="1" applyAlignment="1" applyProtection="1">
      <alignment horizontal="center" vertical="center" wrapText="1"/>
    </xf>
    <xf numFmtId="0" fontId="72" fillId="5" borderId="51" xfId="1" applyFont="1" applyFill="1" applyBorder="1" applyAlignment="1" applyProtection="1">
      <alignment horizontal="center" vertical="center" wrapText="1"/>
    </xf>
    <xf numFmtId="0" fontId="85" fillId="2" borderId="18" xfId="1" applyNumberFormat="1" applyFont="1" applyFill="1" applyBorder="1" applyAlignment="1" applyProtection="1">
      <alignment horizontal="center" vertical="center" wrapText="1"/>
      <protection locked="0"/>
    </xf>
    <xf numFmtId="49" fontId="85" fillId="2" borderId="24" xfId="1" applyNumberFormat="1" applyFont="1" applyFill="1" applyBorder="1" applyAlignment="1" applyProtection="1">
      <alignment horizontal="center" vertical="center" wrapText="1"/>
      <protection locked="0"/>
    </xf>
    <xf numFmtId="49" fontId="85" fillId="2" borderId="18" xfId="1" applyNumberFormat="1" applyFont="1" applyFill="1" applyBorder="1" applyAlignment="1" applyProtection="1">
      <alignment horizontal="center" vertical="center" wrapText="1"/>
      <protection locked="0"/>
    </xf>
    <xf numFmtId="0" fontId="85" fillId="5" borderId="4" xfId="1" applyNumberFormat="1" applyFont="1" applyFill="1" applyBorder="1" applyAlignment="1" applyProtection="1">
      <alignment horizontal="center" vertical="center" wrapText="1"/>
    </xf>
    <xf numFmtId="49" fontId="85" fillId="0" borderId="22" xfId="1" applyNumberFormat="1" applyFont="1" applyFill="1" applyBorder="1" applyAlignment="1" applyProtection="1">
      <alignment horizontal="center" vertical="center" wrapText="1"/>
      <protection locked="0"/>
    </xf>
    <xf numFmtId="49" fontId="85" fillId="0" borderId="32" xfId="1" applyNumberFormat="1" applyFont="1" applyFill="1" applyBorder="1" applyAlignment="1" applyProtection="1">
      <alignment horizontal="center" vertical="center" wrapText="1"/>
      <protection locked="0"/>
    </xf>
    <xf numFmtId="0" fontId="85" fillId="5" borderId="32" xfId="1" applyNumberFormat="1" applyFont="1" applyFill="1" applyBorder="1" applyAlignment="1" applyProtection="1">
      <alignment horizontal="center" vertical="center" wrapText="1"/>
    </xf>
    <xf numFmtId="0" fontId="72" fillId="5" borderId="10" xfId="1" applyFont="1" applyFill="1" applyBorder="1" applyAlignment="1" applyProtection="1">
      <alignment horizontal="center" vertical="center" wrapText="1"/>
    </xf>
    <xf numFmtId="0" fontId="72" fillId="5" borderId="21" xfId="1" applyFont="1" applyFill="1" applyBorder="1" applyAlignment="1" applyProtection="1">
      <alignment horizontal="center" vertical="center" wrapText="1"/>
    </xf>
    <xf numFmtId="0" fontId="85" fillId="2" borderId="50" xfId="1" applyNumberFormat="1" applyFont="1" applyFill="1" applyBorder="1" applyAlignment="1" applyProtection="1">
      <alignment horizontal="center" vertical="center" wrapText="1"/>
      <protection locked="0"/>
    </xf>
    <xf numFmtId="0" fontId="76" fillId="5" borderId="31" xfId="1" applyFont="1" applyFill="1" applyBorder="1" applyAlignment="1" applyProtection="1">
      <alignment vertical="center" wrapText="1"/>
    </xf>
    <xf numFmtId="0" fontId="53" fillId="5" borderId="52" xfId="1" applyFont="1" applyFill="1" applyBorder="1" applyAlignment="1" applyProtection="1">
      <alignment horizontal="center" vertical="center" wrapText="1"/>
    </xf>
    <xf numFmtId="0" fontId="72" fillId="2" borderId="157" xfId="1" applyNumberFormat="1" applyFont="1" applyFill="1" applyBorder="1" applyAlignment="1" applyProtection="1">
      <alignment horizontal="center" vertical="center" wrapText="1"/>
      <protection locked="0"/>
    </xf>
    <xf numFmtId="0" fontId="145" fillId="2" borderId="50" xfId="1" applyNumberFormat="1" applyFont="1" applyFill="1" applyBorder="1" applyAlignment="1" applyProtection="1">
      <alignment horizontal="center" vertical="center" wrapText="1"/>
      <protection locked="0"/>
    </xf>
    <xf numFmtId="0" fontId="82" fillId="2" borderId="157" xfId="1" applyNumberFormat="1" applyFont="1" applyFill="1" applyBorder="1" applyAlignment="1" applyProtection="1">
      <alignment horizontal="center" vertical="center" wrapText="1"/>
      <protection locked="0"/>
    </xf>
    <xf numFmtId="0" fontId="72" fillId="2" borderId="87" xfId="1" applyNumberFormat="1" applyFont="1" applyFill="1" applyBorder="1" applyAlignment="1" applyProtection="1">
      <alignment horizontal="center" vertical="center" wrapText="1"/>
      <protection locked="0"/>
    </xf>
    <xf numFmtId="0" fontId="85" fillId="2" borderId="8" xfId="1" applyNumberFormat="1" applyFont="1" applyFill="1" applyBorder="1" applyAlignment="1" applyProtection="1">
      <alignment horizontal="center" vertical="center" wrapText="1"/>
      <protection locked="0"/>
    </xf>
    <xf numFmtId="0" fontId="85" fillId="5" borderId="5" xfId="1" applyNumberFormat="1" applyFont="1" applyFill="1" applyBorder="1" applyAlignment="1" applyProtection="1">
      <alignment horizontal="center" vertical="center" wrapText="1"/>
    </xf>
    <xf numFmtId="0" fontId="85" fillId="2" borderId="64" xfId="1" applyNumberFormat="1" applyFont="1" applyFill="1" applyBorder="1" applyAlignment="1" applyProtection="1">
      <alignment horizontal="center" vertical="center" wrapText="1"/>
      <protection locked="0"/>
    </xf>
    <xf numFmtId="49" fontId="145" fillId="0" borderId="18" xfId="1" applyNumberFormat="1" applyFont="1" applyFill="1" applyBorder="1" applyAlignment="1" applyProtection="1">
      <alignment horizontal="center" vertical="center" wrapText="1"/>
      <protection locked="0"/>
    </xf>
    <xf numFmtId="49" fontId="145" fillId="0" borderId="24" xfId="1" applyNumberFormat="1" applyFont="1" applyFill="1" applyBorder="1" applyAlignment="1" applyProtection="1">
      <alignment horizontal="center" vertical="center" wrapText="1"/>
      <protection locked="0"/>
    </xf>
    <xf numFmtId="0" fontId="85" fillId="2" borderId="23" xfId="1" applyNumberFormat="1" applyFont="1" applyFill="1" applyBorder="1" applyAlignment="1" applyProtection="1">
      <alignment horizontal="center" vertical="center" wrapText="1"/>
      <protection locked="0"/>
    </xf>
    <xf numFmtId="0" fontId="85" fillId="5" borderId="69"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0" fontId="72" fillId="5" borderId="12" xfId="1" applyFont="1" applyFill="1" applyBorder="1" applyAlignment="1" applyProtection="1">
      <alignment horizontal="center" vertical="center" wrapText="1"/>
    </xf>
    <xf numFmtId="0" fontId="85" fillId="2" borderId="87" xfId="1" applyNumberFormat="1" applyFont="1" applyFill="1" applyBorder="1" applyAlignment="1" applyProtection="1">
      <alignment horizontal="center" vertical="center" wrapText="1"/>
      <protection locked="0"/>
    </xf>
    <xf numFmtId="0" fontId="107" fillId="0" borderId="9" xfId="1" applyNumberFormat="1" applyFont="1" applyFill="1" applyBorder="1" applyAlignment="1" applyProtection="1">
      <alignment horizontal="center" vertical="center" wrapText="1"/>
      <protection locked="0"/>
    </xf>
    <xf numFmtId="0" fontId="72" fillId="0" borderId="12" xfId="1" applyFont="1" applyFill="1" applyBorder="1" applyAlignment="1" applyProtection="1">
      <alignment horizontal="center" vertical="center" wrapText="1"/>
      <protection locked="0"/>
    </xf>
    <xf numFmtId="0" fontId="85" fillId="0" borderId="9" xfId="1" applyNumberFormat="1" applyFont="1" applyFill="1" applyBorder="1" applyAlignment="1" applyProtection="1">
      <alignment horizontal="center" vertical="center" wrapText="1"/>
      <protection locked="0"/>
    </xf>
    <xf numFmtId="0" fontId="85" fillId="5" borderId="31" xfId="1" applyFont="1" applyFill="1" applyBorder="1" applyAlignment="1" applyProtection="1">
      <alignment horizontal="center" vertical="center"/>
    </xf>
    <xf numFmtId="0" fontId="85" fillId="0" borderId="12" xfId="1" applyFont="1" applyFill="1" applyBorder="1" applyAlignment="1" applyProtection="1">
      <alignment horizontal="center" vertical="center"/>
      <protection locked="0"/>
    </xf>
    <xf numFmtId="0" fontId="101" fillId="5" borderId="54" xfId="1" applyFont="1" applyFill="1" applyBorder="1" applyAlignment="1" applyProtection="1">
      <alignment vertical="center" textRotation="255" wrapText="1"/>
    </xf>
    <xf numFmtId="0" fontId="81" fillId="0" borderId="46" xfId="1" applyFont="1" applyFill="1" applyBorder="1" applyAlignment="1" applyProtection="1">
      <alignment horizontal="center" vertical="center"/>
      <protection locked="0"/>
    </xf>
    <xf numFmtId="0" fontId="85" fillId="0" borderId="32" xfId="1" applyNumberFormat="1" applyFont="1" applyFill="1" applyBorder="1" applyAlignment="1" applyProtection="1">
      <alignment horizontal="center" vertical="center" wrapText="1"/>
      <protection locked="0"/>
    </xf>
    <xf numFmtId="0" fontId="72" fillId="5" borderId="4" xfId="1" applyNumberFormat="1" applyFont="1" applyFill="1" applyBorder="1" applyAlignment="1" applyProtection="1">
      <alignment horizontal="center" vertical="center" wrapText="1"/>
    </xf>
    <xf numFmtId="0" fontId="85" fillId="0" borderId="43" xfId="1" applyNumberFormat="1" applyFont="1" applyFill="1" applyBorder="1" applyAlignment="1" applyProtection="1">
      <alignment horizontal="center" vertical="center" wrapText="1"/>
      <protection locked="0"/>
    </xf>
    <xf numFmtId="0" fontId="85" fillId="0" borderId="47" xfId="1" applyNumberFormat="1" applyFont="1" applyFill="1" applyBorder="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186" fontId="81" fillId="5" borderId="5" xfId="1" applyNumberFormat="1" applyFont="1" applyFill="1" applyBorder="1" applyAlignment="1" applyProtection="1">
      <alignment horizontal="center" vertical="center"/>
    </xf>
    <xf numFmtId="49" fontId="81" fillId="5" borderId="9" xfId="1" applyNumberFormat="1" applyFont="1" applyFill="1" applyBorder="1" applyAlignment="1" applyProtection="1">
      <alignment horizontal="center" vertical="center"/>
    </xf>
    <xf numFmtId="0" fontId="81" fillId="5" borderId="3" xfId="1" applyFont="1" applyFill="1" applyBorder="1" applyAlignment="1" applyProtection="1">
      <alignment horizontal="center" vertical="center"/>
    </xf>
    <xf numFmtId="0" fontId="81" fillId="5" borderId="2" xfId="1" applyFont="1" applyFill="1" applyBorder="1" applyAlignment="1" applyProtection="1">
      <alignment horizontal="center" vertical="center"/>
    </xf>
    <xf numFmtId="0" fontId="81" fillId="0" borderId="0" xfId="1" applyFont="1" applyFill="1" applyAlignment="1" applyProtection="1">
      <alignment horizontal="center" vertical="center"/>
    </xf>
    <xf numFmtId="0" fontId="253" fillId="5" borderId="53" xfId="1" applyFont="1" applyFill="1" applyBorder="1" applyAlignment="1" applyProtection="1">
      <alignment vertical="center" wrapText="1"/>
    </xf>
    <xf numFmtId="0" fontId="72" fillId="5" borderId="17" xfId="1" applyFont="1" applyFill="1" applyBorder="1" applyAlignment="1" applyProtection="1">
      <alignment horizontal="center" vertical="center" wrapText="1"/>
    </xf>
    <xf numFmtId="0" fontId="85" fillId="0" borderId="1" xfId="1" applyNumberFormat="1" applyFont="1" applyFill="1" applyBorder="1" applyAlignment="1" applyProtection="1">
      <alignment horizontal="center" vertical="center" wrapText="1"/>
      <protection locked="0"/>
    </xf>
    <xf numFmtId="0" fontId="85" fillId="5" borderId="7" xfId="1" applyNumberFormat="1" applyFont="1" applyFill="1" applyBorder="1" applyAlignment="1" applyProtection="1">
      <alignment horizontal="center" vertical="center" wrapText="1"/>
    </xf>
    <xf numFmtId="0" fontId="85" fillId="0" borderId="6" xfId="1" applyNumberFormat="1" applyFont="1" applyFill="1" applyBorder="1" applyAlignment="1" applyProtection="1">
      <alignment horizontal="center" vertical="center" wrapText="1"/>
      <protection locked="0"/>
    </xf>
    <xf numFmtId="0" fontId="84" fillId="5" borderId="24" xfId="1" applyFont="1" applyFill="1" applyBorder="1" applyAlignment="1" applyProtection="1">
      <alignment vertical="center" textRotation="255" wrapText="1"/>
    </xf>
    <xf numFmtId="0" fontId="72" fillId="5" borderId="5" xfId="1" applyFont="1" applyFill="1" applyBorder="1" applyAlignment="1" applyProtection="1">
      <alignment horizontal="center" vertical="center" wrapText="1"/>
    </xf>
    <xf numFmtId="49" fontId="85" fillId="2" borderId="11" xfId="1" applyNumberFormat="1" applyFont="1" applyFill="1" applyBorder="1" applyAlignment="1" applyProtection="1">
      <alignment horizontal="center" vertical="center" wrapText="1"/>
      <protection locked="0"/>
    </xf>
    <xf numFmtId="0" fontId="76" fillId="5" borderId="24" xfId="1" applyFont="1" applyFill="1" applyBorder="1" applyAlignment="1" applyProtection="1">
      <alignment vertical="center" textRotation="255" wrapText="1"/>
    </xf>
    <xf numFmtId="0" fontId="53" fillId="5" borderId="5" xfId="1" applyFont="1" applyFill="1" applyBorder="1" applyAlignment="1" applyProtection="1">
      <alignment horizontal="center" vertical="center" wrapText="1"/>
    </xf>
    <xf numFmtId="9" fontId="72" fillId="2" borderId="64" xfId="1" applyNumberFormat="1" applyFont="1" applyFill="1" applyBorder="1" applyAlignment="1" applyProtection="1">
      <alignment horizontal="center" vertical="center" wrapText="1"/>
      <protection locked="0"/>
    </xf>
    <xf numFmtId="0" fontId="85" fillId="0" borderId="5" xfId="1" applyFont="1" applyFill="1" applyBorder="1" applyAlignment="1" applyProtection="1">
      <alignment horizontal="center" vertical="center"/>
      <protection locked="0"/>
    </xf>
    <xf numFmtId="0" fontId="85" fillId="0" borderId="2" xfId="1" applyNumberFormat="1" applyFont="1" applyFill="1" applyBorder="1" applyAlignment="1" applyProtection="1">
      <alignment horizontal="center" vertical="center" wrapText="1"/>
      <protection locked="0"/>
    </xf>
    <xf numFmtId="0" fontId="101" fillId="5" borderId="24" xfId="1" applyFont="1" applyFill="1" applyBorder="1" applyAlignment="1" applyProtection="1">
      <alignment vertical="center" textRotation="255" wrapText="1"/>
    </xf>
    <xf numFmtId="0" fontId="81" fillId="0" borderId="60" xfId="1" applyNumberFormat="1" applyFont="1" applyFill="1" applyBorder="1" applyAlignment="1" applyProtection="1">
      <alignment horizontal="center" vertical="center" wrapText="1"/>
      <protection locked="0"/>
    </xf>
    <xf numFmtId="0" fontId="81" fillId="5" borderId="46" xfId="1" applyNumberFormat="1" applyFont="1" applyFill="1" applyBorder="1" applyAlignment="1" applyProtection="1">
      <alignment horizontal="center" vertical="center" wrapText="1"/>
    </xf>
    <xf numFmtId="0" fontId="108" fillId="5" borderId="9" xfId="1" applyNumberFormat="1" applyFont="1" applyFill="1" applyBorder="1" applyAlignment="1" applyProtection="1">
      <alignment horizontal="center" vertical="center" wrapText="1"/>
    </xf>
    <xf numFmtId="49" fontId="84" fillId="5" borderId="59" xfId="1" applyNumberFormat="1" applyFont="1" applyFill="1" applyBorder="1" applyAlignment="1" applyProtection="1">
      <alignment vertical="center"/>
    </xf>
    <xf numFmtId="49" fontId="84" fillId="2" borderId="7" xfId="1" applyNumberFormat="1" applyFont="1" applyFill="1" applyBorder="1" applyAlignment="1" applyProtection="1">
      <alignment vertical="center"/>
      <protection locked="0"/>
    </xf>
    <xf numFmtId="0" fontId="84" fillId="5" borderId="30" xfId="1" applyFont="1" applyFill="1" applyBorder="1" applyAlignment="1" applyProtection="1">
      <alignment horizontal="right" vertical="center" wrapText="1"/>
    </xf>
    <xf numFmtId="0" fontId="84" fillId="5" borderId="57" xfId="1" applyFont="1" applyFill="1" applyBorder="1" applyAlignment="1" applyProtection="1">
      <alignment vertical="center" wrapText="1"/>
    </xf>
    <xf numFmtId="0" fontId="109" fillId="3" borderId="30" xfId="1" applyFont="1" applyFill="1" applyBorder="1" applyAlignment="1" applyProtection="1">
      <alignment vertical="center" wrapText="1"/>
      <protection locked="0"/>
    </xf>
    <xf numFmtId="0" fontId="109" fillId="5" borderId="30" xfId="1" applyFont="1" applyFill="1" applyBorder="1" applyAlignment="1" applyProtection="1">
      <alignment vertical="center" wrapText="1"/>
    </xf>
    <xf numFmtId="0" fontId="109" fillId="3" borderId="59" xfId="1" applyFont="1" applyFill="1" applyBorder="1" applyAlignment="1" applyProtection="1">
      <alignment vertical="center" wrapText="1"/>
      <protection locked="0"/>
    </xf>
    <xf numFmtId="0" fontId="109" fillId="5" borderId="57" xfId="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xf>
    <xf numFmtId="181" fontId="85" fillId="5" borderId="0" xfId="1" applyNumberFormat="1" applyFont="1" applyFill="1" applyBorder="1" applyAlignment="1" applyProtection="1">
      <alignment vertical="center" wrapText="1"/>
      <protection locked="0"/>
    </xf>
    <xf numFmtId="0" fontId="85" fillId="5" borderId="0" xfId="1" applyFont="1" applyFill="1" applyAlignment="1" applyProtection="1">
      <alignment horizontal="center" vertical="center"/>
      <protection locked="0"/>
    </xf>
    <xf numFmtId="0" fontId="85" fillId="5" borderId="0" xfId="1" applyFont="1" applyFill="1" applyAlignment="1" applyProtection="1">
      <alignment horizontal="center" vertical="center"/>
    </xf>
    <xf numFmtId="0" fontId="85" fillId="5" borderId="21" xfId="1" applyFont="1" applyFill="1" applyBorder="1" applyAlignment="1" applyProtection="1">
      <alignment vertical="center" textRotation="255" wrapText="1"/>
    </xf>
    <xf numFmtId="49" fontId="84" fillId="5" borderId="60" xfId="1" applyNumberFormat="1" applyFont="1" applyFill="1" applyBorder="1" applyAlignment="1" applyProtection="1">
      <alignment vertical="center"/>
    </xf>
    <xf numFmtId="49" fontId="84" fillId="5" borderId="48" xfId="1" applyNumberFormat="1" applyFont="1" applyFill="1" applyBorder="1" applyAlignment="1" applyProtection="1">
      <alignment vertical="center"/>
    </xf>
    <xf numFmtId="184" fontId="84" fillId="5" borderId="56" xfId="1" applyNumberFormat="1" applyFont="1" applyFill="1" applyBorder="1" applyAlignment="1" applyProtection="1">
      <alignment vertical="center" wrapText="1"/>
    </xf>
    <xf numFmtId="0" fontId="84" fillId="5" borderId="48" xfId="1" applyFont="1" applyFill="1" applyBorder="1" applyAlignment="1" applyProtection="1">
      <alignment vertical="center" wrapText="1"/>
    </xf>
    <xf numFmtId="0" fontId="84" fillId="5" borderId="56" xfId="1" applyFont="1" applyFill="1" applyBorder="1" applyAlignment="1" applyProtection="1">
      <alignment vertical="center" wrapText="1"/>
    </xf>
    <xf numFmtId="184" fontId="84" fillId="5" borderId="60" xfId="1" applyNumberFormat="1" applyFont="1" applyFill="1" applyBorder="1" applyAlignment="1" applyProtection="1">
      <alignment vertical="center" wrapText="1"/>
    </xf>
    <xf numFmtId="187" fontId="85" fillId="3" borderId="9" xfId="1" applyNumberFormat="1" applyFont="1" applyFill="1" applyBorder="1" applyAlignment="1" applyProtection="1">
      <alignment horizontal="center" vertical="center" wrapText="1"/>
    </xf>
    <xf numFmtId="49" fontId="84" fillId="0" borderId="54" xfId="1" applyNumberFormat="1" applyFont="1" applyFill="1" applyBorder="1" applyAlignment="1" applyProtection="1">
      <alignment vertical="center"/>
      <protection locked="0"/>
    </xf>
    <xf numFmtId="49" fontId="84" fillId="0" borderId="66" xfId="1" applyNumberFormat="1" applyFont="1" applyFill="1" applyBorder="1" applyAlignment="1" applyProtection="1">
      <alignment vertical="center"/>
      <protection locked="0"/>
    </xf>
    <xf numFmtId="184" fontId="84" fillId="5" borderId="61" xfId="1" applyNumberFormat="1" applyFont="1" applyFill="1" applyBorder="1" applyAlignment="1" applyProtection="1">
      <alignment vertical="center" wrapText="1"/>
    </xf>
    <xf numFmtId="187" fontId="85" fillId="3" borderId="2" xfId="1" applyNumberFormat="1" applyFont="1" applyFill="1" applyBorder="1" applyAlignment="1" applyProtection="1">
      <alignment horizontal="center" vertical="center" wrapText="1"/>
    </xf>
    <xf numFmtId="9" fontId="85" fillId="5" borderId="0" xfId="1" applyNumberFormat="1" applyFont="1" applyFill="1" applyAlignment="1" applyProtection="1">
      <alignment horizontal="center" vertical="center"/>
      <protection locked="0"/>
    </xf>
    <xf numFmtId="187" fontId="85" fillId="5" borderId="0" xfId="1" applyNumberFormat="1" applyFont="1" applyFill="1" applyAlignment="1" applyProtection="1">
      <alignment horizontal="center" vertical="center"/>
      <protection locked="0"/>
    </xf>
    <xf numFmtId="181" fontId="85" fillId="5" borderId="0" xfId="1" applyNumberFormat="1" applyFont="1" applyFill="1" applyAlignment="1" applyProtection="1">
      <alignment horizontal="center" vertical="center"/>
      <protection locked="0"/>
    </xf>
    <xf numFmtId="0" fontId="84" fillId="5" borderId="2" xfId="1" applyFont="1" applyFill="1" applyBorder="1" applyAlignment="1" applyProtection="1">
      <alignment horizontal="left" vertical="center"/>
    </xf>
    <xf numFmtId="0" fontId="84" fillId="5" borderId="2" xfId="1" applyFont="1" applyFill="1" applyBorder="1" applyAlignment="1" applyProtection="1">
      <alignment horizontal="center" vertical="center" wrapText="1"/>
    </xf>
    <xf numFmtId="181" fontId="85" fillId="5" borderId="5" xfId="1" applyNumberFormat="1" applyFont="1" applyFill="1" applyBorder="1" applyAlignment="1" applyProtection="1">
      <alignment horizontal="center" vertical="center"/>
    </xf>
    <xf numFmtId="181" fontId="85" fillId="5" borderId="9" xfId="1" applyNumberFormat="1" applyFont="1" applyFill="1" applyBorder="1" applyAlignment="1" applyProtection="1">
      <alignment vertical="center"/>
    </xf>
    <xf numFmtId="0" fontId="84" fillId="5" borderId="9" xfId="1" applyFont="1" applyFill="1" applyBorder="1" applyAlignment="1" applyProtection="1">
      <alignment horizontal="center" vertical="center" wrapText="1"/>
    </xf>
    <xf numFmtId="0" fontId="106" fillId="5" borderId="0" xfId="1" applyFont="1" applyFill="1" applyAlignment="1" applyProtection="1">
      <alignment horizontal="center" vertical="center"/>
      <protection locked="0"/>
    </xf>
    <xf numFmtId="187" fontId="106" fillId="5" borderId="0" xfId="1" applyNumberFormat="1" applyFont="1" applyFill="1" applyAlignment="1" applyProtection="1">
      <alignment horizontal="center" vertical="center"/>
      <protection locked="0"/>
    </xf>
    <xf numFmtId="181" fontId="106" fillId="5" borderId="0" xfId="1" applyNumberFormat="1" applyFont="1" applyFill="1" applyAlignment="1" applyProtection="1">
      <alignment horizontal="center" vertical="center"/>
      <protection locked="0"/>
    </xf>
    <xf numFmtId="0" fontId="106" fillId="5" borderId="0" xfId="1" applyFont="1" applyFill="1" applyAlignment="1" applyProtection="1">
      <alignment horizontal="center" vertical="center"/>
    </xf>
    <xf numFmtId="0" fontId="106" fillId="0" borderId="0" xfId="1" applyFont="1" applyFill="1" applyAlignment="1" applyProtection="1">
      <alignment horizontal="center" vertical="center"/>
    </xf>
    <xf numFmtId="14" fontId="85" fillId="5" borderId="0" xfId="1" applyNumberFormat="1" applyFont="1" applyFill="1" applyAlignment="1" applyProtection="1">
      <alignment horizontal="center" vertical="center"/>
      <protection locked="0"/>
    </xf>
    <xf numFmtId="176" fontId="85" fillId="5" borderId="0" xfId="1" applyNumberFormat="1" applyFont="1" applyFill="1" applyAlignment="1" applyProtection="1">
      <alignment horizontal="center" vertical="center"/>
      <protection locked="0"/>
    </xf>
    <xf numFmtId="14" fontId="85" fillId="5" borderId="1" xfId="1" applyNumberFormat="1" applyFont="1" applyFill="1" applyBorder="1" applyAlignment="1" applyProtection="1">
      <alignment horizontal="left" vertical="center"/>
    </xf>
    <xf numFmtId="176" fontId="85" fillId="5" borderId="6" xfId="1" applyNumberFormat="1" applyFont="1" applyFill="1" applyBorder="1" applyAlignment="1" applyProtection="1">
      <alignment horizontal="center" vertical="center"/>
    </xf>
    <xf numFmtId="0" fontId="21" fillId="6" borderId="6" xfId="1" applyFont="1" applyFill="1" applyBorder="1" applyAlignment="1" applyProtection="1">
      <alignment horizontal="center" vertical="center"/>
      <protection locked="0"/>
    </xf>
    <xf numFmtId="0" fontId="145" fillId="5" borderId="28" xfId="1" applyFont="1" applyFill="1" applyBorder="1" applyAlignment="1" applyProtection="1">
      <alignment horizontal="center" vertical="center" wrapText="1"/>
      <protection locked="0"/>
    </xf>
    <xf numFmtId="0" fontId="85" fillId="5" borderId="6" xfId="1" applyFont="1" applyFill="1" applyBorder="1" applyAlignment="1" applyProtection="1">
      <alignment horizontal="center" vertical="center"/>
    </xf>
    <xf numFmtId="0" fontId="85" fillId="5" borderId="7" xfId="1" applyFont="1" applyFill="1" applyBorder="1" applyAlignment="1" applyProtection="1">
      <alignment horizontal="center" vertical="center"/>
    </xf>
    <xf numFmtId="0" fontId="160" fillId="5" borderId="2" xfId="1" applyFont="1" applyFill="1" applyBorder="1" applyAlignment="1" applyProtection="1">
      <alignment horizontal="center" vertical="center"/>
    </xf>
    <xf numFmtId="0" fontId="204" fillId="5" borderId="0" xfId="1" applyFont="1" applyFill="1" applyAlignment="1" applyProtection="1">
      <alignment horizontal="left" vertical="center"/>
      <protection locked="0"/>
    </xf>
    <xf numFmtId="0" fontId="87" fillId="5" borderId="11" xfId="1" applyFont="1" applyFill="1" applyBorder="1" applyAlignment="1" applyProtection="1"/>
    <xf numFmtId="0" fontId="87" fillId="5" borderId="2" xfId="1" applyFont="1" applyFill="1" applyBorder="1" applyAlignment="1" applyProtection="1">
      <alignment horizontal="center"/>
    </xf>
    <xf numFmtId="0" fontId="110" fillId="5" borderId="2" xfId="1" applyFont="1" applyFill="1" applyBorder="1" applyAlignment="1" applyProtection="1">
      <alignment horizontal="center" vertical="center"/>
      <protection locked="0"/>
    </xf>
    <xf numFmtId="0" fontId="153" fillId="5" borderId="2" xfId="1" applyFont="1" applyFill="1" applyBorder="1" applyAlignment="1" applyProtection="1">
      <alignment horizontal="center" vertical="center"/>
    </xf>
    <xf numFmtId="0" fontId="110" fillId="5" borderId="0" xfId="1" applyFont="1" applyFill="1" applyAlignment="1" applyProtection="1">
      <alignment horizontal="center" vertical="center"/>
      <protection locked="0"/>
    </xf>
    <xf numFmtId="0" fontId="110" fillId="0" borderId="0" xfId="1" applyFont="1" applyFill="1" applyAlignment="1" applyProtection="1">
      <alignment horizontal="center" vertical="center"/>
    </xf>
    <xf numFmtId="0" fontId="87" fillId="5" borderId="2" xfId="1" applyFont="1" applyFill="1" applyBorder="1" applyAlignment="1" applyProtection="1">
      <alignment horizontal="center" vertical="center" wrapText="1"/>
    </xf>
    <xf numFmtId="9" fontId="110" fillId="6" borderId="2" xfId="1" applyNumberFormat="1" applyFont="1" applyFill="1" applyBorder="1" applyAlignment="1" applyProtection="1">
      <alignment horizontal="center" vertical="center"/>
      <protection locked="0"/>
    </xf>
    <xf numFmtId="49" fontId="110" fillId="5" borderId="2" xfId="1" applyNumberFormat="1" applyFont="1" applyFill="1" applyBorder="1" applyAlignment="1" applyProtection="1">
      <alignment horizontal="center" vertical="center"/>
    </xf>
    <xf numFmtId="0" fontId="153" fillId="0" borderId="2" xfId="1" applyFont="1" applyFill="1" applyBorder="1" applyAlignment="1" applyProtection="1">
      <alignment horizontal="center" vertical="center"/>
      <protection locked="0"/>
    </xf>
    <xf numFmtId="0" fontId="202" fillId="5" borderId="11" xfId="1" applyFont="1" applyFill="1" applyBorder="1" applyAlignment="1" applyProtection="1">
      <alignment horizontal="center" vertical="center"/>
    </xf>
    <xf numFmtId="0" fontId="110" fillId="6" borderId="11" xfId="1" applyFont="1" applyFill="1" applyBorder="1" applyAlignment="1" applyProtection="1">
      <alignment horizontal="center" vertical="center"/>
      <protection locked="0"/>
    </xf>
    <xf numFmtId="0" fontId="110" fillId="5" borderId="2" xfId="1" applyFont="1" applyFill="1" applyBorder="1" applyAlignment="1" applyProtection="1">
      <alignment horizontal="center" vertical="center"/>
    </xf>
    <xf numFmtId="0" fontId="202" fillId="5" borderId="43" xfId="1" applyFont="1" applyFill="1" applyBorder="1" applyAlignment="1" applyProtection="1">
      <alignment horizontal="center" vertical="center"/>
    </xf>
    <xf numFmtId="49" fontId="110" fillId="5" borderId="44" xfId="1" applyNumberFormat="1" applyFont="1" applyFill="1" applyBorder="1" applyAlignment="1" applyProtection="1">
      <alignment horizontal="center" vertical="center"/>
    </xf>
    <xf numFmtId="0" fontId="87" fillId="5" borderId="44" xfId="1" applyFont="1" applyFill="1" applyBorder="1" applyAlignment="1" applyProtection="1">
      <alignment horizontal="center"/>
    </xf>
    <xf numFmtId="177" fontId="96" fillId="5" borderId="46" xfId="1" applyNumberFormat="1" applyFont="1" applyFill="1" applyBorder="1" applyAlignment="1" applyProtection="1">
      <alignment horizontal="center"/>
    </xf>
    <xf numFmtId="0" fontId="87" fillId="5" borderId="0" xfId="1" applyFont="1" applyFill="1" applyAlignment="1" applyProtection="1">
      <protection locked="0"/>
    </xf>
    <xf numFmtId="14" fontId="85" fillId="5" borderId="0" xfId="1" applyNumberFormat="1" applyFont="1" applyFill="1" applyAlignment="1" applyProtection="1">
      <alignment horizontal="center" vertical="center"/>
    </xf>
    <xf numFmtId="0" fontId="111" fillId="5" borderId="0" xfId="1" applyFont="1" applyFill="1" applyBorder="1" applyAlignment="1" applyProtection="1"/>
    <xf numFmtId="0" fontId="85" fillId="5" borderId="0" xfId="1" applyFont="1" applyFill="1" applyBorder="1" applyAlignment="1" applyProtection="1"/>
    <xf numFmtId="0" fontId="85" fillId="5" borderId="0" xfId="1" applyFont="1" applyFill="1" applyBorder="1" applyAlignment="1" applyProtection="1">
      <alignment horizontal="center"/>
    </xf>
    <xf numFmtId="187" fontId="85" fillId="5" borderId="0" xfId="1" applyNumberFormat="1" applyFont="1" applyFill="1" applyBorder="1" applyAlignment="1" applyProtection="1">
      <alignment horizontal="center"/>
    </xf>
    <xf numFmtId="181" fontId="85" fillId="5" borderId="0" xfId="1" applyNumberFormat="1" applyFont="1" applyFill="1" applyBorder="1" applyAlignment="1" applyProtection="1"/>
    <xf numFmtId="0" fontId="85" fillId="5" borderId="0" xfId="1" applyFont="1" applyFill="1" applyBorder="1" applyAlignment="1" applyProtection="1">
      <protection locked="0"/>
    </xf>
    <xf numFmtId="9" fontId="72" fillId="5" borderId="0" xfId="1" applyNumberFormat="1" applyFont="1" applyFill="1" applyBorder="1" applyAlignment="1" applyProtection="1">
      <alignment horizontal="center" vertical="center" wrapText="1"/>
      <protection locked="0"/>
    </xf>
    <xf numFmtId="0" fontId="49" fillId="5" borderId="26" xfId="1" applyNumberFormat="1" applyFont="1" applyFill="1" applyBorder="1" applyAlignment="1" applyProtection="1">
      <alignment vertical="center"/>
    </xf>
    <xf numFmtId="0" fontId="76" fillId="5" borderId="58" xfId="1" applyNumberFormat="1" applyFont="1" applyFill="1" applyBorder="1" applyAlignment="1" applyProtection="1">
      <alignment vertical="center"/>
    </xf>
    <xf numFmtId="0" fontId="72" fillId="5" borderId="42" xfId="1" applyNumberFormat="1" applyFont="1" applyFill="1" applyBorder="1" applyAlignment="1" applyProtection="1">
      <alignment horizontal="center" vertical="center" wrapText="1"/>
    </xf>
    <xf numFmtId="49" fontId="72" fillId="5" borderId="0" xfId="1" applyNumberFormat="1" applyFont="1" applyFill="1" applyBorder="1" applyAlignment="1" applyProtection="1">
      <alignment horizontal="center" vertical="center" wrapText="1"/>
      <protection locked="0"/>
    </xf>
    <xf numFmtId="49" fontId="72" fillId="5" borderId="0" xfId="1" applyNumberFormat="1" applyFont="1" applyFill="1" applyBorder="1" applyAlignment="1" applyProtection="1">
      <alignment horizontal="center" vertical="center"/>
      <protection locked="0"/>
    </xf>
    <xf numFmtId="49" fontId="72" fillId="5" borderId="0" xfId="1" applyNumberFormat="1" applyFont="1" applyFill="1" applyAlignment="1" applyProtection="1">
      <alignment horizontal="center" vertical="center"/>
      <protection locked="0"/>
    </xf>
    <xf numFmtId="49" fontId="72" fillId="0" borderId="0" xfId="1" applyNumberFormat="1" applyFont="1" applyFill="1" applyAlignment="1" applyProtection="1">
      <alignment horizontal="center" vertical="center"/>
    </xf>
    <xf numFmtId="0" fontId="76" fillId="6" borderId="2" xfId="1" applyNumberFormat="1" applyFont="1" applyFill="1" applyBorder="1" applyAlignment="1" applyProtection="1">
      <alignment horizontal="center" vertical="center" wrapText="1"/>
      <protection locked="0"/>
    </xf>
    <xf numFmtId="10" fontId="76" fillId="5" borderId="2" xfId="1" applyNumberFormat="1" applyFont="1" applyFill="1" applyBorder="1" applyAlignment="1" applyProtection="1">
      <alignment horizontal="center" vertical="center" wrapText="1"/>
    </xf>
    <xf numFmtId="0" fontId="72" fillId="5" borderId="2" xfId="1" applyNumberFormat="1" applyFont="1" applyFill="1" applyBorder="1" applyAlignment="1" applyProtection="1">
      <alignment horizontal="center" vertical="center" wrapText="1"/>
    </xf>
    <xf numFmtId="177" fontId="72" fillId="0" borderId="2" xfId="1" applyNumberFormat="1" applyFont="1" applyFill="1" applyBorder="1" applyAlignment="1" applyProtection="1">
      <alignment horizontal="center" vertical="center" wrapText="1"/>
      <protection locked="0"/>
    </xf>
    <xf numFmtId="0" fontId="72" fillId="5" borderId="0" xfId="1" applyNumberFormat="1" applyFont="1" applyFill="1" applyBorder="1" applyAlignment="1" applyProtection="1">
      <alignment horizontal="center" vertical="center" wrapText="1"/>
      <protection locked="0"/>
    </xf>
    <xf numFmtId="0" fontId="72" fillId="5" borderId="0" xfId="1" applyFont="1" applyFill="1" applyAlignment="1" applyProtection="1">
      <alignment horizontal="center" vertical="center"/>
      <protection locked="0"/>
    </xf>
    <xf numFmtId="0" fontId="76" fillId="5" borderId="23" xfId="1" applyNumberFormat="1" applyFont="1" applyFill="1" applyBorder="1" applyAlignment="1" applyProtection="1">
      <alignment vertical="center"/>
    </xf>
    <xf numFmtId="177" fontId="72" fillId="0" borderId="67" xfId="1" applyNumberFormat="1" applyFont="1" applyFill="1" applyBorder="1" applyAlignment="1" applyProtection="1">
      <alignment horizontal="center" vertical="center" wrapText="1"/>
      <protection locked="0"/>
    </xf>
    <xf numFmtId="178" fontId="72" fillId="0" borderId="55" xfId="1" applyNumberFormat="1" applyFont="1" applyFill="1" applyBorder="1" applyAlignment="1" applyProtection="1">
      <alignment horizontal="center" vertical="center" wrapText="1"/>
      <protection locked="0"/>
    </xf>
    <xf numFmtId="0" fontId="76" fillId="5" borderId="13" xfId="1" applyNumberFormat="1" applyFont="1" applyFill="1" applyBorder="1" applyAlignment="1" applyProtection="1">
      <alignment vertical="center" wrapText="1"/>
    </xf>
    <xf numFmtId="0" fontId="76" fillId="5" borderId="18" xfId="1" applyNumberFormat="1" applyFont="1" applyFill="1" applyBorder="1" applyAlignment="1" applyProtection="1">
      <alignment vertical="center" wrapText="1"/>
    </xf>
    <xf numFmtId="0" fontId="72" fillId="5" borderId="20" xfId="1" applyNumberFormat="1" applyFont="1" applyFill="1" applyBorder="1" applyAlignment="1" applyProtection="1">
      <alignment horizontal="center" vertical="center" wrapText="1"/>
    </xf>
    <xf numFmtId="0" fontId="72" fillId="0" borderId="21" xfId="1" applyNumberFormat="1" applyFont="1" applyFill="1" applyBorder="1" applyAlignment="1" applyProtection="1">
      <alignment horizontal="center" vertical="center" wrapText="1"/>
      <protection locked="0"/>
    </xf>
    <xf numFmtId="0" fontId="72" fillId="0" borderId="21" xfId="1" applyNumberFormat="1" applyFont="1" applyFill="1" applyBorder="1" applyAlignment="1" applyProtection="1">
      <alignment horizontal="left" vertical="center" wrapText="1"/>
      <protection locked="0"/>
    </xf>
    <xf numFmtId="0" fontId="72" fillId="0" borderId="51" xfId="1" applyNumberFormat="1" applyFont="1" applyFill="1" applyBorder="1" applyAlignment="1" applyProtection="1">
      <alignment horizontal="center" vertical="center" wrapText="1"/>
      <protection locked="0"/>
    </xf>
    <xf numFmtId="0" fontId="150" fillId="5" borderId="0" xfId="1" applyFont="1" applyFill="1" applyBorder="1" applyAlignment="1" applyProtection="1">
      <alignment vertical="center"/>
      <protection locked="0"/>
    </xf>
    <xf numFmtId="0" fontId="72" fillId="5" borderId="32" xfId="1" applyNumberFormat="1" applyFont="1" applyFill="1" applyBorder="1" applyAlignment="1" applyProtection="1">
      <alignment horizontal="center" vertical="center" wrapText="1"/>
    </xf>
    <xf numFmtId="0" fontId="72" fillId="0" borderId="10" xfId="1" applyNumberFormat="1" applyFont="1" applyFill="1" applyBorder="1" applyAlignment="1" applyProtection="1">
      <alignment horizontal="center" vertical="center" wrapText="1"/>
      <protection locked="0"/>
    </xf>
    <xf numFmtId="0" fontId="72" fillId="0" borderId="25" xfId="1" applyNumberFormat="1" applyFont="1" applyFill="1" applyBorder="1" applyAlignment="1" applyProtection="1">
      <alignment horizontal="center" vertical="center" wrapText="1"/>
      <protection locked="0"/>
    </xf>
    <xf numFmtId="0" fontId="84" fillId="5" borderId="53" xfId="1" applyNumberFormat="1" applyFont="1" applyFill="1" applyBorder="1" applyAlignment="1" applyProtection="1">
      <alignment vertical="center" wrapText="1"/>
    </xf>
    <xf numFmtId="0" fontId="72" fillId="5" borderId="27" xfId="1" applyNumberFormat="1" applyFont="1" applyFill="1" applyBorder="1" applyAlignment="1" applyProtection="1">
      <alignment horizontal="center" vertical="center" wrapText="1"/>
    </xf>
    <xf numFmtId="0" fontId="145"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center" vertical="center" wrapText="1"/>
      <protection locked="0"/>
    </xf>
    <xf numFmtId="0" fontId="106" fillId="0" borderId="6" xfId="1" applyNumberFormat="1" applyFont="1" applyFill="1" applyBorder="1" applyAlignment="1" applyProtection="1">
      <alignment horizontal="left" vertical="center" wrapText="1"/>
      <protection locked="0"/>
    </xf>
    <xf numFmtId="0" fontId="106" fillId="0" borderId="7" xfId="1" applyNumberFormat="1" applyFont="1" applyFill="1" applyBorder="1" applyAlignment="1" applyProtection="1">
      <alignment horizontal="center" vertical="center" wrapText="1"/>
      <protection locked="0"/>
    </xf>
    <xf numFmtId="0" fontId="106" fillId="5" borderId="0" xfId="1" applyNumberFormat="1" applyFont="1" applyFill="1" applyBorder="1" applyAlignment="1" applyProtection="1">
      <alignment horizontal="center" vertical="center" wrapText="1"/>
      <protection locked="0"/>
    </xf>
    <xf numFmtId="0" fontId="72" fillId="5" borderId="0" xfId="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wrapText="1"/>
    </xf>
    <xf numFmtId="0" fontId="81" fillId="5" borderId="70" xfId="1" applyNumberFormat="1" applyFont="1" applyFill="1" applyBorder="1" applyAlignment="1" applyProtection="1">
      <alignment horizontal="center" vertical="center" wrapText="1"/>
    </xf>
    <xf numFmtId="0" fontId="85" fillId="0" borderId="71" xfId="1" applyNumberFormat="1" applyFont="1" applyFill="1" applyBorder="1" applyAlignment="1" applyProtection="1">
      <alignment horizontal="center" vertical="center" wrapText="1"/>
      <protection locked="0"/>
    </xf>
    <xf numFmtId="0" fontId="85" fillId="0" borderId="72" xfId="1" applyNumberFormat="1" applyFont="1" applyFill="1" applyBorder="1" applyAlignment="1" applyProtection="1">
      <alignment horizontal="center" vertical="center" wrapText="1"/>
      <protection locked="0"/>
    </xf>
    <xf numFmtId="0" fontId="85" fillId="5" borderId="0" xfId="1" applyNumberFormat="1" applyFont="1" applyFill="1" applyBorder="1" applyAlignment="1" applyProtection="1">
      <alignment horizontal="center" vertical="center" wrapText="1"/>
      <protection locked="0"/>
    </xf>
    <xf numFmtId="0" fontId="72" fillId="5" borderId="73" xfId="1" applyNumberFormat="1" applyFont="1" applyFill="1" applyBorder="1" applyAlignment="1" applyProtection="1">
      <alignment horizontal="center" vertical="center" wrapText="1"/>
    </xf>
    <xf numFmtId="0" fontId="85"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center" vertical="center" wrapText="1"/>
    </xf>
    <xf numFmtId="0" fontId="106" fillId="5" borderId="74" xfId="1" applyNumberFormat="1" applyFont="1" applyFill="1" applyBorder="1" applyAlignment="1" applyProtection="1">
      <alignment horizontal="left" vertical="center" wrapText="1"/>
    </xf>
    <xf numFmtId="0" fontId="106" fillId="5" borderId="75" xfId="1" applyNumberFormat="1" applyFont="1" applyFill="1" applyBorder="1" applyAlignment="1" applyProtection="1">
      <alignment horizontal="center" vertical="center" wrapText="1"/>
    </xf>
    <xf numFmtId="0" fontId="72" fillId="5" borderId="70" xfId="1" applyNumberFormat="1" applyFont="1" applyFill="1" applyBorder="1" applyAlignment="1" applyProtection="1">
      <alignment horizontal="center" vertical="center" wrapText="1"/>
    </xf>
    <xf numFmtId="0" fontId="85" fillId="5" borderId="71" xfId="1" applyNumberFormat="1" applyFont="1" applyFill="1" applyBorder="1" applyAlignment="1" applyProtection="1">
      <alignment horizontal="center" vertical="center" wrapText="1"/>
    </xf>
    <xf numFmtId="0" fontId="85" fillId="5" borderId="72" xfId="1" applyNumberFormat="1" applyFont="1" applyFill="1" applyBorder="1" applyAlignment="1" applyProtection="1">
      <alignment horizontal="center" vertical="center" wrapText="1"/>
    </xf>
    <xf numFmtId="0" fontId="72" fillId="5" borderId="3" xfId="1" applyNumberFormat="1" applyFont="1" applyFill="1" applyBorder="1" applyAlignment="1" applyProtection="1">
      <alignment horizontal="center" vertical="center" wrapText="1"/>
    </xf>
    <xf numFmtId="0" fontId="85" fillId="5" borderId="21" xfId="1" applyNumberFormat="1" applyFont="1" applyFill="1" applyBorder="1" applyAlignment="1" applyProtection="1">
      <alignment horizontal="center" vertical="center" wrapText="1"/>
    </xf>
    <xf numFmtId="0" fontId="81" fillId="5" borderId="3" xfId="1" applyNumberFormat="1" applyFont="1" applyFill="1" applyBorder="1" applyAlignment="1" applyProtection="1">
      <alignment horizontal="center" vertical="center" wrapText="1"/>
    </xf>
    <xf numFmtId="0" fontId="106" fillId="0" borderId="2" xfId="1" applyNumberFormat="1" applyFont="1" applyFill="1" applyBorder="1" applyAlignment="1" applyProtection="1">
      <alignment horizontal="center" vertical="center" wrapText="1"/>
      <protection locked="0"/>
    </xf>
    <xf numFmtId="0" fontId="106" fillId="0" borderId="2" xfId="1" applyNumberFormat="1" applyFont="1" applyFill="1" applyBorder="1" applyAlignment="1" applyProtection="1">
      <alignment horizontal="left" vertical="center" wrapText="1"/>
      <protection locked="0"/>
    </xf>
    <xf numFmtId="0" fontId="106" fillId="0" borderId="12"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wrapText="1"/>
    </xf>
    <xf numFmtId="0" fontId="82" fillId="0" borderId="74" xfId="1" applyNumberFormat="1" applyFont="1" applyFill="1" applyBorder="1" applyAlignment="1" applyProtection="1">
      <alignment horizontal="center" vertical="center" wrapText="1"/>
      <protection locked="0"/>
    </xf>
    <xf numFmtId="0" fontId="7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left" vertical="center" wrapText="1"/>
      <protection locked="0"/>
    </xf>
    <xf numFmtId="0" fontId="81" fillId="0" borderId="75" xfId="1" applyNumberFormat="1" applyFont="1" applyFill="1" applyBorder="1" applyAlignment="1" applyProtection="1">
      <alignment horizontal="center" vertical="center" wrapText="1"/>
      <protection locked="0"/>
    </xf>
    <xf numFmtId="0" fontId="81" fillId="5" borderId="0"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wrapText="1"/>
      <protection locked="0"/>
    </xf>
    <xf numFmtId="9" fontId="81" fillId="5" borderId="0" xfId="1" applyNumberFormat="1" applyFont="1" applyFill="1" applyBorder="1" applyAlignment="1" applyProtection="1">
      <alignment horizontal="center" vertical="center" wrapText="1"/>
      <protection locked="0"/>
    </xf>
    <xf numFmtId="0" fontId="81" fillId="5" borderId="0" xfId="1" applyFont="1" applyFill="1" applyAlignment="1" applyProtection="1">
      <alignment horizontal="center" vertical="center"/>
      <protection locked="0"/>
    </xf>
    <xf numFmtId="0" fontId="72" fillId="0" borderId="7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horizontal="center" vertical="center"/>
      <protection locked="0"/>
    </xf>
    <xf numFmtId="9" fontId="81" fillId="5" borderId="0" xfId="1" applyNumberFormat="1" applyFont="1" applyFill="1" applyBorder="1" applyAlignment="1" applyProtection="1">
      <alignment horizontal="center" vertical="center"/>
      <protection locked="0"/>
    </xf>
    <xf numFmtId="0" fontId="81" fillId="0" borderId="71" xfId="1" applyNumberFormat="1" applyFont="1" applyFill="1" applyBorder="1" applyAlignment="1" applyProtection="1">
      <alignment horizontal="center" vertical="center" wrapText="1"/>
      <protection locked="0"/>
    </xf>
    <xf numFmtId="0" fontId="81" fillId="0" borderId="72"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center" vertical="center" wrapText="1"/>
      <protection locked="0"/>
    </xf>
    <xf numFmtId="0" fontId="81" fillId="0" borderId="21" xfId="1" applyNumberFormat="1" applyFont="1" applyFill="1" applyBorder="1" applyAlignment="1" applyProtection="1">
      <alignment horizontal="left" vertical="center" wrapText="1"/>
      <protection locked="0"/>
    </xf>
    <xf numFmtId="0" fontId="81" fillId="0" borderId="51" xfId="1" applyNumberFormat="1" applyFont="1" applyFill="1" applyBorder="1" applyAlignment="1" applyProtection="1">
      <alignment horizontal="center" vertical="center" wrapText="1"/>
      <protection locked="0"/>
    </xf>
    <xf numFmtId="0" fontId="81" fillId="5" borderId="0" xfId="1" applyFont="1" applyFill="1" applyBorder="1" applyAlignment="1" applyProtection="1">
      <alignment vertical="center" wrapText="1"/>
      <protection locked="0"/>
    </xf>
    <xf numFmtId="0" fontId="101" fillId="5" borderId="23" xfId="1" applyNumberFormat="1" applyFont="1" applyFill="1" applyBorder="1" applyAlignment="1" applyProtection="1">
      <alignment vertical="center" wrapText="1"/>
    </xf>
    <xf numFmtId="0" fontId="72" fillId="5" borderId="55" xfId="1" applyNumberFormat="1" applyFont="1" applyFill="1" applyBorder="1" applyAlignment="1" applyProtection="1">
      <alignment horizontal="center" vertical="center" wrapText="1"/>
    </xf>
    <xf numFmtId="0" fontId="72" fillId="0" borderId="44" xfId="1" applyNumberFormat="1" applyFont="1" applyFill="1" applyBorder="1" applyAlignment="1" applyProtection="1">
      <alignment horizontal="center" vertical="center" wrapText="1"/>
      <protection locked="0"/>
    </xf>
    <xf numFmtId="0" fontId="81" fillId="0" borderId="44" xfId="1" applyNumberFormat="1" applyFont="1" applyFill="1" applyBorder="1" applyAlignment="1" applyProtection="1">
      <alignment horizontal="center" vertical="center" wrapText="1"/>
      <protection locked="0"/>
    </xf>
    <xf numFmtId="0" fontId="81" fillId="0" borderId="46" xfId="1" applyNumberFormat="1" applyFont="1" applyFill="1" applyBorder="1" applyAlignment="1" applyProtection="1">
      <alignment horizontal="center" vertical="center" wrapText="1"/>
      <protection locked="0"/>
    </xf>
    <xf numFmtId="0" fontId="72" fillId="5" borderId="6" xfId="1" applyNumberFormat="1" applyFont="1" applyFill="1" applyBorder="1" applyAlignment="1" applyProtection="1">
      <alignment horizontal="center" vertical="center" wrapText="1"/>
    </xf>
    <xf numFmtId="0" fontId="85"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center" vertical="center" wrapText="1"/>
    </xf>
    <xf numFmtId="0" fontId="106" fillId="5" borderId="6" xfId="1" applyNumberFormat="1" applyFont="1" applyFill="1" applyBorder="1" applyAlignment="1" applyProtection="1">
      <alignment horizontal="left" vertical="center" wrapText="1"/>
    </xf>
    <xf numFmtId="0" fontId="106" fillId="5" borderId="7" xfId="1" applyNumberFormat="1" applyFont="1" applyFill="1" applyBorder="1" applyAlignment="1" applyProtection="1">
      <alignment horizontal="center" vertical="center" wrapText="1"/>
    </xf>
    <xf numFmtId="0" fontId="72" fillId="5" borderId="0" xfId="1" applyFont="1" applyFill="1" applyBorder="1" applyAlignment="1" applyProtection="1">
      <alignment vertical="center" wrapText="1"/>
      <protection locked="0"/>
    </xf>
    <xf numFmtId="0" fontId="72" fillId="5" borderId="74" xfId="1" applyNumberFormat="1" applyFont="1" applyFill="1" applyBorder="1" applyAlignment="1" applyProtection="1">
      <alignment horizontal="center" vertical="center" wrapText="1"/>
    </xf>
    <xf numFmtId="0" fontId="76" fillId="5" borderId="24" xfId="1" applyNumberFormat="1" applyFont="1" applyFill="1" applyBorder="1" applyAlignment="1" applyProtection="1">
      <alignment vertical="center" wrapText="1"/>
    </xf>
    <xf numFmtId="0" fontId="72" fillId="5" borderId="74" xfId="1" applyNumberFormat="1" applyFont="1" applyFill="1" applyBorder="1" applyAlignment="1" applyProtection="1">
      <alignment horizontal="left" vertical="center" wrapText="1"/>
    </xf>
    <xf numFmtId="0" fontId="72" fillId="5" borderId="75" xfId="1" applyNumberFormat="1" applyFont="1" applyFill="1" applyBorder="1" applyAlignment="1" applyProtection="1">
      <alignment horizontal="center" vertical="center" wrapText="1"/>
    </xf>
    <xf numFmtId="0" fontId="72" fillId="5" borderId="71" xfId="1" applyNumberFormat="1" applyFont="1" applyFill="1" applyBorder="1" applyAlignment="1" applyProtection="1">
      <alignment horizontal="center" vertical="center" wrapText="1"/>
    </xf>
    <xf numFmtId="0" fontId="53" fillId="5" borderId="73"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center" vertical="center" wrapText="1"/>
    </xf>
    <xf numFmtId="0" fontId="81" fillId="5" borderId="74" xfId="1" applyNumberFormat="1" applyFont="1" applyFill="1" applyBorder="1" applyAlignment="1" applyProtection="1">
      <alignment horizontal="left" vertical="center" wrapText="1"/>
    </xf>
    <xf numFmtId="0" fontId="81" fillId="5" borderId="75" xfId="1" applyNumberFormat="1" applyFont="1" applyFill="1" applyBorder="1" applyAlignment="1" applyProtection="1">
      <alignment horizontal="center" vertical="center" wrapText="1"/>
    </xf>
    <xf numFmtId="0" fontId="81" fillId="5" borderId="71" xfId="1" applyNumberFormat="1" applyFont="1" applyFill="1" applyBorder="1" applyAlignment="1" applyProtection="1">
      <alignment horizontal="center" vertical="center" wrapText="1"/>
    </xf>
    <xf numFmtId="0" fontId="81" fillId="5" borderId="72" xfId="1" applyNumberFormat="1" applyFont="1" applyFill="1" applyBorder="1" applyAlignment="1" applyProtection="1">
      <alignment horizontal="center" vertical="center" wrapText="1"/>
    </xf>
    <xf numFmtId="0" fontId="53" fillId="5" borderId="3" xfId="1" applyNumberFormat="1" applyFont="1" applyFill="1" applyBorder="1" applyAlignment="1" applyProtection="1">
      <alignment horizontal="center" vertical="center" wrapText="1"/>
    </xf>
    <xf numFmtId="0" fontId="59" fillId="5" borderId="3" xfId="1" applyNumberFormat="1" applyFont="1" applyFill="1" applyBorder="1" applyAlignment="1" applyProtection="1">
      <alignment horizontal="center" vertical="center" wrapText="1"/>
    </xf>
    <xf numFmtId="0" fontId="81" fillId="5" borderId="52" xfId="1" applyNumberFormat="1" applyFont="1" applyFill="1" applyBorder="1" applyAlignment="1" applyProtection="1">
      <alignment horizontal="center" vertical="center" wrapText="1"/>
    </xf>
    <xf numFmtId="0" fontId="85"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center" vertical="center" wrapText="1"/>
      <protection locked="0"/>
    </xf>
    <xf numFmtId="0" fontId="106" fillId="0" borderId="74" xfId="1" applyNumberFormat="1" applyFont="1" applyFill="1" applyBorder="1" applyAlignment="1" applyProtection="1">
      <alignment horizontal="left" vertical="center" wrapText="1"/>
      <protection locked="0"/>
    </xf>
    <xf numFmtId="0" fontId="106" fillId="0" borderId="75" xfId="1" applyNumberFormat="1" applyFont="1" applyFill="1" applyBorder="1" applyAlignment="1" applyProtection="1">
      <alignment horizontal="center" vertical="center" wrapText="1"/>
      <protection locked="0"/>
    </xf>
    <xf numFmtId="0" fontId="85"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center" vertical="center" wrapText="1"/>
      <protection locked="0"/>
    </xf>
    <xf numFmtId="0" fontId="106" fillId="0" borderId="21" xfId="1" applyNumberFormat="1" applyFont="1" applyFill="1" applyBorder="1" applyAlignment="1" applyProtection="1">
      <alignment horizontal="left" vertical="center" wrapText="1"/>
      <protection locked="0"/>
    </xf>
    <xf numFmtId="0" fontId="106" fillId="0" borderId="51" xfId="1" applyNumberFormat="1" applyFont="1" applyFill="1" applyBorder="1" applyAlignment="1" applyProtection="1">
      <alignment horizontal="center" vertical="center" wrapText="1"/>
      <protection locked="0"/>
    </xf>
    <xf numFmtId="0" fontId="85" fillId="0" borderId="44" xfId="1" applyNumberFormat="1" applyFont="1" applyFill="1" applyBorder="1" applyAlignment="1" applyProtection="1">
      <alignment horizontal="center" vertical="center" wrapText="1"/>
      <protection locked="0"/>
    </xf>
    <xf numFmtId="0" fontId="85" fillId="0" borderId="46" xfId="1" applyNumberFormat="1" applyFont="1" applyFill="1" applyBorder="1" applyAlignment="1" applyProtection="1">
      <alignment horizontal="center" vertical="center" wrapText="1"/>
      <protection locked="0"/>
    </xf>
    <xf numFmtId="0" fontId="101" fillId="5" borderId="24" xfId="1" applyNumberFormat="1" applyFont="1" applyFill="1" applyBorder="1" applyAlignment="1" applyProtection="1">
      <alignment vertical="center" textRotation="255" wrapText="1"/>
    </xf>
    <xf numFmtId="0" fontId="72" fillId="5" borderId="13" xfId="1" applyNumberFormat="1" applyFont="1" applyFill="1" applyBorder="1" applyAlignment="1" applyProtection="1">
      <alignment horizontal="center" vertical="center"/>
    </xf>
    <xf numFmtId="0" fontId="72"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center" vertical="center" wrapText="1"/>
      <protection locked="0"/>
    </xf>
    <xf numFmtId="0" fontId="81" fillId="0" borderId="2" xfId="1" applyNumberFormat="1" applyFont="1" applyFill="1" applyBorder="1" applyAlignment="1" applyProtection="1">
      <alignment horizontal="left" vertical="center" wrapText="1"/>
      <protection locked="0"/>
    </xf>
    <xf numFmtId="0" fontId="81" fillId="0" borderId="12" xfId="1" applyNumberFormat="1" applyFont="1" applyFill="1" applyBorder="1" applyAlignment="1" applyProtection="1">
      <alignment horizontal="center" vertical="center" wrapText="1"/>
      <protection locked="0"/>
    </xf>
    <xf numFmtId="0" fontId="85" fillId="0" borderId="10" xfId="1" applyNumberFormat="1" applyFont="1" applyFill="1" applyBorder="1" applyAlignment="1" applyProtection="1">
      <alignment horizontal="center" vertical="center" wrapText="1"/>
      <protection locked="0"/>
    </xf>
    <xf numFmtId="0" fontId="85" fillId="0" borderId="25" xfId="1" applyNumberFormat="1" applyFont="1" applyFill="1" applyBorder="1" applyAlignment="1" applyProtection="1">
      <alignment horizontal="center" vertical="center" wrapText="1"/>
      <protection locked="0"/>
    </xf>
    <xf numFmtId="0" fontId="150" fillId="5" borderId="6" xfId="1" applyNumberFormat="1" applyFont="1" applyFill="1" applyBorder="1" applyAlignment="1" applyProtection="1">
      <alignment horizontal="center" vertical="center" wrapText="1"/>
    </xf>
    <xf numFmtId="0" fontId="150" fillId="5" borderId="6" xfId="1" applyNumberFormat="1" applyFont="1" applyFill="1" applyBorder="1" applyAlignment="1" applyProtection="1">
      <alignment horizontal="left" vertical="center" wrapText="1"/>
    </xf>
    <xf numFmtId="0" fontId="150" fillId="5" borderId="7" xfId="1" applyNumberFormat="1" applyFont="1" applyFill="1" applyBorder="1" applyAlignment="1" applyProtection="1">
      <alignment horizontal="center" vertical="center" wrapText="1"/>
    </xf>
    <xf numFmtId="0" fontId="150" fillId="0" borderId="2" xfId="1" applyNumberFormat="1" applyFont="1" applyFill="1" applyBorder="1" applyAlignment="1" applyProtection="1">
      <alignment horizontal="center" vertical="center" wrapText="1"/>
      <protection locked="0"/>
    </xf>
    <xf numFmtId="0" fontId="150" fillId="0" borderId="2" xfId="1" applyNumberFormat="1" applyFont="1" applyFill="1" applyBorder="1" applyAlignment="1" applyProtection="1">
      <alignment horizontal="left" vertical="center" wrapText="1"/>
      <protection locked="0"/>
    </xf>
    <xf numFmtId="0" fontId="150" fillId="0" borderId="12" xfId="1" applyNumberFormat="1" applyFont="1" applyFill="1" applyBorder="1" applyAlignment="1" applyProtection="1">
      <alignment horizontal="center" vertical="center" wrapText="1"/>
      <protection locked="0"/>
    </xf>
    <xf numFmtId="0" fontId="84" fillId="5" borderId="24" xfId="1" applyNumberFormat="1" applyFont="1" applyFill="1" applyBorder="1" applyAlignment="1" applyProtection="1">
      <alignment vertical="center" textRotation="255" wrapText="1"/>
    </xf>
    <xf numFmtId="0" fontId="145" fillId="0" borderId="74" xfId="1" applyNumberFormat="1" applyFont="1" applyFill="1" applyBorder="1" applyAlignment="1" applyProtection="1">
      <alignment horizontal="center" vertical="center" wrapText="1"/>
      <protection locked="0"/>
    </xf>
    <xf numFmtId="0" fontId="53" fillId="0" borderId="74" xfId="1" applyNumberFormat="1" applyFont="1" applyFill="1" applyBorder="1" applyAlignment="1" applyProtection="1">
      <alignment horizontal="center" vertical="center" wrapText="1"/>
      <protection locked="0"/>
    </xf>
    <xf numFmtId="0" fontId="81" fillId="5" borderId="55" xfId="1" applyNumberFormat="1" applyFont="1" applyFill="1" applyBorder="1" applyAlignment="1" applyProtection="1">
      <alignment horizontal="center" vertical="center" wrapText="1"/>
    </xf>
    <xf numFmtId="0" fontId="85" fillId="8" borderId="0" xfId="1" applyFont="1" applyFill="1" applyAlignment="1" applyProtection="1">
      <alignment horizontal="center" vertical="center"/>
      <protection locked="0"/>
    </xf>
    <xf numFmtId="187" fontId="85" fillId="8" borderId="0" xfId="1" applyNumberFormat="1" applyFont="1" applyFill="1" applyAlignment="1" applyProtection="1">
      <alignment horizontal="center" vertical="center"/>
      <protection locked="0"/>
    </xf>
    <xf numFmtId="181" fontId="85" fillId="8" borderId="0" xfId="1" applyNumberFormat="1" applyFont="1" applyFill="1" applyAlignment="1" applyProtection="1">
      <alignment horizontal="center" vertical="center"/>
      <protection locked="0"/>
    </xf>
    <xf numFmtId="0" fontId="85" fillId="8" borderId="0" xfId="1" applyFont="1" applyFill="1" applyAlignment="1" applyProtection="1">
      <alignment horizontal="center" vertical="center"/>
    </xf>
    <xf numFmtId="187" fontId="85" fillId="8" borderId="0" xfId="1" applyNumberFormat="1" applyFont="1" applyFill="1" applyAlignment="1" applyProtection="1">
      <alignment horizontal="center" vertical="center"/>
    </xf>
    <xf numFmtId="181" fontId="85" fillId="8" borderId="0" xfId="1" applyNumberFormat="1" applyFont="1" applyFill="1" applyAlignment="1" applyProtection="1">
      <alignment horizontal="center" vertical="center"/>
    </xf>
    <xf numFmtId="187" fontId="85" fillId="0" borderId="0" xfId="1" applyNumberFormat="1" applyFont="1" applyFill="1" applyAlignment="1" applyProtection="1">
      <alignment horizontal="center" vertical="center"/>
    </xf>
    <xf numFmtId="181" fontId="85" fillId="0" borderId="0" xfId="1" applyNumberFormat="1" applyFont="1" applyFill="1" applyAlignment="1" applyProtection="1">
      <alignment horizontal="center" vertical="center"/>
    </xf>
    <xf numFmtId="0" fontId="87" fillId="33" borderId="0" xfId="15" applyFill="1"/>
    <xf numFmtId="0" fontId="0" fillId="33" borderId="0" xfId="0" applyFill="1">
      <alignment vertical="center"/>
    </xf>
    <xf numFmtId="0" fontId="301" fillId="0" borderId="20" xfId="1"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2" fillId="2" borderId="59" xfId="1"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6" xfId="0" applyFont="1" applyBorder="1" applyAlignment="1">
      <alignment horizontal="left" vertical="center" wrapText="1"/>
    </xf>
    <xf numFmtId="0" fontId="146" fillId="0" borderId="1" xfId="0" applyFont="1" applyBorder="1" applyAlignment="1">
      <alignment horizontal="left" vertical="center"/>
    </xf>
    <xf numFmtId="0" fontId="146" fillId="0" borderId="11" xfId="0" applyFont="1" applyBorder="1" applyAlignment="1">
      <alignment horizontal="left" vertical="center"/>
    </xf>
    <xf numFmtId="0" fontId="146" fillId="0" borderId="43" xfId="0" applyFont="1" applyBorder="1" applyAlignment="1">
      <alignment horizontal="left" vertical="center"/>
    </xf>
    <xf numFmtId="0" fontId="146" fillId="0" borderId="11" xfId="0" applyFont="1" applyBorder="1" applyAlignment="1">
      <alignment horizontal="left" vertical="center" wrapText="1"/>
    </xf>
    <xf numFmtId="0" fontId="146" fillId="0" borderId="2" xfId="0" applyFont="1" applyBorder="1" applyAlignment="1">
      <alignment horizontal="left" vertical="center" wrapText="1"/>
    </xf>
    <xf numFmtId="0" fontId="146" fillId="0" borderId="43" xfId="0" applyFont="1" applyBorder="1" applyAlignment="1">
      <alignment horizontal="left" vertical="center" wrapText="1"/>
    </xf>
    <xf numFmtId="0" fontId="146" fillId="0" borderId="44" xfId="0" applyFont="1" applyBorder="1" applyAlignment="1">
      <alignment horizontal="left" vertical="center" wrapText="1"/>
    </xf>
    <xf numFmtId="0" fontId="59" fillId="0" borderId="5" xfId="16" applyFont="1" applyFill="1" applyBorder="1" applyAlignment="1">
      <alignment horizontal="center" vertical="center" wrapText="1"/>
    </xf>
    <xf numFmtId="0" fontId="59" fillId="0" borderId="8" xfId="16" applyFont="1" applyFill="1" applyBorder="1" applyAlignment="1">
      <alignment horizontal="center" vertical="center" wrapText="1"/>
    </xf>
    <xf numFmtId="0" fontId="59" fillId="0" borderId="9" xfId="16" applyFont="1" applyFill="1" applyBorder="1" applyAlignment="1">
      <alignment horizontal="center" vertical="center" wrapText="1"/>
    </xf>
    <xf numFmtId="0" fontId="59" fillId="19" borderId="2" xfId="16" applyFont="1" applyFill="1" applyBorder="1" applyAlignment="1" applyProtection="1">
      <alignment horizontal="center" vertical="center" wrapText="1"/>
      <protection locked="0"/>
    </xf>
    <xf numFmtId="0" fontId="59" fillId="19" borderId="10" xfId="16" applyFont="1" applyFill="1" applyBorder="1" applyAlignment="1" applyProtection="1">
      <alignment horizontal="center" vertical="center" wrapText="1"/>
      <protection locked="0"/>
    </xf>
    <xf numFmtId="0" fontId="59" fillId="21" borderId="10" xfId="16" applyFont="1" applyFill="1" applyBorder="1" applyAlignment="1" applyProtection="1">
      <alignment horizontal="center" vertical="center" wrapText="1"/>
      <protection locked="0"/>
    </xf>
    <xf numFmtId="0" fontId="59" fillId="21" borderId="3" xfId="16" applyFont="1" applyFill="1" applyBorder="1" applyAlignment="1" applyProtection="1">
      <alignment horizontal="center" vertical="center" wrapText="1"/>
      <protection locked="0"/>
    </xf>
    <xf numFmtId="0" fontId="59" fillId="22" borderId="5" xfId="16" applyFont="1" applyFill="1" applyBorder="1" applyAlignment="1" applyProtection="1">
      <alignment horizontal="center" vertical="center" wrapText="1"/>
      <protection locked="0"/>
    </xf>
    <xf numFmtId="0" fontId="59" fillId="22" borderId="8" xfId="16" applyFont="1" applyFill="1" applyBorder="1" applyAlignment="1" applyProtection="1">
      <alignment horizontal="center" vertical="center" wrapText="1"/>
      <protection locked="0"/>
    </xf>
    <xf numFmtId="0" fontId="59" fillId="22" borderId="9" xfId="16" applyFont="1" applyFill="1" applyBorder="1" applyAlignment="1" applyProtection="1">
      <alignment horizontal="center" vertical="center" wrapText="1"/>
      <protection locked="0"/>
    </xf>
    <xf numFmtId="0" fontId="59" fillId="19" borderId="21" xfId="16" applyFont="1" applyFill="1" applyBorder="1" applyAlignment="1" applyProtection="1">
      <alignment horizontal="center" vertical="center" wrapText="1"/>
      <protection locked="0"/>
    </xf>
    <xf numFmtId="0" fontId="59" fillId="19" borderId="3" xfId="16" applyFont="1" applyFill="1" applyBorder="1" applyAlignment="1" applyProtection="1">
      <alignment horizontal="center" vertical="center" wrapText="1"/>
      <protection locked="0"/>
    </xf>
    <xf numFmtId="0" fontId="59" fillId="19" borderId="5" xfId="16" applyFont="1" applyFill="1" applyBorder="1" applyAlignment="1" applyProtection="1">
      <alignment horizontal="center" vertical="center" wrapText="1"/>
      <protection locked="0"/>
    </xf>
    <xf numFmtId="0" fontId="59" fillId="19" borderId="9" xfId="16" applyFont="1" applyFill="1" applyBorder="1" applyAlignment="1" applyProtection="1">
      <alignment horizontal="center" vertical="center" wrapText="1"/>
      <protection locked="0"/>
    </xf>
    <xf numFmtId="0" fontId="59" fillId="20" borderId="10" xfId="16" applyFont="1" applyFill="1" applyBorder="1" applyAlignment="1" applyProtection="1">
      <alignment horizontal="center" vertical="center" wrapText="1"/>
      <protection locked="0"/>
    </xf>
    <xf numFmtId="0" fontId="59" fillId="20" borderId="3" xfId="16" applyFont="1" applyFill="1" applyBorder="1" applyAlignment="1" applyProtection="1">
      <alignment horizontal="center" vertical="center" wrapText="1"/>
      <protection locked="0"/>
    </xf>
    <xf numFmtId="0" fontId="283" fillId="0" borderId="5" xfId="4" applyFont="1" applyBorder="1" applyAlignment="1">
      <alignment vertical="center" wrapText="1"/>
    </xf>
    <xf numFmtId="0" fontId="283" fillId="0" borderId="8" xfId="4" applyFont="1" applyBorder="1" applyAlignment="1">
      <alignment vertical="center" wrapText="1"/>
    </xf>
    <xf numFmtId="0" fontId="283" fillId="0" borderId="9" xfId="4" applyFont="1" applyBorder="1" applyAlignment="1">
      <alignment vertical="center" wrapText="1"/>
    </xf>
    <xf numFmtId="0" fontId="283" fillId="0" borderId="5" xfId="4" applyFont="1" applyBorder="1" applyAlignment="1">
      <alignment vertical="center"/>
    </xf>
    <xf numFmtId="0" fontId="283" fillId="0" borderId="8" xfId="4" applyFont="1" applyBorder="1" applyAlignment="1">
      <alignment vertical="center"/>
    </xf>
    <xf numFmtId="0" fontId="283" fillId="0" borderId="9" xfId="4" applyFont="1" applyBorder="1" applyAlignment="1">
      <alignment vertical="center"/>
    </xf>
    <xf numFmtId="0" fontId="283" fillId="0" borderId="5" xfId="4" applyFont="1" applyFill="1" applyBorder="1" applyAlignment="1">
      <alignment horizontal="left" vertical="center"/>
    </xf>
    <xf numFmtId="0" fontId="283" fillId="0" borderId="8" xfId="4" applyFont="1" applyFill="1" applyBorder="1" applyAlignment="1">
      <alignment horizontal="left" vertical="center"/>
    </xf>
    <xf numFmtId="0" fontId="283" fillId="0" borderId="9" xfId="4" applyFont="1" applyFill="1" applyBorder="1" applyAlignment="1">
      <alignment horizontal="left" vertical="center"/>
    </xf>
    <xf numFmtId="0" fontId="283" fillId="0" borderId="5" xfId="4" applyFont="1" applyFill="1" applyBorder="1" applyAlignment="1">
      <alignment vertical="center"/>
    </xf>
    <xf numFmtId="0" fontId="283" fillId="0" borderId="8" xfId="4" applyFont="1" applyFill="1" applyBorder="1" applyAlignment="1">
      <alignment vertical="center"/>
    </xf>
    <xf numFmtId="0" fontId="283" fillId="0" borderId="9" xfId="4" applyFont="1" applyFill="1" applyBorder="1" applyAlignment="1">
      <alignment vertical="center"/>
    </xf>
    <xf numFmtId="0" fontId="283" fillId="0" borderId="10" xfId="4" applyFont="1" applyBorder="1" applyAlignment="1">
      <alignment horizontal="center" vertical="center"/>
    </xf>
    <xf numFmtId="0" fontId="283" fillId="0" borderId="3" xfId="4" applyFont="1" applyBorder="1" applyAlignment="1">
      <alignment horizontal="center" vertical="center"/>
    </xf>
    <xf numFmtId="0" fontId="283" fillId="0" borderId="21" xfId="4" applyFont="1" applyBorder="1" applyAlignment="1">
      <alignment horizontal="center" vertical="center"/>
    </xf>
    <xf numFmtId="0" fontId="283" fillId="0" borderId="5" xfId="4" applyFont="1" applyBorder="1" applyAlignment="1">
      <alignment horizontal="left" vertical="center"/>
    </xf>
    <xf numFmtId="0" fontId="283" fillId="0" borderId="8" xfId="4" applyFont="1" applyBorder="1" applyAlignment="1">
      <alignment horizontal="left" vertical="center"/>
    </xf>
    <xf numFmtId="0" fontId="283" fillId="0" borderId="9" xfId="4" applyFont="1" applyBorder="1" applyAlignment="1">
      <alignment horizontal="left" vertical="center"/>
    </xf>
    <xf numFmtId="194" fontId="283" fillId="0" borderId="5" xfId="4" applyNumberFormat="1" applyFont="1" applyBorder="1" applyAlignment="1">
      <alignment horizontal="right" vertical="center"/>
    </xf>
    <xf numFmtId="194" fontId="283" fillId="0" borderId="8" xfId="4" applyNumberFormat="1" applyFont="1" applyBorder="1" applyAlignment="1">
      <alignment horizontal="right" vertical="center"/>
    </xf>
    <xf numFmtId="194" fontId="283" fillId="0" borderId="9" xfId="4" applyNumberFormat="1" applyFont="1" applyBorder="1" applyAlignment="1">
      <alignment horizontal="right" vertical="center"/>
    </xf>
    <xf numFmtId="0" fontId="282" fillId="0" borderId="5" xfId="4" applyFont="1" applyBorder="1" applyAlignment="1">
      <alignment horizontal="center"/>
    </xf>
    <xf numFmtId="0" fontId="282" fillId="0" borderId="8" xfId="4" applyFont="1" applyBorder="1" applyAlignment="1">
      <alignment horizontal="center"/>
    </xf>
    <xf numFmtId="0" fontId="282" fillId="0" borderId="9" xfId="4" applyFont="1" applyBorder="1" applyAlignment="1">
      <alignment horizontal="center"/>
    </xf>
    <xf numFmtId="0" fontId="283" fillId="0" borderId="5" xfId="4" applyFont="1" applyBorder="1" applyAlignment="1">
      <alignment horizontal="center" vertical="center"/>
    </xf>
    <xf numFmtId="0" fontId="283" fillId="0" borderId="8" xfId="4" applyFont="1" applyBorder="1" applyAlignment="1">
      <alignment horizontal="center" vertical="center"/>
    </xf>
    <xf numFmtId="0" fontId="283" fillId="0" borderId="9" xfId="4" applyFont="1" applyBorder="1" applyAlignment="1">
      <alignment horizontal="center" vertical="center"/>
    </xf>
    <xf numFmtId="194" fontId="283" fillId="0" borderId="5" xfId="4" applyNumberFormat="1" applyFont="1" applyBorder="1" applyAlignment="1">
      <alignment vertical="center"/>
    </xf>
    <xf numFmtId="194" fontId="283" fillId="0" borderId="8" xfId="4" applyNumberFormat="1" applyFont="1" applyBorder="1" applyAlignment="1">
      <alignment vertical="center"/>
    </xf>
    <xf numFmtId="194" fontId="283" fillId="0" borderId="9" xfId="4" applyNumberFormat="1" applyFont="1" applyBorder="1" applyAlignment="1">
      <alignment vertical="center"/>
    </xf>
    <xf numFmtId="0" fontId="283" fillId="0" borderId="22" xfId="4" applyFont="1" applyBorder="1" applyAlignment="1">
      <alignment horizontal="center" vertical="center"/>
    </xf>
    <xf numFmtId="0" fontId="283" fillId="0" borderId="50" xfId="4" applyFont="1" applyBorder="1" applyAlignment="1">
      <alignment horizontal="center" vertical="center"/>
    </xf>
    <xf numFmtId="0" fontId="282" fillId="0" borderId="59" xfId="4" applyFont="1" applyBorder="1" applyAlignment="1">
      <alignment horizontal="center"/>
    </xf>
    <xf numFmtId="0" fontId="282" fillId="0" borderId="30" xfId="4" applyFont="1" applyBorder="1" applyAlignment="1">
      <alignment horizontal="center"/>
    </xf>
    <xf numFmtId="0" fontId="282" fillId="0" borderId="42" xfId="4" applyFont="1" applyBorder="1" applyAlignment="1">
      <alignment horizontal="center"/>
    </xf>
    <xf numFmtId="0" fontId="146" fillId="0" borderId="5" xfId="4" applyFont="1" applyBorder="1" applyAlignment="1">
      <alignment vertical="center"/>
    </xf>
    <xf numFmtId="0" fontId="146" fillId="0" borderId="8" xfId="4" applyFont="1" applyBorder="1" applyAlignment="1">
      <alignment vertical="center"/>
    </xf>
    <xf numFmtId="0" fontId="146" fillId="0" borderId="9" xfId="4" applyFont="1" applyBorder="1" applyAlignment="1">
      <alignment vertical="center"/>
    </xf>
    <xf numFmtId="0" fontId="283" fillId="0" borderId="10" xfId="4" applyFont="1" applyBorder="1" applyAlignment="1">
      <alignment vertical="center"/>
    </xf>
    <xf numFmtId="0" fontId="283" fillId="0" borderId="21" xfId="4" applyFont="1" applyBorder="1" applyAlignment="1">
      <alignment vertical="center"/>
    </xf>
    <xf numFmtId="0" fontId="283" fillId="0" borderId="24" xfId="4" applyFont="1" applyBorder="1" applyAlignment="1">
      <alignment horizontal="center" vertical="center"/>
    </xf>
    <xf numFmtId="0" fontId="283" fillId="0" borderId="22" xfId="4" applyFont="1" applyFill="1" applyBorder="1" applyAlignment="1">
      <alignment horizontal="center" vertical="center"/>
    </xf>
    <xf numFmtId="0" fontId="283" fillId="0" borderId="23" xfId="4" applyFont="1" applyFill="1" applyBorder="1" applyAlignment="1">
      <alignment horizontal="center" vertical="center"/>
    </xf>
    <xf numFmtId="0" fontId="283" fillId="32" borderId="5" xfId="4" applyFont="1" applyFill="1" applyBorder="1" applyAlignment="1">
      <alignment vertical="center"/>
    </xf>
    <xf numFmtId="0" fontId="283" fillId="32" borderId="8" xfId="4" applyFont="1" applyFill="1" applyBorder="1" applyAlignment="1">
      <alignment vertical="center"/>
    </xf>
    <xf numFmtId="0" fontId="283" fillId="32" borderId="9" xfId="4" applyFont="1" applyFill="1" applyBorder="1" applyAlignment="1">
      <alignment vertical="center"/>
    </xf>
    <xf numFmtId="0" fontId="283" fillId="0" borderId="45" xfId="4" applyFont="1" applyFill="1" applyBorder="1" applyAlignment="1">
      <alignment vertical="center"/>
    </xf>
    <xf numFmtId="0" fontId="283" fillId="0" borderId="56" xfId="4" applyFont="1" applyFill="1" applyBorder="1" applyAlignment="1">
      <alignment vertical="center"/>
    </xf>
    <xf numFmtId="0" fontId="283" fillId="0" borderId="47" xfId="4" applyFont="1" applyFill="1" applyBorder="1" applyAlignment="1">
      <alignment vertical="center"/>
    </xf>
    <xf numFmtId="195" fontId="283" fillId="0" borderId="5" xfId="4" applyNumberFormat="1" applyFont="1" applyFill="1" applyBorder="1" applyAlignment="1">
      <alignment vertical="center"/>
    </xf>
    <xf numFmtId="195" fontId="283" fillId="0" borderId="8" xfId="4" applyNumberFormat="1" applyFont="1" applyFill="1" applyBorder="1" applyAlignment="1">
      <alignment vertical="center"/>
    </xf>
    <xf numFmtId="195" fontId="283" fillId="0" borderId="9" xfId="4" applyNumberFormat="1" applyFont="1" applyFill="1" applyBorder="1" applyAlignment="1">
      <alignment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284" fillId="0" borderId="0" xfId="17" applyFont="1" applyFill="1" applyBorder="1" applyAlignment="1">
      <alignment horizontal="center" vertical="center"/>
    </xf>
    <xf numFmtId="0" fontId="285" fillId="0" borderId="0" xfId="17" applyFont="1" applyFill="1" applyBorder="1" applyAlignment="1">
      <alignment horizontal="center" vertical="center"/>
    </xf>
    <xf numFmtId="0" fontId="285" fillId="0" borderId="157" xfId="17" applyFont="1" applyFill="1" applyBorder="1" applyAlignment="1">
      <alignment horizontal="center" vertical="center"/>
    </xf>
    <xf numFmtId="176" fontId="227" fillId="0" borderId="0" xfId="18" applyNumberFormat="1" applyFont="1" applyFill="1" applyAlignment="1" applyProtection="1">
      <alignment horizontal="left" vertical="center"/>
    </xf>
    <xf numFmtId="176" fontId="227" fillId="0" borderId="157" xfId="18" applyNumberFormat="1" applyFont="1" applyFill="1" applyBorder="1" applyAlignment="1" applyProtection="1">
      <alignment horizontal="left"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1" applyFont="1" applyFill="1" applyBorder="1" applyAlignment="1" applyProtection="1">
      <alignment horizontal="center" vertical="center" wrapText="1"/>
    </xf>
    <xf numFmtId="0" fontId="145" fillId="5" borderId="6" xfId="1" applyFont="1" applyFill="1" applyBorder="1" applyAlignment="1" applyProtection="1">
      <alignment horizontal="center" vertical="center" wrapText="1"/>
    </xf>
    <xf numFmtId="0" fontId="145" fillId="5" borderId="11" xfId="1" applyFont="1" applyFill="1" applyBorder="1" applyAlignment="1" applyProtection="1">
      <alignment horizontal="center" vertical="center" wrapText="1"/>
    </xf>
    <xf numFmtId="0" fontId="145" fillId="5" borderId="2" xfId="1" applyFont="1" applyFill="1" applyBorder="1" applyAlignment="1" applyProtection="1">
      <alignment horizontal="center" vertical="center" wrapText="1"/>
    </xf>
    <xf numFmtId="0" fontId="202" fillId="5" borderId="11" xfId="1" applyFont="1" applyFill="1" applyBorder="1" applyAlignment="1" applyProtection="1">
      <alignment horizontal="center" vertical="center"/>
    </xf>
    <xf numFmtId="0" fontId="85" fillId="5" borderId="2" xfId="1" applyFont="1" applyFill="1" applyBorder="1" applyAlignment="1" applyProtection="1">
      <alignment horizontal="center" vertical="center" wrapText="1"/>
    </xf>
    <xf numFmtId="184" fontId="85" fillId="5" borderId="2" xfId="1" applyNumberFormat="1" applyFont="1" applyFill="1" applyBorder="1" applyAlignment="1" applyProtection="1">
      <alignment horizontal="center" vertical="center"/>
    </xf>
    <xf numFmtId="0" fontId="85" fillId="5" borderId="5" xfId="1" applyFont="1" applyFill="1" applyBorder="1" applyAlignment="1" applyProtection="1">
      <alignment horizontal="center" vertical="center" wrapText="1"/>
    </xf>
    <xf numFmtId="0" fontId="85" fillId="5" borderId="9"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5" fillId="5" borderId="10" xfId="1" applyFont="1" applyFill="1" applyBorder="1" applyAlignment="1" applyProtection="1">
      <alignment horizontal="center" vertical="center" textRotation="255" wrapText="1"/>
    </xf>
    <xf numFmtId="0" fontId="85" fillId="5" borderId="3" xfId="1" applyFont="1" applyFill="1" applyBorder="1" applyAlignment="1" applyProtection="1">
      <alignment horizontal="center" vertical="center" textRotation="255" wrapText="1"/>
    </xf>
    <xf numFmtId="0" fontId="85" fillId="5" borderId="2" xfId="1" applyFont="1" applyFill="1" applyBorder="1" applyAlignment="1" applyProtection="1">
      <alignment horizontal="center" vertical="center"/>
    </xf>
    <xf numFmtId="0" fontId="72" fillId="5" borderId="5" xfId="1" applyFont="1" applyFill="1" applyBorder="1" applyAlignment="1" applyProtection="1">
      <alignment horizontal="center" vertical="center"/>
    </xf>
    <xf numFmtId="0" fontId="72" fillId="5" borderId="9" xfId="1" applyFont="1" applyFill="1" applyBorder="1" applyAlignment="1" applyProtection="1">
      <alignment horizontal="center" vertical="center"/>
    </xf>
    <xf numFmtId="0" fontId="72" fillId="5" borderId="2" xfId="1" applyFont="1" applyFill="1" applyBorder="1" applyAlignment="1" applyProtection="1">
      <alignment horizontal="center" vertical="center" wrapText="1"/>
    </xf>
    <xf numFmtId="0" fontId="85" fillId="5" borderId="10" xfId="1" applyFont="1" applyFill="1" applyBorder="1" applyAlignment="1" applyProtection="1">
      <alignment horizontal="center" vertical="center" wrapText="1"/>
    </xf>
    <xf numFmtId="0" fontId="85" fillId="5" borderId="3" xfId="1" applyFont="1" applyFill="1" applyBorder="1" applyAlignment="1" applyProtection="1">
      <alignment horizontal="center" vertical="center" wrapText="1"/>
    </xf>
    <xf numFmtId="0" fontId="268" fillId="0" borderId="43" xfId="1" applyFont="1" applyFill="1" applyBorder="1" applyAlignment="1" applyProtection="1">
      <alignment horizontal="center" vertical="center" wrapText="1"/>
      <protection locked="0"/>
    </xf>
    <xf numFmtId="0" fontId="268" fillId="0" borderId="46" xfId="1" applyFont="1" applyFill="1" applyBorder="1" applyAlignment="1" applyProtection="1">
      <alignment horizontal="center" vertical="center" wrapText="1"/>
      <protection locked="0"/>
    </xf>
    <xf numFmtId="0" fontId="268" fillId="0" borderId="22" xfId="1" applyFont="1" applyFill="1" applyBorder="1" applyAlignment="1" applyProtection="1">
      <alignment horizontal="center" vertical="center" wrapText="1"/>
      <protection locked="0"/>
    </xf>
    <xf numFmtId="0" fontId="268" fillId="0" borderId="25" xfId="1" applyFont="1" applyFill="1" applyBorder="1" applyAlignment="1" applyProtection="1">
      <alignment horizontal="center" vertical="center" wrapText="1"/>
      <protection locked="0"/>
    </xf>
    <xf numFmtId="0" fontId="72" fillId="5" borderId="8" xfId="1" applyFont="1" applyFill="1" applyBorder="1" applyAlignment="1" applyProtection="1">
      <alignment horizontal="center" vertical="center"/>
    </xf>
    <xf numFmtId="0" fontId="85" fillId="5" borderId="4" xfId="1" applyFont="1" applyFill="1" applyBorder="1" applyAlignment="1" applyProtection="1">
      <alignment horizontal="center" vertical="center"/>
    </xf>
    <xf numFmtId="0" fontId="85" fillId="5" borderId="32" xfId="1" applyFont="1" applyFill="1" applyBorder="1" applyAlignment="1" applyProtection="1">
      <alignment horizontal="center" vertical="center"/>
    </xf>
    <xf numFmtId="0" fontId="85" fillId="5" borderId="13" xfId="1" applyFont="1" applyFill="1" applyBorder="1" applyAlignment="1" applyProtection="1">
      <alignment horizontal="center" vertical="center"/>
    </xf>
    <xf numFmtId="0" fontId="85" fillId="5" borderId="18" xfId="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85" fillId="5" borderId="20"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5" fillId="5" borderId="3" xfId="1" applyFont="1" applyFill="1" applyBorder="1" applyAlignment="1" applyProtection="1">
      <alignment horizontal="center" vertical="center"/>
    </xf>
    <xf numFmtId="0" fontId="85" fillId="5" borderId="21" xfId="1" applyFont="1" applyFill="1" applyBorder="1" applyAlignment="1" applyProtection="1">
      <alignment horizontal="center" vertical="center"/>
    </xf>
    <xf numFmtId="0" fontId="85" fillId="5" borderId="1" xfId="1" applyFont="1" applyFill="1" applyBorder="1" applyAlignment="1" applyProtection="1">
      <alignment horizontal="center" vertical="center" wrapText="1"/>
    </xf>
    <xf numFmtId="0" fontId="85" fillId="5" borderId="7" xfId="1" applyFont="1" applyFill="1" applyBorder="1" applyAlignment="1" applyProtection="1">
      <alignment horizontal="center" vertical="center" wrapText="1"/>
    </xf>
    <xf numFmtId="0" fontId="85" fillId="5" borderId="4" xfId="1" applyFont="1" applyFill="1" applyBorder="1" applyAlignment="1" applyProtection="1">
      <alignment horizontal="center" vertical="center" wrapText="1"/>
    </xf>
    <xf numFmtId="0" fontId="85" fillId="5" borderId="32" xfId="1" applyFont="1" applyFill="1" applyBorder="1" applyAlignment="1" applyProtection="1">
      <alignment horizontal="center" vertical="center" wrapText="1"/>
    </xf>
    <xf numFmtId="0" fontId="85" fillId="5" borderId="13" xfId="1" applyFont="1" applyFill="1" applyBorder="1" applyAlignment="1" applyProtection="1">
      <alignment horizontal="center" vertical="center" wrapText="1"/>
    </xf>
    <xf numFmtId="0" fontId="85" fillId="5" borderId="18" xfId="1" applyFont="1" applyFill="1" applyBorder="1" applyAlignment="1" applyProtection="1">
      <alignment horizontal="center" vertical="center" wrapText="1"/>
    </xf>
    <xf numFmtId="0" fontId="85" fillId="5" borderId="17" xfId="1" applyFont="1" applyFill="1" applyBorder="1" applyAlignment="1" applyProtection="1">
      <alignment horizontal="center" vertical="center" wrapText="1"/>
    </xf>
    <xf numFmtId="0" fontId="85" fillId="5" borderId="20" xfId="1" applyFont="1" applyFill="1" applyBorder="1" applyAlignment="1" applyProtection="1">
      <alignment horizontal="center" vertical="center" wrapText="1"/>
    </xf>
    <xf numFmtId="0" fontId="268" fillId="0" borderId="11" xfId="1" applyFont="1" applyFill="1" applyBorder="1" applyAlignment="1" applyProtection="1">
      <alignment horizontal="center" vertical="center" wrapText="1"/>
      <protection locked="0"/>
    </xf>
    <xf numFmtId="0" fontId="268" fillId="0" borderId="12" xfId="1"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278" fillId="0" borderId="0" xfId="0" applyFont="1" applyAlignment="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7"/>
    <cellStyle name="常规 16" xfId="1"/>
    <cellStyle name="常规 2" xfId="2"/>
    <cellStyle name="常规 2 2" xfId="3"/>
    <cellStyle name="常规 2 2 2 2 3" xfId="12"/>
    <cellStyle name="常规 2 3" xfId="20"/>
    <cellStyle name="常规 3" xfId="4"/>
    <cellStyle name="常规 3 2" xfId="5"/>
    <cellStyle name="常规 4" xfId="6"/>
    <cellStyle name="常规 4 2" xfId="18"/>
    <cellStyle name="常规 4 2 2" xfId="19"/>
    <cellStyle name="常规 5" xfId="7"/>
    <cellStyle name="常规 6" xfId="8"/>
    <cellStyle name="常规 6 2" xfId="10"/>
    <cellStyle name="常规 6 2 2" xfId="13"/>
    <cellStyle name="常规 7" xfId="9"/>
    <cellStyle name="常规 8" xfId="15"/>
    <cellStyle name="常规 9" xfId="14"/>
    <cellStyle name="常规_Sheet1" xfId="16"/>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19050</xdr:rowOff>
    </xdr:from>
    <xdr:to>
      <xdr:col>7</xdr:col>
      <xdr:colOff>209550</xdr:colOff>
      <xdr:row>48</xdr:row>
      <xdr:rowOff>38100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143250"/>
          <a:ext cx="6677025"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381000</xdr:colOff>
      <xdr:row>38</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53200" cy="6543675"/>
        </a:xfrm>
        <a:prstGeom prst="rect">
          <a:avLst/>
        </a:prstGeom>
      </xdr:spPr>
    </xdr:pic>
    <xdr:clientData/>
  </xdr:twoCellAnchor>
  <xdr:twoCellAnchor>
    <xdr:from>
      <xdr:col>3</xdr:col>
      <xdr:colOff>323850</xdr:colOff>
      <xdr:row>0</xdr:row>
      <xdr:rowOff>152400</xdr:rowOff>
    </xdr:from>
    <xdr:to>
      <xdr:col>4</xdr:col>
      <xdr:colOff>504824</xdr:colOff>
      <xdr:row>2</xdr:row>
      <xdr:rowOff>85725</xdr:rowOff>
    </xdr:to>
    <xdr:sp macro="" textlink="">
      <xdr:nvSpPr>
        <xdr:cNvPr id="3" name="矩形标注 2"/>
        <xdr:cNvSpPr/>
      </xdr:nvSpPr>
      <xdr:spPr>
        <a:xfrm>
          <a:off x="2381250" y="152400"/>
          <a:ext cx="866774" cy="276225"/>
        </a:xfrm>
        <a:prstGeom prst="wedgeRectCallout">
          <a:avLst>
            <a:gd name="adj1" fmla="val 131503"/>
            <a:gd name="adj2" fmla="val -2715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DJY2017-26</a:t>
          </a:r>
          <a:endParaRPr lang="zh-CN" altLang="en-US" sz="1100">
            <a:solidFill>
              <a:sysClr val="windowText" lastClr="000000"/>
            </a:solidFill>
          </a:endParaRPr>
        </a:p>
      </xdr:txBody>
    </xdr:sp>
    <xdr:clientData/>
  </xdr:twoCellAnchor>
  <xdr:twoCellAnchor>
    <xdr:from>
      <xdr:col>3</xdr:col>
      <xdr:colOff>314325</xdr:colOff>
      <xdr:row>3</xdr:row>
      <xdr:rowOff>0</xdr:rowOff>
    </xdr:from>
    <xdr:to>
      <xdr:col>4</xdr:col>
      <xdr:colOff>495299</xdr:colOff>
      <xdr:row>4</xdr:row>
      <xdr:rowOff>104775</xdr:rowOff>
    </xdr:to>
    <xdr:sp macro="" textlink="">
      <xdr:nvSpPr>
        <xdr:cNvPr id="4" name="矩形标注 3"/>
        <xdr:cNvSpPr/>
      </xdr:nvSpPr>
      <xdr:spPr>
        <a:xfrm>
          <a:off x="2371725" y="514350"/>
          <a:ext cx="866774" cy="276225"/>
        </a:xfrm>
        <a:prstGeom prst="wedgeRectCallout">
          <a:avLst>
            <a:gd name="adj1" fmla="val 139195"/>
            <a:gd name="adj2" fmla="val -13060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DJY2016-31</a:t>
          </a:r>
          <a:endParaRPr lang="zh-CN" altLang="en-US" sz="1100">
            <a:solidFill>
              <a:sysClr val="windowText" lastClr="000000"/>
            </a:solidFill>
          </a:endParaRPr>
        </a:p>
      </xdr:txBody>
    </xdr:sp>
    <xdr:clientData/>
  </xdr:twoCellAnchor>
  <xdr:twoCellAnchor>
    <xdr:from>
      <xdr:col>2</xdr:col>
      <xdr:colOff>523875</xdr:colOff>
      <xdr:row>5</xdr:row>
      <xdr:rowOff>114300</xdr:rowOff>
    </xdr:from>
    <xdr:to>
      <xdr:col>4</xdr:col>
      <xdr:colOff>19049</xdr:colOff>
      <xdr:row>7</xdr:row>
      <xdr:rowOff>47625</xdr:rowOff>
    </xdr:to>
    <xdr:sp macro="" textlink="">
      <xdr:nvSpPr>
        <xdr:cNvPr id="5" name="矩形标注 4"/>
        <xdr:cNvSpPr/>
      </xdr:nvSpPr>
      <xdr:spPr>
        <a:xfrm>
          <a:off x="1895475" y="971550"/>
          <a:ext cx="866774" cy="276225"/>
        </a:xfrm>
        <a:prstGeom prst="wedgeRectCallout">
          <a:avLst>
            <a:gd name="adj1" fmla="val 158975"/>
            <a:gd name="adj2" fmla="val -14094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solidFill>
                <a:sysClr val="windowText" lastClr="000000"/>
              </a:solidFill>
            </a:rPr>
            <a:t>DJY2017-02</a:t>
          </a:r>
          <a:endParaRPr lang="zh-CN"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1</xdr:rowOff>
    </xdr:from>
    <xdr:to>
      <xdr:col>9</xdr:col>
      <xdr:colOff>593801</xdr:colOff>
      <xdr:row>35</xdr:row>
      <xdr:rowOff>76201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09851"/>
          <a:ext cx="6766001" cy="3505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2303;&#22320;&#65288;&#37117;&#27743;&#22576;&#183;&#27604;&#36739;&#27861;&#25913;&#24605;&#36335;&#65289;%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117;&#27743;&#22576;/0530&#26790;&#20139;&#38738;&#22478;&#19968;&#26399;/20180530%20&#26790;&#20139;&#38738;&#22478;&#19968;&#26399;&#25253;&#35268;&#30005;&#23376;&#25991;&#20214;/04.&#32508;&#21512;&#32463;&#27982;&#25216;&#26415;&#25351;&#26631;&#34920;&#26679;&#34920;/&#24314;&#35774;&#24037;&#31243;&#35774;&#35745;&#26041;&#26696;&#23457;&#25209;&#34920;_052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08;&#26399;&#65288;&#26790;&#20139;&#38738;&#22478;&#65289;/20180530&#26790;&#20139;&#38738;&#22478;&#20108;&#26399;&#25253;&#35268;&#30005;&#23376;&#25991;&#20214;/04.&#32508;&#21512;&#32463;&#27982;&#25216;&#26415;&#25351;&#26631;&#34920;&#26679;&#34920;/&#20108;&#26399;&#25351;&#26631;&#34920;__0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文件"/>
      <sheetName val="6-分层分栋面积统计表（一期）"/>
      <sheetName val="8-综合经济技术指标表（一期）"/>
      <sheetName val="6-分层分栋面积统计表（二期）"/>
      <sheetName val="8-综合经济技术指标表（二期）"/>
      <sheetName val="用地规证及出让合同"/>
      <sheetName val="数据-汇总表"/>
      <sheetName val="数据-取费表"/>
      <sheetName val="总投测算"/>
      <sheetName val="估价对象房地状况"/>
      <sheetName val="系统读取表"/>
      <sheetName val="结果表"/>
      <sheetName val="比较法-住宅、综合（楼面价）"/>
      <sheetName val="住宅用地案例"/>
      <sheetName val="比较法-住宅、综合 (2)"/>
      <sheetName val="商业用地案例"/>
      <sheetName val="案例位置"/>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公寓）"/>
      <sheetName val="酒店收入计算"/>
      <sheetName val="成本逼近法"/>
      <sheetName val="不动产收益法（配套商业）"/>
      <sheetName val="不动产收益法（地下车位）"/>
      <sheetName val="不动产比较法-住宅（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联排)"/>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不动产收益法（公寓）</v>
          </cell>
        </row>
        <row r="22">
          <cell r="A22" t="str">
            <v>燃品库房</v>
          </cell>
          <cell r="B22" t="str">
            <v>不动产收益法（酒店）</v>
          </cell>
        </row>
        <row r="23">
          <cell r="A23" t="str">
            <v>非燃品库房</v>
          </cell>
          <cell r="B23" t="str">
            <v>不动产收益法（配套商业）</v>
          </cell>
        </row>
        <row r="24">
          <cell r="A24" t="str">
            <v>——</v>
          </cell>
          <cell r="B24" t="str">
            <v>不动产收益法（地下车位）</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D19">
            <v>63.79</v>
          </cell>
        </row>
        <row r="41">
          <cell r="F41" t="str">
            <v>四川省成都市都江堰市</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D3">
            <v>410194.62</v>
          </cell>
          <cell r="E3">
            <v>446955.26</v>
          </cell>
        </row>
        <row r="8">
          <cell r="E8">
            <v>335564.39</v>
          </cell>
        </row>
        <row r="9">
          <cell r="E9">
            <v>953</v>
          </cell>
        </row>
        <row r="11">
          <cell r="E11">
            <v>0</v>
          </cell>
        </row>
        <row r="12">
          <cell r="E12">
            <v>0</v>
          </cell>
        </row>
        <row r="13">
          <cell r="E13">
            <v>84751.42</v>
          </cell>
        </row>
        <row r="14">
          <cell r="E14">
            <v>0</v>
          </cell>
        </row>
        <row r="15">
          <cell r="E15">
            <v>0</v>
          </cell>
        </row>
        <row r="17">
          <cell r="C17" t="str">
            <v>项目类型</v>
          </cell>
        </row>
        <row r="19">
          <cell r="C19" t="str">
            <v>酒店</v>
          </cell>
        </row>
        <row r="20">
          <cell r="C20" t="str">
            <v>公寓</v>
          </cell>
        </row>
        <row r="21">
          <cell r="C21" t="str">
            <v>商业</v>
          </cell>
        </row>
        <row r="22">
          <cell r="C22" t="str">
            <v>住宅</v>
          </cell>
        </row>
        <row r="23">
          <cell r="C23" t="str">
            <v>地下车库</v>
          </cell>
        </row>
      </sheetData>
      <sheetData sheetId="19">
        <row r="2">
          <cell r="B2">
            <v>43251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refreshError="1"/>
      <sheetData sheetId="21">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22" refreshError="1"/>
      <sheetData sheetId="23" refreshError="1"/>
      <sheetData sheetId="24"/>
      <sheetData sheetId="25">
        <row r="6">
          <cell r="G6" t="str">
            <v>城镇住宅用地、商服用地</v>
          </cell>
        </row>
        <row r="12">
          <cell r="P12">
            <v>3581.25</v>
          </cell>
        </row>
        <row r="16">
          <cell r="P16">
            <v>3083.34</v>
          </cell>
        </row>
        <row r="18">
          <cell r="P18">
            <v>2718.75</v>
          </cell>
        </row>
      </sheetData>
      <sheetData sheetId="26" refreshError="1"/>
      <sheetData sheetId="27" refreshError="1"/>
      <sheetData sheetId="28" refreshError="1"/>
      <sheetData sheetId="29" refreshError="1"/>
      <sheetData sheetId="30" refreshError="1"/>
      <sheetData sheetId="31" refreshError="1"/>
      <sheetData sheetId="3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3">
        <row r="21">
          <cell r="N21" t="str">
            <v>商业</v>
          </cell>
          <cell r="P21">
            <v>1.5699999999999999E-2</v>
          </cell>
        </row>
        <row r="22">
          <cell r="N22" t="str">
            <v>办公</v>
          </cell>
          <cell r="P22">
            <v>1.5699999999999999E-2</v>
          </cell>
        </row>
        <row r="23">
          <cell r="N23" t="str">
            <v>住宅</v>
          </cell>
          <cell r="P23">
            <v>2.5000000000000001E-2</v>
          </cell>
        </row>
        <row r="24">
          <cell r="N24" t="str">
            <v>工业</v>
          </cell>
          <cell r="P24">
            <v>1.35E-2</v>
          </cell>
        </row>
        <row r="25">
          <cell r="N25" t="str">
            <v>综合</v>
          </cell>
          <cell r="P25">
            <v>2.2700000000000001E-2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简装</v>
          </cell>
          <cell r="E122" t="str">
            <v>毛坯</v>
          </cell>
        </row>
      </sheetData>
      <sheetData sheetId="4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6">
          <cell r="F6">
            <v>50.25</v>
          </cell>
          <cell r="L6">
            <v>5163.7800000000007</v>
          </cell>
        </row>
        <row r="11">
          <cell r="C11">
            <v>0</v>
          </cell>
          <cell r="D11">
            <v>0</v>
          </cell>
          <cell r="E11">
            <v>0</v>
          </cell>
          <cell r="F11">
            <v>31.72</v>
          </cell>
          <cell r="G11">
            <v>0</v>
          </cell>
          <cell r="I11">
            <v>0</v>
          </cell>
          <cell r="J11">
            <v>0</v>
          </cell>
          <cell r="K11">
            <v>2805.35</v>
          </cell>
          <cell r="L11">
            <v>0</v>
          </cell>
        </row>
        <row r="16">
          <cell r="C16">
            <v>0</v>
          </cell>
          <cell r="D16">
            <v>0</v>
          </cell>
          <cell r="E16">
            <v>0</v>
          </cell>
          <cell r="F16">
            <v>31.72</v>
          </cell>
          <cell r="G16">
            <v>0</v>
          </cell>
          <cell r="I16">
            <v>0</v>
          </cell>
          <cell r="J16">
            <v>0</v>
          </cell>
          <cell r="K16">
            <v>2805.35</v>
          </cell>
          <cell r="L16">
            <v>0</v>
          </cell>
        </row>
        <row r="21">
          <cell r="C21">
            <v>0</v>
          </cell>
          <cell r="D21">
            <v>0</v>
          </cell>
          <cell r="E21">
            <v>0</v>
          </cell>
          <cell r="F21">
            <v>27.08</v>
          </cell>
          <cell r="G21">
            <v>0</v>
          </cell>
          <cell r="I21">
            <v>0</v>
          </cell>
          <cell r="J21">
            <v>0</v>
          </cell>
          <cell r="K21">
            <v>2105.4299999999998</v>
          </cell>
          <cell r="L21">
            <v>0</v>
          </cell>
        </row>
        <row r="26">
          <cell r="C26">
            <v>0</v>
          </cell>
          <cell r="D26">
            <v>0</v>
          </cell>
          <cell r="E26">
            <v>0</v>
          </cell>
          <cell r="F26">
            <v>26.61</v>
          </cell>
          <cell r="G26">
            <v>0</v>
          </cell>
          <cell r="I26">
            <v>0</v>
          </cell>
          <cell r="J26">
            <v>0</v>
          </cell>
          <cell r="K26">
            <v>2093.13</v>
          </cell>
          <cell r="L26">
            <v>0</v>
          </cell>
        </row>
        <row r="32">
          <cell r="C32">
            <v>0</v>
          </cell>
          <cell r="D32">
            <v>0</v>
          </cell>
          <cell r="E32">
            <v>0</v>
          </cell>
          <cell r="F32">
            <v>57.83</v>
          </cell>
          <cell r="G32">
            <v>0</v>
          </cell>
          <cell r="I32">
            <v>0</v>
          </cell>
          <cell r="J32">
            <v>0</v>
          </cell>
          <cell r="K32">
            <v>14303.070000000002</v>
          </cell>
          <cell r="L32">
            <v>0</v>
          </cell>
        </row>
        <row r="35">
          <cell r="C35">
            <v>0</v>
          </cell>
          <cell r="D35">
            <v>0</v>
          </cell>
          <cell r="E35">
            <v>0</v>
          </cell>
          <cell r="F35">
            <v>9.15</v>
          </cell>
          <cell r="G35">
            <v>0</v>
          </cell>
          <cell r="I35">
            <v>0</v>
          </cell>
          <cell r="J35">
            <v>0</v>
          </cell>
          <cell r="K35">
            <v>1729.82</v>
          </cell>
          <cell r="L35">
            <v>0</v>
          </cell>
        </row>
        <row r="39">
          <cell r="C39">
            <v>0</v>
          </cell>
          <cell r="D39">
            <v>0</v>
          </cell>
          <cell r="E39">
            <v>0</v>
          </cell>
          <cell r="F39">
            <v>4.88</v>
          </cell>
          <cell r="G39">
            <v>0</v>
          </cell>
          <cell r="I39">
            <v>0</v>
          </cell>
          <cell r="J39">
            <v>0</v>
          </cell>
          <cell r="K39">
            <v>424.04</v>
          </cell>
          <cell r="L39">
            <v>0</v>
          </cell>
        </row>
        <row r="44">
          <cell r="C44">
            <v>0</v>
          </cell>
          <cell r="D44">
            <v>0</v>
          </cell>
          <cell r="E44">
            <v>0</v>
          </cell>
          <cell r="F44">
            <v>27.08</v>
          </cell>
          <cell r="G44">
            <v>0</v>
          </cell>
          <cell r="I44">
            <v>0</v>
          </cell>
          <cell r="J44">
            <v>0</v>
          </cell>
          <cell r="K44">
            <v>2105.4299999999998</v>
          </cell>
          <cell r="L44">
            <v>0</v>
          </cell>
        </row>
        <row r="48">
          <cell r="C48">
            <v>0</v>
          </cell>
          <cell r="D48">
            <v>0</v>
          </cell>
          <cell r="E48">
            <v>0</v>
          </cell>
          <cell r="F48">
            <v>4.88</v>
          </cell>
          <cell r="G48">
            <v>0</v>
          </cell>
          <cell r="I48">
            <v>0</v>
          </cell>
          <cell r="J48">
            <v>0</v>
          </cell>
          <cell r="K48">
            <v>424.04</v>
          </cell>
          <cell r="L48">
            <v>0</v>
          </cell>
        </row>
        <row r="53">
          <cell r="C53">
            <v>0</v>
          </cell>
          <cell r="D53">
            <v>0</v>
          </cell>
          <cell r="E53">
            <v>0</v>
          </cell>
          <cell r="F53">
            <v>26.61</v>
          </cell>
          <cell r="G53">
            <v>0</v>
          </cell>
          <cell r="I53">
            <v>0</v>
          </cell>
          <cell r="J53">
            <v>0</v>
          </cell>
          <cell r="K53">
            <v>2093.13</v>
          </cell>
          <cell r="L53">
            <v>0</v>
          </cell>
        </row>
        <row r="57">
          <cell r="C57">
            <v>0</v>
          </cell>
          <cell r="D57">
            <v>0</v>
          </cell>
          <cell r="E57">
            <v>0</v>
          </cell>
          <cell r="F57">
            <v>4.88</v>
          </cell>
          <cell r="G57">
            <v>0</v>
          </cell>
          <cell r="I57">
            <v>0</v>
          </cell>
          <cell r="J57">
            <v>0</v>
          </cell>
          <cell r="K57">
            <v>424.04</v>
          </cell>
          <cell r="L57">
            <v>0</v>
          </cell>
        </row>
        <row r="62">
          <cell r="C62">
            <v>167.27</v>
          </cell>
          <cell r="D62">
            <v>0</v>
          </cell>
          <cell r="E62">
            <v>0</v>
          </cell>
          <cell r="F62">
            <v>20.13</v>
          </cell>
          <cell r="G62">
            <v>0</v>
          </cell>
          <cell r="I62">
            <v>0</v>
          </cell>
          <cell r="J62">
            <v>0</v>
          </cell>
          <cell r="K62">
            <v>3001.84</v>
          </cell>
          <cell r="L62">
            <v>0</v>
          </cell>
        </row>
        <row r="67">
          <cell r="C67">
            <v>98.45</v>
          </cell>
          <cell r="D67">
            <v>0</v>
          </cell>
          <cell r="E67">
            <v>0</v>
          </cell>
          <cell r="F67">
            <v>16.97</v>
          </cell>
          <cell r="G67">
            <v>0</v>
          </cell>
          <cell r="I67">
            <v>0</v>
          </cell>
          <cell r="J67">
            <v>0</v>
          </cell>
          <cell r="K67">
            <v>2488</v>
          </cell>
          <cell r="L67">
            <v>0</v>
          </cell>
        </row>
        <row r="72">
          <cell r="C72">
            <v>0</v>
          </cell>
          <cell r="D72">
            <v>0</v>
          </cell>
          <cell r="E72">
            <v>0</v>
          </cell>
          <cell r="F72">
            <v>27.03</v>
          </cell>
          <cell r="G72">
            <v>0</v>
          </cell>
          <cell r="I72">
            <v>0</v>
          </cell>
          <cell r="J72">
            <v>0</v>
          </cell>
          <cell r="K72">
            <v>2102.59</v>
          </cell>
          <cell r="L72">
            <v>0</v>
          </cell>
        </row>
        <row r="77">
          <cell r="C77">
            <v>0</v>
          </cell>
          <cell r="D77">
            <v>0</v>
          </cell>
          <cell r="E77">
            <v>0</v>
          </cell>
          <cell r="F77">
            <v>31.72</v>
          </cell>
          <cell r="G77">
            <v>0</v>
          </cell>
          <cell r="I77">
            <v>0</v>
          </cell>
          <cell r="J77">
            <v>0</v>
          </cell>
          <cell r="K77">
            <v>2805.35</v>
          </cell>
          <cell r="L77">
            <v>0</v>
          </cell>
        </row>
        <row r="82">
          <cell r="C82">
            <v>0</v>
          </cell>
          <cell r="D82">
            <v>0</v>
          </cell>
          <cell r="E82">
            <v>0</v>
          </cell>
          <cell r="F82">
            <v>13.950000000000001</v>
          </cell>
          <cell r="G82">
            <v>0</v>
          </cell>
          <cell r="I82">
            <v>0</v>
          </cell>
          <cell r="J82">
            <v>0</v>
          </cell>
          <cell r="K82">
            <v>1924.02</v>
          </cell>
          <cell r="L82">
            <v>0</v>
          </cell>
        </row>
        <row r="87">
          <cell r="C87">
            <v>0</v>
          </cell>
          <cell r="D87">
            <v>0</v>
          </cell>
          <cell r="E87">
            <v>0</v>
          </cell>
          <cell r="F87">
            <v>16.32</v>
          </cell>
          <cell r="G87">
            <v>0</v>
          </cell>
          <cell r="I87">
            <v>0</v>
          </cell>
          <cell r="J87">
            <v>0</v>
          </cell>
          <cell r="K87">
            <v>2056.06</v>
          </cell>
          <cell r="L87">
            <v>0</v>
          </cell>
        </row>
        <row r="93">
          <cell r="C93">
            <v>119.03</v>
          </cell>
          <cell r="D93">
            <v>0</v>
          </cell>
          <cell r="E93">
            <v>0</v>
          </cell>
          <cell r="F93">
            <v>49.480000000000004</v>
          </cell>
          <cell r="G93">
            <v>0</v>
          </cell>
          <cell r="I93">
            <v>0</v>
          </cell>
          <cell r="J93">
            <v>1899.1000000000001</v>
          </cell>
          <cell r="L93">
            <v>582.27</v>
          </cell>
        </row>
        <row r="100">
          <cell r="C100">
            <v>111.59</v>
          </cell>
          <cell r="D100">
            <v>0</v>
          </cell>
          <cell r="E100">
            <v>0</v>
          </cell>
          <cell r="F100">
            <v>67.679999999999993</v>
          </cell>
          <cell r="G100">
            <v>235.54</v>
          </cell>
          <cell r="I100">
            <v>0</v>
          </cell>
          <cell r="J100">
            <v>2756.4700000000003</v>
          </cell>
          <cell r="L100">
            <v>394.52</v>
          </cell>
        </row>
        <row r="107">
          <cell r="C107">
            <v>152.86000000000001</v>
          </cell>
          <cell r="D107">
            <v>0</v>
          </cell>
          <cell r="E107">
            <v>0</v>
          </cell>
          <cell r="F107">
            <v>64.88000000000001</v>
          </cell>
          <cell r="G107">
            <v>0</v>
          </cell>
          <cell r="I107">
            <v>51.74</v>
          </cell>
          <cell r="J107">
            <v>2409.9300000000003</v>
          </cell>
          <cell r="L107">
            <v>370.89</v>
          </cell>
        </row>
        <row r="113">
          <cell r="C113">
            <v>119.03</v>
          </cell>
          <cell r="D113">
            <v>0</v>
          </cell>
          <cell r="E113">
            <v>0</v>
          </cell>
          <cell r="F113">
            <v>49.480000000000004</v>
          </cell>
          <cell r="H113">
            <v>17.34</v>
          </cell>
          <cell r="I113">
            <v>0</v>
          </cell>
          <cell r="J113">
            <v>1899.1000000000001</v>
          </cell>
          <cell r="L113">
            <v>564.92999999999995</v>
          </cell>
        </row>
        <row r="119">
          <cell r="C119">
            <v>212.17</v>
          </cell>
          <cell r="F119">
            <v>43.300000000000004</v>
          </cell>
          <cell r="H119">
            <v>31.37</v>
          </cell>
          <cell r="J119">
            <v>1913.36</v>
          </cell>
          <cell r="L119">
            <v>589.88</v>
          </cell>
        </row>
        <row r="126">
          <cell r="C126">
            <v>167.99</v>
          </cell>
          <cell r="F126">
            <v>48.69</v>
          </cell>
          <cell r="J126">
            <v>2129.02</v>
          </cell>
          <cell r="L126">
            <v>448.64</v>
          </cell>
        </row>
        <row r="133">
          <cell r="C133">
            <v>201.04</v>
          </cell>
          <cell r="F133">
            <v>48.45</v>
          </cell>
          <cell r="I133">
            <v>39.81</v>
          </cell>
          <cell r="J133">
            <v>2137.21</v>
          </cell>
          <cell r="L133">
            <v>382.91</v>
          </cell>
        </row>
        <row r="139">
          <cell r="C139">
            <v>212.09</v>
          </cell>
          <cell r="F139">
            <v>43.300000000000004</v>
          </cell>
          <cell r="J139">
            <v>1913.36</v>
          </cell>
          <cell r="L139">
            <v>621.36</v>
          </cell>
        </row>
        <row r="144">
          <cell r="C144">
            <v>103.97</v>
          </cell>
          <cell r="F144">
            <v>91.65</v>
          </cell>
          <cell r="J144">
            <v>6757.2899999999991</v>
          </cell>
        </row>
      </sheetData>
      <sheetData sheetId="7" refreshError="1"/>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设计方案技术审查标准"/>
      <sheetName val="2-界址点成果表"/>
      <sheetName val="3-计算表"/>
      <sheetName val="4-指标校核"/>
      <sheetName val="5-绿地面积统计表"/>
      <sheetName val="6-分层分栋面积统计表"/>
      <sheetName val="6-1分表"/>
      <sheetName val="7-设计单位表格参考"/>
      <sheetName val="8-综合经济技术指标表"/>
      <sheetName val="9-签字表"/>
    </sheetNames>
    <sheetDataSet>
      <sheetData sheetId="0" refreshError="1"/>
      <sheetData sheetId="1" refreshError="1"/>
      <sheetData sheetId="2" refreshError="1"/>
      <sheetData sheetId="3" refreshError="1"/>
      <sheetData sheetId="4" refreshError="1"/>
      <sheetData sheetId="5" refreshError="1"/>
      <sheetData sheetId="6">
        <row r="11">
          <cell r="F11">
            <v>44.46</v>
          </cell>
          <cell r="I11">
            <v>1951.53</v>
          </cell>
        </row>
        <row r="16">
          <cell r="F16">
            <v>30.58</v>
          </cell>
          <cell r="I16">
            <v>1302.78</v>
          </cell>
        </row>
        <row r="21">
          <cell r="F21">
            <v>30.58</v>
          </cell>
          <cell r="I21">
            <v>1302.78</v>
          </cell>
        </row>
        <row r="26">
          <cell r="F26">
            <v>30.58</v>
          </cell>
          <cell r="I26">
            <v>1302.78</v>
          </cell>
        </row>
        <row r="31">
          <cell r="F31">
            <v>9.6399999999999988</v>
          </cell>
          <cell r="I31">
            <v>329.53000000000003</v>
          </cell>
        </row>
        <row r="36">
          <cell r="F36">
            <v>35.409999999999997</v>
          </cell>
          <cell r="I36">
            <v>1467.6399999999999</v>
          </cell>
        </row>
        <row r="41">
          <cell r="F41">
            <v>38.86</v>
          </cell>
          <cell r="I41">
            <v>1629.9</v>
          </cell>
        </row>
        <row r="56">
          <cell r="F56">
            <v>30.58</v>
          </cell>
          <cell r="I56">
            <v>1302.78</v>
          </cell>
        </row>
        <row r="61">
          <cell r="F61">
            <v>30.58</v>
          </cell>
          <cell r="I61">
            <v>1302.78</v>
          </cell>
        </row>
        <row r="66">
          <cell r="F66">
            <v>30.58</v>
          </cell>
          <cell r="I66">
            <v>1302.78</v>
          </cell>
        </row>
        <row r="71">
          <cell r="F71">
            <v>44.46</v>
          </cell>
        </row>
        <row r="76">
          <cell r="I76">
            <v>1951.53</v>
          </cell>
        </row>
        <row r="81">
          <cell r="F81">
            <v>44.46</v>
          </cell>
          <cell r="I81">
            <v>1951.53</v>
          </cell>
        </row>
        <row r="91">
          <cell r="F91">
            <v>30.58</v>
          </cell>
          <cell r="I91">
            <v>1302.78</v>
          </cell>
        </row>
        <row r="96">
          <cell r="F96">
            <v>24.980000000000004</v>
          </cell>
          <cell r="I96">
            <v>981.20999999999992</v>
          </cell>
        </row>
        <row r="101">
          <cell r="F101">
            <v>18.07</v>
          </cell>
          <cell r="I101">
            <v>703.07</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5.bin"/><Relationship Id="rId1" Type="http://schemas.openxmlformats.org/officeDocument/2006/relationships/hyperlink" Target="javascript:top.main.DataEdit('51',20);" TargetMode="External"/><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82" sqref="C82"/>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四川省成都市都江堰市中兴镇新益村一、五、七、八组510181016002GB00012号一宗住宅、商业用地出让国有建设用地使用权抵押价格预评估</v>
      </c>
      <c r="AX2" s="2918"/>
      <c r="AZ2" s="2918"/>
      <c r="BA2" s="2919"/>
      <c r="BC2" s="2919"/>
    </row>
    <row r="3" spans="1:55" s="2920" customFormat="1">
      <c r="A3" s="2899" t="s">
        <v>2660</v>
      </c>
      <c r="B3" s="2902" t="str">
        <f>'预评函-封皮'!B40</f>
        <v>中信信托有限责任公司</v>
      </c>
    </row>
    <row r="4" spans="1:55" s="2901" customFormat="1">
      <c r="A4" s="2899" t="s">
        <v>2661</v>
      </c>
      <c r="B4" s="2900" t="str">
        <f>'预评函-封皮'!B46</f>
        <v>王鹏、郑燚</v>
      </c>
      <c r="N4" s="2901" t="str">
        <f>'预评函-1'!A28</f>
        <v/>
      </c>
    </row>
    <row r="5" spans="1:55" s="2914" customFormat="1" ht="15" thickBot="1">
      <c r="A5" s="2921" t="s">
        <v>2662</v>
      </c>
      <c r="B5" s="2922" t="str">
        <f>'预评函-封皮'!B49</f>
        <v>康正预评字号</v>
      </c>
    </row>
    <row r="6" spans="1:55" s="2923" customFormat="1" ht="15" thickTop="1">
      <c r="A6" s="2915" t="s">
        <v>2704</v>
      </c>
      <c r="B6" s="2916" t="str">
        <f>'预评函-1'!A4</f>
        <v>受贵公司委托，我公司对四川省成都市都江堰市中兴镇新益村一、五、七、八组510181016002GB00012号一宗住宅、商业用地出让国有建设用地使用权抵押价格进行了预评估。</v>
      </c>
      <c r="AM6" s="2924"/>
    </row>
    <row r="7" spans="1:55" s="2898" customFormat="1">
      <c r="A7" s="2899" t="s">
        <v>2656</v>
      </c>
      <c r="B7" s="2900" t="str">
        <f>'预评函-1'!A6</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2658</v>
      </c>
      <c r="B10" s="2900" t="str">
        <f>'预评函-1'!A11</f>
        <v>2018年5月31日（评估专业人员勘察现场之日）</v>
      </c>
    </row>
    <row r="11" spans="1:55" s="2898" customFormat="1">
      <c r="A11" s="2899" t="s">
        <v>2664</v>
      </c>
      <c r="B11" s="2900" t="str">
        <f>'预评函-1'!A14</f>
        <v>根据《国有土地使用证》[都国用（2016）第7356号]，本次评估估价对象证载（地类）用途为住宅、商业用地。</v>
      </c>
    </row>
    <row r="12" spans="1:55" s="2898" customFormat="1">
      <c r="A12" s="2899" t="s">
        <v>2665</v>
      </c>
      <c r="B12" s="2900" t="str">
        <f>'预评函-1'!A15</f>
        <v>本次评估设定用途即为证载用途住宅、商业用地。</v>
      </c>
    </row>
    <row r="13" spans="1:55" s="2898" customFormat="1">
      <c r="A13" s="2899" t="s">
        <v>2666</v>
      </c>
      <c r="B13" s="2900" t="str">
        <f>'预评函-1'!A17</f>
        <v>根据委托估价方介绍及评估专业人员现场勘查，本次评估估价对象实际土地开发程度为红线外市政基础设施达“六通”（即通路、通电、通讯、通上水、通下水、燃气）、宗地红线内场地平整。</v>
      </c>
    </row>
    <row r="14" spans="1:55" s="2898" customFormat="1">
      <c r="A14" s="2899" t="s">
        <v>2667</v>
      </c>
      <c r="B14" s="2900" t="str">
        <f>'预评函-1'!A18</f>
        <v>本次评估设定土地开发程度为红线外市政基础设施达“六通”、宗地红线内场地平整。</v>
      </c>
    </row>
    <row r="15" spans="1:55" s="2898" customFormat="1">
      <c r="A15" s="2899" t="s">
        <v>2663</v>
      </c>
      <c r="B15" s="2900" t="str">
        <f>'预评函-1'!A20</f>
        <v>根据《国有土地使用证》[都国用（2016）第7356号]，估价对象（分摊）出让国有建设用地使用权面积为410194.62平方米。根据《建设工程规划许可证》[]、《出让合同》[]，估价对象规划建筑面积为446955.26平方米。</v>
      </c>
    </row>
    <row r="16" spans="1:55" s="2898" customFormat="1">
      <c r="A16" s="2899" t="s">
        <v>2668</v>
      </c>
      <c r="B16" s="2900" t="str">
        <f>'预评函-1'!A22</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17" spans="1:48" s="2898" customFormat="1">
      <c r="A17" s="2899" t="s">
        <v>2669</v>
      </c>
      <c r="B17" s="2900" t="str">
        <f>'预评函-1'!A23</f>
        <v>本次评估设定估价对象剩余土地使用年限为。</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估价期日：2018年5月31日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住宅、商业用地</v>
      </c>
      <c r="AV32" s="2904"/>
    </row>
    <row r="33" spans="1:2">
      <c r="A33" s="2899" t="s">
        <v>2712</v>
      </c>
      <c r="B33" s="2900">
        <f>'预评函-2'!F5</f>
        <v>258</v>
      </c>
    </row>
    <row r="34" spans="1:2">
      <c r="A34" s="2899" t="s">
        <v>2713</v>
      </c>
      <c r="B34" s="2900" t="str">
        <f>'预评函-2'!G5</f>
        <v>住宅、商业用地</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红线外六通、宗地红线内场地平整</v>
      </c>
    </row>
    <row r="39" spans="1:2">
      <c r="A39" s="2899" t="s">
        <v>2718</v>
      </c>
      <c r="B39" s="2900" t="str">
        <f>'预评函-2'!L5</f>
        <v>红线外六通、宗地红线内场地平整</v>
      </c>
    </row>
    <row r="40" spans="1:2">
      <c r="A40" s="2899" t="s">
        <v>2737</v>
      </c>
      <c r="B40" s="2900" t="str">
        <f>'预评函-2'!M3</f>
        <v>（剩余）土地使用年限/年</v>
      </c>
    </row>
    <row r="41" spans="1:2">
      <c r="A41" s="2899" t="s">
        <v>2719</v>
      </c>
      <c r="B41" s="2900">
        <f>'预评函-2'!M5</f>
        <v>0</v>
      </c>
    </row>
    <row r="42" spans="1:2">
      <c r="A42" s="2899" t="s">
        <v>2738</v>
      </c>
      <c r="B42" s="2900" t="str">
        <f>'预评函-2'!N3</f>
        <v>（分摊）出让国有建设用地使用权面积/㎡</v>
      </c>
    </row>
    <row r="43" spans="1:2">
      <c r="A43" s="2899" t="s">
        <v>2720</v>
      </c>
      <c r="B43" s="2900">
        <f>'预评函-2'!N5</f>
        <v>410194.62</v>
      </c>
    </row>
    <row r="44" spans="1:2">
      <c r="A44" s="2899" t="s">
        <v>2739</v>
      </c>
      <c r="B44" s="2900" t="str">
        <f>'预评函-2'!O3</f>
        <v>规划建筑面积/㎡</v>
      </c>
    </row>
    <row r="45" spans="1:2">
      <c r="A45" s="2899" t="s">
        <v>2721</v>
      </c>
      <c r="B45" s="2900">
        <f>'预评函-2'!O5</f>
        <v>446955.26</v>
      </c>
    </row>
    <row r="46" spans="1:2">
      <c r="A46" s="2899" t="s">
        <v>2722</v>
      </c>
      <c r="B46" s="2900">
        <f ca="1">'预评函-2'!P5</f>
        <v>3664</v>
      </c>
    </row>
    <row r="47" spans="1:2">
      <c r="A47" s="2899" t="s">
        <v>2723</v>
      </c>
      <c r="B47" s="2900">
        <f ca="1">'预评函-2'!Q5</f>
        <v>3362</v>
      </c>
    </row>
    <row r="48" spans="1:2">
      <c r="A48" s="2899" t="s">
        <v>2724</v>
      </c>
      <c r="B48" s="2900">
        <f ca="1">'预评函-2'!R5</f>
        <v>150279</v>
      </c>
    </row>
    <row r="49" spans="1:2">
      <c r="A49" s="2899" t="s">
        <v>2740</v>
      </c>
      <c r="B49" s="2900" t="str">
        <f>'预评函-2'!A6</f>
        <v>抵押价格</v>
      </c>
    </row>
    <row r="50" spans="1:2">
      <c r="A50" s="2899" t="s">
        <v>2725</v>
      </c>
      <c r="B50" s="2900">
        <f ca="1">'预评函-2'!R6</f>
        <v>103279</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1.权利限制：根据估价对象、《国有土地使用权》原件，截至估价期日，估价对象已设定抵押。未设定租赁等其他他项权利。</v>
      </c>
    </row>
    <row r="56" spans="1:2">
      <c r="A56" s="2899" t="s">
        <v>2678</v>
      </c>
      <c r="B56" s="2900" t="str">
        <f>'预评函-3'!A3</f>
        <v>2.基础设施条件：估价对象实际开发程度为红线外六通、宗地红线内场地平整；本次评估设定开发程度为红线外六通、宗地红线内场地平整。</v>
      </c>
    </row>
    <row r="57" spans="1:2">
      <c r="A57" s="2899" t="s">
        <v>2679</v>
      </c>
      <c r="B57" s="2900" t="str">
        <f>'预评函-3'!A4</f>
        <v>3.估价规划限制条件：详见《建设工程规划许可证》[]、《出让合同》[]。</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国有土地使用权》原件，截至估价期日，估价对象已设定抵押。上述抵押权设定日期为2016年9月13日，权利人为华夏银行股份有限公司成都天府支行，权利范围为410194.62平方米，权利价值为47000万元。</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综上，本次评估估价师知悉的法定优先受偿款为人民币47000万元整。</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王鹏</v>
      </c>
    </row>
    <row r="70" spans="1:2">
      <c r="A70" s="2899" t="s">
        <v>2689</v>
      </c>
      <c r="B70" s="2906">
        <f ca="1">'预评函-3'!B20</f>
        <v>2002110030</v>
      </c>
    </row>
    <row r="71" spans="1:2">
      <c r="A71" s="2899" t="s">
        <v>2690</v>
      </c>
      <c r="B71" s="2900" t="str">
        <f>'预评函-3'!A21</f>
        <v>郑燚</v>
      </c>
    </row>
    <row r="72" spans="1:2" s="2914" customFormat="1" ht="15" thickBot="1">
      <c r="A72" s="2921" t="s">
        <v>2690</v>
      </c>
      <c r="B72" s="2927">
        <f>'预评函-3'!B21</f>
        <v>2014110011</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由于本次评估估价目的是评估储备国有建设用地使用权的“抵押价格”，因此本次评估设定土地开发程度为红线外市政基础设施达“六通”、宗地红线内场地平整。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5" type="noConversion"/>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4" sqref="B24:C26"/>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1939</v>
      </c>
      <c r="B1" s="3931" t="str">
        <f>IF(B10="北京市","北京市",C10)&amp;F10&amp;B16&amp;"国有建设用地使用权"&amp;B9&amp;"预评估"</f>
        <v>四川省成都市都江堰市中兴镇新益村一、五、七、八组510181016002GB00012号一宗住宅、商业用地出让国有建设用地使用权抵押价格预评估</v>
      </c>
      <c r="C1" s="3932"/>
      <c r="D1" s="3932"/>
      <c r="E1" s="3932"/>
      <c r="F1" s="3932"/>
      <c r="G1" s="3932"/>
      <c r="H1" s="3932"/>
      <c r="I1" s="3933"/>
      <c r="J1" s="1690"/>
      <c r="K1" s="2476" t="str">
        <f>IF(B10="北京市","北京市",C10)&amp;F10&amp;B16&amp;"国有建设用地使用权"&amp;B9</f>
        <v>四川省成都市都江堰市中兴镇新益村一、五、七、八组510181016002GB00012号一宗住宅、商业用地出让国有建设用地使用权抵押价格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76" t="str">
        <f>IF(B10="北京市","北京市",C10)&amp;F10&amp;B16&amp;"国有建设用地使用权"</f>
        <v>四川省成都市都江堰市中兴镇新益村一、五、七、八组510181016002GB00012号一宗住宅、商业用地出让国有建设用地使用权</v>
      </c>
      <c r="L2" s="1719"/>
      <c r="M2" s="1719"/>
      <c r="N2" s="1690"/>
      <c r="O2" s="1691"/>
      <c r="P2" s="1690"/>
      <c r="Q2" s="1690"/>
      <c r="R2" s="1690"/>
      <c r="S2" s="1690"/>
      <c r="T2" s="1690"/>
      <c r="U2" s="1690"/>
    </row>
    <row r="3" spans="1:21">
      <c r="A3" s="1657" t="s">
        <v>1941</v>
      </c>
      <c r="B3" s="1658">
        <v>43251</v>
      </c>
      <c r="C3" s="1659" t="s">
        <v>1997</v>
      </c>
      <c r="D3" s="1658">
        <f>B3</f>
        <v>43251</v>
      </c>
      <c r="E3" s="1690"/>
      <c r="F3" s="1690"/>
      <c r="G3" s="1690"/>
      <c r="H3" s="1656"/>
      <c r="I3" s="1691"/>
      <c r="J3" s="1690"/>
      <c r="K3" s="1770"/>
      <c r="L3" s="1719"/>
      <c r="M3" s="1719"/>
      <c r="N3" s="1690"/>
      <c r="O3" s="1691"/>
      <c r="P3" s="1690"/>
      <c r="Q3" s="1690"/>
      <c r="R3" s="1690"/>
      <c r="S3" s="1690"/>
      <c r="T3" s="1690"/>
      <c r="U3" s="1690"/>
    </row>
    <row r="4" spans="1:21" ht="15" thickBot="1">
      <c r="A4" s="1660" t="s">
        <v>1942</v>
      </c>
      <c r="B4" s="1839" t="s">
        <v>2981</v>
      </c>
      <c r="C4" s="1842">
        <f ca="1">SUMIF(土地估价师,B4,估价师及机构信息!E3:E24)</f>
        <v>2002110030</v>
      </c>
      <c r="D4" s="1839" t="s">
        <v>2982</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1" t="s">
        <v>1943</v>
      </c>
      <c r="B5" s="1785" t="str">
        <f>B6</f>
        <v>中信信托有限责任公司</v>
      </c>
      <c r="C5" s="1662"/>
      <c r="D5" s="1663"/>
      <c r="E5" s="1690"/>
      <c r="F5" s="1690"/>
      <c r="G5" s="1690"/>
      <c r="H5" s="1656"/>
      <c r="I5" s="1691"/>
      <c r="J5" s="1690"/>
      <c r="K5" s="1770"/>
      <c r="L5" s="1719"/>
      <c r="M5" s="1719"/>
      <c r="N5" s="1690"/>
      <c r="O5" s="1691"/>
      <c r="P5" s="1690"/>
      <c r="Q5" s="1690"/>
      <c r="R5" s="1690"/>
      <c r="S5" s="1690"/>
      <c r="T5" s="1690"/>
      <c r="U5" s="1690"/>
    </row>
    <row r="6" spans="1:21" ht="26.25">
      <c r="A6" s="1659" t="s">
        <v>2705</v>
      </c>
      <c r="B6" s="1785" t="s">
        <v>2983</v>
      </c>
      <c r="C6" s="1757"/>
      <c r="D6" s="1664"/>
      <c r="E6" s="1690"/>
      <c r="F6" s="1690"/>
      <c r="G6" s="1690"/>
      <c r="H6" s="1656"/>
      <c r="I6" s="1691"/>
      <c r="J6" s="1690"/>
      <c r="K6" s="3075" t="str">
        <f>IF(COUNTIF(B6,"*上海银行*"),"上海银行","")</f>
        <v/>
      </c>
      <c r="L6" s="1719"/>
      <c r="M6" s="1719"/>
      <c r="N6" s="1690"/>
      <c r="O6" s="1691"/>
      <c r="P6" s="1690"/>
      <c r="Q6" s="1690"/>
      <c r="R6" s="1690"/>
      <c r="S6" s="1690"/>
      <c r="T6" s="1690"/>
      <c r="U6" s="1690"/>
    </row>
    <row r="7" spans="1:21">
      <c r="A7" s="1665" t="s">
        <v>2706</v>
      </c>
      <c r="B7" s="1785" t="str">
        <f>C11</f>
        <v>成都民生喜神投资有限公司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2984</v>
      </c>
      <c r="C8" s="1667"/>
      <c r="D8" s="3937" t="s">
        <v>1946</v>
      </c>
      <c r="E8" s="1840" t="s">
        <v>2985</v>
      </c>
      <c r="F8" s="1668"/>
      <c r="G8" s="1656"/>
      <c r="H8" s="1656"/>
      <c r="I8" s="1703"/>
      <c r="J8" s="1690"/>
      <c r="K8" s="1770"/>
      <c r="L8" s="1719"/>
      <c r="M8" s="1719"/>
      <c r="N8" s="1690"/>
      <c r="O8" s="1691"/>
      <c r="P8" s="1690"/>
      <c r="Q8" s="1690"/>
      <c r="R8" s="1690"/>
      <c r="S8" s="1690"/>
      <c r="T8" s="1690"/>
      <c r="U8" s="1690"/>
    </row>
    <row r="9" spans="1:21" ht="15" thickBot="1">
      <c r="A9" s="1669" t="s">
        <v>1945</v>
      </c>
      <c r="B9" s="1670" t="s">
        <v>2985</v>
      </c>
      <c r="C9" s="1671"/>
      <c r="D9" s="3938"/>
      <c r="E9" s="1670" t="s">
        <v>951</v>
      </c>
      <c r="F9" s="1743"/>
      <c r="G9" s="1738"/>
      <c r="H9" s="1738"/>
      <c r="I9" s="1739"/>
      <c r="J9" s="1690"/>
      <c r="K9" s="1770"/>
      <c r="L9" s="1719"/>
      <c r="M9" s="1719"/>
      <c r="N9" s="1690"/>
      <c r="O9" s="1691"/>
      <c r="P9" s="1690"/>
      <c r="Q9" s="1690"/>
      <c r="R9" s="1690"/>
      <c r="S9" s="1690"/>
      <c r="T9" s="1690"/>
      <c r="U9" s="1690"/>
    </row>
    <row r="10" spans="1:21" ht="29.25" thickTop="1">
      <c r="A10" s="1740" t="s">
        <v>2001</v>
      </c>
      <c r="B10" s="1715" t="s">
        <v>2986</v>
      </c>
      <c r="C10" s="1672" t="s">
        <v>3487</v>
      </c>
      <c r="D10" s="1663"/>
      <c r="E10" s="1673" t="s">
        <v>1948</v>
      </c>
      <c r="F10" s="1674" t="s">
        <v>4555</v>
      </c>
      <c r="G10" s="1741"/>
      <c r="H10" s="1742"/>
      <c r="I10" s="1663"/>
      <c r="J10" s="1690"/>
      <c r="K10" s="1770"/>
      <c r="L10" s="1719"/>
      <c r="M10" s="1719"/>
      <c r="N10" s="1690"/>
      <c r="O10" s="1691"/>
      <c r="P10" s="1690"/>
      <c r="Q10" s="1690"/>
      <c r="R10" s="1690"/>
      <c r="S10" s="1690"/>
      <c r="T10" s="1690"/>
      <c r="U10" s="1690"/>
    </row>
    <row r="11" spans="1:21" ht="28.5">
      <c r="A11" s="1693" t="s">
        <v>2002</v>
      </c>
      <c r="B11" s="1694" t="s">
        <v>2987</v>
      </c>
      <c r="C11" s="1675" t="s">
        <v>2989</v>
      </c>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934" t="s">
        <v>2990</v>
      </c>
      <c r="C12" s="3935"/>
      <c r="D12" s="3936"/>
      <c r="E12" s="1695" t="s">
        <v>2063</v>
      </c>
      <c r="F12" s="3952" t="s">
        <v>2992</v>
      </c>
      <c r="G12" s="3953"/>
      <c r="H12" s="3953"/>
      <c r="I12" s="3954"/>
      <c r="J12" s="1690"/>
      <c r="K12" s="1770"/>
      <c r="L12" s="1719"/>
      <c r="M12" s="1719"/>
      <c r="N12" s="1690"/>
      <c r="O12" s="1691"/>
      <c r="P12" s="1690"/>
      <c r="Q12" s="1690"/>
      <c r="R12" s="1690"/>
      <c r="S12" s="1690"/>
      <c r="T12" s="1690"/>
      <c r="U12" s="1690"/>
    </row>
    <row r="13" spans="1:21">
      <c r="A13" s="1683" t="s">
        <v>2061</v>
      </c>
      <c r="B13" s="3934" t="s">
        <v>2991</v>
      </c>
      <c r="C13" s="3935"/>
      <c r="D13" s="3936"/>
      <c r="E13" s="1695" t="s">
        <v>2063</v>
      </c>
      <c r="F13" s="3952" t="s">
        <v>4556</v>
      </c>
      <c r="G13" s="3953"/>
      <c r="H13" s="3953"/>
      <c r="I13" s="3954"/>
      <c r="J13" s="1690"/>
      <c r="K13" s="1770"/>
      <c r="L13" s="1719"/>
      <c r="M13" s="1719"/>
      <c r="N13" s="1690"/>
      <c r="O13" s="1691"/>
      <c r="P13" s="1690"/>
      <c r="Q13" s="1690"/>
      <c r="R13" s="1690"/>
      <c r="S13" s="1690"/>
      <c r="T13" s="1690"/>
      <c r="U13" s="1690"/>
    </row>
    <row r="14" spans="1:21">
      <c r="A14" s="1657" t="s">
        <v>2064</v>
      </c>
      <c r="B14" s="1695"/>
      <c r="C14" s="1841" t="s">
        <v>2994</v>
      </c>
      <c r="D14" s="1729" t="str">
        <f>IF(C14="不一致","是否符合证载地类范围","")</f>
        <v/>
      </c>
      <c r="E14" s="1695"/>
      <c r="F14" s="1786" t="s">
        <v>2993</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28.5">
      <c r="A16" s="1676" t="s">
        <v>1949</v>
      </c>
      <c r="B16" s="1677" t="s">
        <v>2995</v>
      </c>
      <c r="C16" s="1695" t="s">
        <v>1950</v>
      </c>
      <c r="D16" s="2667" t="s">
        <v>1951</v>
      </c>
      <c r="E16" s="1718" t="s">
        <v>2976</v>
      </c>
      <c r="F16" s="1718"/>
      <c r="G16" s="1718" t="s">
        <v>2996</v>
      </c>
      <c r="H16" s="1718"/>
      <c r="I16" s="1682" t="s">
        <v>1956</v>
      </c>
      <c r="J16" s="1690"/>
      <c r="K16" s="2477" t="str">
        <f>IF(D17="","",D16&amp;TEXT(D17,"yyyy年m月d日;;"))</f>
        <v>住宅2082年3月2日</v>
      </c>
      <c r="L16" s="1695" t="str">
        <f>IF(OR(K16="",M16=""),"","、")</f>
        <v>、</v>
      </c>
      <c r="M16" s="2477" t="str">
        <f>IF(E17="","",E16&amp;TEXT(E17,"yyyy年m月d日;;"))</f>
        <v>商业2052年3月2日</v>
      </c>
      <c r="N16" s="1695" t="str">
        <f>IF(OR(M16="",O16=""),"","、")</f>
        <v/>
      </c>
      <c r="O16" s="2477" t="str">
        <f>IF(F17="","",F16&amp;TEXT(F17,"yyyy年m月d日;;"))</f>
        <v/>
      </c>
      <c r="P16" s="1695" t="str">
        <f>IF(OR(O16="",Q16=""),"","、")</f>
        <v/>
      </c>
      <c r="Q16" s="2477" t="str">
        <f>IF(G17="","",G16&amp;TEXT(G17,"yyyy年m月d日;;"))</f>
        <v>车库2062年3月2日</v>
      </c>
      <c r="R16" s="1695" t="str">
        <f>IF(OR(Q16="",S16=""),"","、")</f>
        <v/>
      </c>
      <c r="S16" s="2477" t="str">
        <f>IF(H17="","",H16&amp;TEXT(H17,"yyyy年m月d日;;"))</f>
        <v/>
      </c>
      <c r="T16" s="1695" t="str">
        <f>IF(OR(S16="",U16=""),"","、")</f>
        <v/>
      </c>
      <c r="U16" s="2477" t="str">
        <f>IF(I17="","",I16&amp;TEXT(I17,"yyyy年m月d日;;"))</f>
        <v/>
      </c>
    </row>
    <row r="17" spans="1:21">
      <c r="A17" s="1759"/>
      <c r="B17" s="1678"/>
      <c r="C17" s="1679" t="s">
        <v>1957</v>
      </c>
      <c r="D17" s="1696">
        <v>66537</v>
      </c>
      <c r="E17" s="1696">
        <v>55580</v>
      </c>
      <c r="F17" s="1696"/>
      <c r="G17" s="1696">
        <v>59232</v>
      </c>
      <c r="H17" s="1696"/>
      <c r="I17" s="1696"/>
      <c r="J17" s="1690"/>
      <c r="K17" s="2476" t="str">
        <f>CONCATENATE(K16,L16,M16,N16,O16,P16,Q16,R16,S16,T16,,U16)</f>
        <v>住宅2082年3月2日、商业2052年3月2日车库2062年3月2日</v>
      </c>
      <c r="L17" s="1719"/>
      <c r="M17" s="1719"/>
      <c r="N17" s="1690"/>
      <c r="O17" s="1691"/>
      <c r="P17" s="1690"/>
      <c r="Q17" s="1690"/>
      <c r="R17" s="1690"/>
      <c r="S17" s="1690"/>
      <c r="T17" s="1690"/>
      <c r="U17" s="1690"/>
    </row>
    <row r="18" spans="1:21">
      <c r="A18" s="1759"/>
      <c r="B18" s="1678"/>
      <c r="C18" s="1679" t="s">
        <v>1958</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1959</v>
      </c>
      <c r="D19" s="1754">
        <f>IF(B16="出让",IF(D17="","",ROUNDDOWN(MIN((D17-$D$3)/365,D18),2)),D18)</f>
        <v>63.79</v>
      </c>
      <c r="E19" s="1681">
        <f>IF(B16="出让",IF(E17="","",ROUNDDOWN(MIN((E17-$D$3)/365,E18),2)),E18)</f>
        <v>33.770000000000003</v>
      </c>
      <c r="F19" s="1681" t="str">
        <f>IF(B16="出让",IF(F17="","",ROUNDDOWN(MIN((F17-$D$3)/365,F18),2)),F18)</f>
        <v/>
      </c>
      <c r="G19" s="1681">
        <f>IF(B16="出让",IF(G17="","",ROUNDDOWN(MIN((G17-$D$3)/365,G18),2)),G18)</f>
        <v>43.78</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949"/>
      <c r="E20" s="3950"/>
      <c r="F20" s="3950"/>
      <c r="G20" s="3950"/>
      <c r="H20" s="3950"/>
      <c r="I20" s="3951"/>
      <c r="J20" s="1690"/>
      <c r="K20" s="1770"/>
      <c r="L20" s="1719"/>
      <c r="M20" s="1719"/>
      <c r="N20" s="1690"/>
      <c r="O20" s="1691"/>
      <c r="P20" s="1690"/>
      <c r="Q20" s="1690"/>
      <c r="R20" s="1690"/>
      <c r="S20" s="1690"/>
      <c r="T20" s="1690"/>
      <c r="U20" s="1690"/>
    </row>
    <row r="21" spans="1:21">
      <c r="A21" s="1759" t="s">
        <v>1960</v>
      </c>
      <c r="B21" s="1760" t="s">
        <v>1961</v>
      </c>
      <c r="C21" s="1755">
        <f>'数据-汇总表'!E3</f>
        <v>446955.26</v>
      </c>
      <c r="D21" s="1756" t="s">
        <v>1962</v>
      </c>
      <c r="E21" s="3939" t="s">
        <v>2000</v>
      </c>
      <c r="F21" s="3940"/>
      <c r="G21" s="3940"/>
      <c r="H21" s="3940"/>
      <c r="I21" s="3941"/>
      <c r="J21" s="1690"/>
      <c r="K21" s="1770"/>
      <c r="L21" s="1719"/>
      <c r="M21" s="1719"/>
      <c r="N21" s="1690"/>
      <c r="O21" s="1691"/>
      <c r="P21" s="1690"/>
      <c r="Q21" s="1690"/>
      <c r="R21" s="1690"/>
      <c r="S21" s="1690"/>
      <c r="T21" s="1690"/>
      <c r="U21" s="1690"/>
    </row>
    <row r="22" spans="1:21">
      <c r="A22" s="3173" t="s">
        <v>951</v>
      </c>
      <c r="B22" s="1657" t="s">
        <v>1963</v>
      </c>
      <c r="C22" s="1682">
        <f>'数据-汇总表'!D3</f>
        <v>410194.62</v>
      </c>
      <c r="D22" s="1683" t="s">
        <v>1962</v>
      </c>
      <c r="E22" s="3939" t="str">
        <f>F12</f>
        <v>《国有土地使用证》[都国用（2016）第7356号]</v>
      </c>
      <c r="F22" s="3940"/>
      <c r="G22" s="3940"/>
      <c r="H22" s="3940"/>
      <c r="I22" s="3941"/>
      <c r="J22" s="1690"/>
      <c r="K22" s="1770"/>
      <c r="L22" s="1719"/>
      <c r="M22" s="1719"/>
      <c r="N22" s="1690"/>
      <c r="O22" s="1691"/>
      <c r="P22" s="1690"/>
      <c r="Q22" s="1690"/>
      <c r="R22" s="1690"/>
      <c r="S22" s="1690"/>
      <c r="T22" s="1690"/>
      <c r="U22" s="1690"/>
    </row>
    <row r="23" spans="1:21" ht="43.5" thickBot="1">
      <c r="A23" s="1761" t="s">
        <v>1964</v>
      </c>
      <c r="B23" s="1697" t="s">
        <v>1965</v>
      </c>
      <c r="C23" s="1698" t="s">
        <v>1678</v>
      </c>
      <c r="D23" s="1699" t="s">
        <v>1966</v>
      </c>
      <c r="E23" s="1700" t="s">
        <v>1678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942" t="s">
        <v>1968</v>
      </c>
      <c r="C24" s="3943"/>
      <c r="D24" s="3944" t="s">
        <v>1969</v>
      </c>
      <c r="E24" s="3945"/>
      <c r="F24" s="1704" t="s">
        <v>1970</v>
      </c>
      <c r="G24" s="1690"/>
      <c r="H24" s="1690"/>
      <c r="I24" s="1703"/>
      <c r="J24" s="1690"/>
      <c r="K24" s="3930" t="s">
        <v>1971</v>
      </c>
      <c r="L24" s="2478"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951</v>
      </c>
      <c r="F25" s="1708"/>
      <c r="G25" s="1690"/>
      <c r="H25" s="1690"/>
      <c r="I25" s="1703"/>
      <c r="J25" s="1690"/>
      <c r="K25" s="3930"/>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上述抵押权设定日期为2016年9月13日，权利人为华夏银行股份有限公司成都天府支行，权利范围为410194.62平方米，权利价值为47000万元。</v>
      </c>
      <c r="M25" s="1719"/>
      <c r="N25" s="1690"/>
      <c r="O25" s="1691"/>
      <c r="P25" s="1690"/>
      <c r="Q25" s="1690"/>
      <c r="R25" s="1690"/>
      <c r="S25" s="1690"/>
      <c r="T25" s="1690"/>
      <c r="U25" s="1690"/>
    </row>
    <row r="26" spans="1:21" ht="29.25" thickBot="1">
      <c r="A26" s="1748"/>
      <c r="B26" s="1745" t="s">
        <v>1973</v>
      </c>
      <c r="C26" s="1705" t="s">
        <v>1972</v>
      </c>
      <c r="D26" s="1656"/>
      <c r="E26" s="1656"/>
      <c r="F26" s="1684"/>
      <c r="G26" s="1690"/>
      <c r="H26" s="1690"/>
      <c r="I26" s="1703"/>
      <c r="J26" s="1690"/>
      <c r="K26" s="3930"/>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v>42626</v>
      </c>
      <c r="D27" s="2672" t="s">
        <v>1975</v>
      </c>
      <c r="E27" s="1710"/>
      <c r="F27" s="1684"/>
      <c r="G27" s="1690"/>
      <c r="H27" s="1690"/>
      <c r="I27" s="1703"/>
      <c r="J27" s="1690"/>
      <c r="K27" s="1770"/>
      <c r="L27" s="1719"/>
      <c r="M27" s="1719"/>
      <c r="N27" s="1690"/>
      <c r="O27" s="1691"/>
      <c r="P27" s="1690"/>
      <c r="Q27" s="1690"/>
      <c r="R27" s="1690"/>
      <c r="S27" s="1690"/>
      <c r="T27" s="1690"/>
      <c r="U27" s="1690"/>
    </row>
    <row r="28" spans="1:21" ht="42.75">
      <c r="A28" s="1752"/>
      <c r="B28" s="1749" t="s">
        <v>1976</v>
      </c>
      <c r="C28" s="1711" t="s">
        <v>2997</v>
      </c>
      <c r="D28" s="2673" t="s">
        <v>1976</v>
      </c>
      <c r="E28" s="1712"/>
      <c r="F28" s="1684"/>
      <c r="G28" s="1690"/>
      <c r="H28" s="1690"/>
      <c r="I28" s="1703"/>
      <c r="J28" s="1690"/>
      <c r="K28" s="1770"/>
      <c r="L28" s="1719"/>
      <c r="M28" s="1719"/>
      <c r="N28" s="1690"/>
      <c r="O28" s="1691"/>
      <c r="P28" s="1690"/>
      <c r="Q28" s="1690"/>
      <c r="R28" s="1690"/>
      <c r="S28" s="1690"/>
      <c r="T28" s="1690"/>
      <c r="U28" s="1690"/>
    </row>
    <row r="29" spans="1:21" ht="28.5">
      <c r="A29" s="1752"/>
      <c r="B29" s="1749" t="s">
        <v>1977</v>
      </c>
      <c r="C29" s="1711" t="s">
        <v>2998</v>
      </c>
      <c r="D29" s="2673"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t="s">
        <v>2999</v>
      </c>
      <c r="D30" s="2674" t="s">
        <v>1978</v>
      </c>
      <c r="E30" s="1714"/>
      <c r="F30" s="1685"/>
      <c r="G30" s="1738"/>
      <c r="H30" s="1738"/>
      <c r="I30" s="1739"/>
      <c r="J30" s="1690"/>
      <c r="K30" s="1770"/>
      <c r="L30" s="1719"/>
      <c r="M30" s="1719"/>
      <c r="N30" s="1690"/>
      <c r="O30" s="1691"/>
      <c r="P30" s="1690"/>
      <c r="Q30" s="1690"/>
      <c r="R30" s="1690"/>
      <c r="S30" s="1690"/>
      <c r="T30" s="1690"/>
      <c r="U30" s="1690"/>
    </row>
    <row r="31" spans="1:21" ht="15" thickTop="1">
      <c r="A31" s="3957" t="s">
        <v>2003</v>
      </c>
      <c r="B31" s="1760" t="s">
        <v>2004</v>
      </c>
      <c r="C31" s="3955"/>
      <c r="D31" s="3956"/>
      <c r="E31" s="1690"/>
      <c r="F31" s="1690"/>
      <c r="G31" s="1690"/>
      <c r="H31" s="1690"/>
      <c r="I31" s="1703"/>
      <c r="J31" s="1690"/>
      <c r="K31" s="2479"/>
      <c r="L31" s="1690"/>
      <c r="M31" s="1690"/>
      <c r="N31" s="1690"/>
      <c r="O31" s="1690"/>
      <c r="P31" s="1690"/>
      <c r="Q31" s="1690"/>
      <c r="R31" s="1690"/>
      <c r="S31" s="1690"/>
      <c r="T31" s="1690"/>
      <c r="U31" s="1690"/>
    </row>
    <row r="32" spans="1:21">
      <c r="A32" s="3957"/>
      <c r="B32" s="1657" t="s">
        <v>2005</v>
      </c>
      <c r="C32" s="1715" t="s">
        <v>3000</v>
      </c>
      <c r="D32" s="1716"/>
      <c r="E32" s="1690"/>
      <c r="F32" s="1690"/>
      <c r="G32" s="1690"/>
      <c r="H32" s="1690"/>
      <c r="I32" s="1703"/>
      <c r="J32" s="1690"/>
      <c r="K32" s="2479"/>
      <c r="L32" s="1690"/>
      <c r="M32" s="1690"/>
      <c r="N32" s="1690"/>
      <c r="O32" s="1690"/>
      <c r="P32" s="1690"/>
      <c r="Q32" s="1690"/>
      <c r="R32" s="1690"/>
      <c r="S32" s="1690"/>
      <c r="T32" s="1690"/>
      <c r="U32" s="1690"/>
    </row>
    <row r="33" spans="1:21">
      <c r="A33" s="3957"/>
      <c r="B33" s="1657" t="s">
        <v>2006</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958"/>
      <c r="B34" s="1657" t="s">
        <v>2007</v>
      </c>
      <c r="C34" s="3959"/>
      <c r="D34" s="3960"/>
      <c r="E34" s="1690"/>
      <c r="F34" s="1690"/>
      <c r="G34" s="1690"/>
      <c r="H34" s="1690"/>
      <c r="I34" s="1703"/>
      <c r="J34" s="1690"/>
      <c r="K34" s="2479"/>
      <c r="L34" s="1690"/>
      <c r="M34" s="1690"/>
      <c r="N34" s="1690"/>
      <c r="O34" s="1690"/>
      <c r="P34" s="1690"/>
      <c r="Q34" s="1690"/>
      <c r="R34" s="1690"/>
      <c r="S34" s="1690"/>
      <c r="T34" s="1690"/>
      <c r="U34" s="1690"/>
    </row>
    <row r="35" spans="1:21">
      <c r="A35" s="3961" t="s">
        <v>846</v>
      </c>
      <c r="B35" s="1718" t="s">
        <v>3002</v>
      </c>
      <c r="C35" s="1772" t="str">
        <f>IF(B35="场地平整","——","具体情况：")</f>
        <v>——</v>
      </c>
      <c r="D35" s="3963"/>
      <c r="E35" s="3964"/>
      <c r="F35" s="3964"/>
      <c r="G35" s="3964"/>
      <c r="H35" s="3964"/>
      <c r="I35" s="3965"/>
      <c r="J35" s="1690"/>
      <c r="K35" s="1771"/>
      <c r="L35" s="1719"/>
      <c r="M35" s="1719"/>
      <c r="N35" s="1690"/>
      <c r="O35" s="1691"/>
      <c r="P35" s="1690"/>
      <c r="Q35" s="1690"/>
      <c r="R35" s="1690"/>
      <c r="S35" s="1690"/>
      <c r="T35" s="1690"/>
      <c r="U35" s="1690"/>
    </row>
    <row r="36" spans="1:21">
      <c r="A36" s="3957"/>
      <c r="B36" s="3966" t="s">
        <v>2056</v>
      </c>
      <c r="C36" s="3967"/>
      <c r="D36" s="1788" t="s">
        <v>3003</v>
      </c>
      <c r="E36" s="3968"/>
      <c r="F36" s="3968"/>
      <c r="G36" s="1683" t="str">
        <f>IF(B35="场地未平整","估价结果处理","")</f>
        <v/>
      </c>
      <c r="H36" s="3969"/>
      <c r="I36" s="3969"/>
      <c r="J36" s="1690"/>
      <c r="K36" s="1771"/>
      <c r="L36" s="1719"/>
      <c r="M36" s="1719"/>
      <c r="N36" s="1690"/>
      <c r="O36" s="1691"/>
      <c r="P36" s="1690"/>
      <c r="Q36" s="1690"/>
      <c r="R36" s="1690"/>
      <c r="S36" s="1690"/>
      <c r="T36" s="1690"/>
      <c r="U36" s="1690"/>
    </row>
    <row r="37" spans="1:21" ht="28.5">
      <c r="A37" s="3957"/>
      <c r="B37" s="3946"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957"/>
      <c r="B38" s="3947"/>
      <c r="C38" s="1665" t="s">
        <v>849</v>
      </c>
      <c r="D38" s="1787">
        <f>ROUNDDOWN(MIN(('数据-取费表'!$B$2-D37)/365,D34),1)</f>
        <v>118.4</v>
      </c>
      <c r="E38" s="1723" t="s">
        <v>850</v>
      </c>
      <c r="F38" s="1690"/>
      <c r="G38" s="1690"/>
      <c r="H38" s="1690"/>
      <c r="I38" s="1703"/>
      <c r="J38" s="1690"/>
      <c r="K38" s="1771"/>
      <c r="L38" s="1690"/>
      <c r="M38" s="1690"/>
      <c r="N38" s="1690"/>
      <c r="O38" s="1690"/>
      <c r="P38" s="1690"/>
      <c r="Q38" s="1690"/>
      <c r="R38" s="1690"/>
      <c r="S38" s="1690"/>
      <c r="T38" s="1690"/>
      <c r="U38" s="1690"/>
    </row>
    <row r="39" spans="1:21">
      <c r="A39" s="3958"/>
      <c r="B39" s="394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t="s">
        <v>3004</v>
      </c>
      <c r="C40" s="1686" t="s">
        <v>3005</v>
      </c>
      <c r="D40" s="1686" t="s">
        <v>3006</v>
      </c>
      <c r="E40" s="1686" t="s">
        <v>3007</v>
      </c>
      <c r="F40" s="1686" t="s">
        <v>3008</v>
      </c>
      <c r="G40" s="1686" t="s">
        <v>3009</v>
      </c>
      <c r="H40" s="1686" t="s">
        <v>951</v>
      </c>
      <c r="I40" s="1703"/>
      <c r="J40" s="1690"/>
      <c r="K40" s="1726">
        <f>COUNTIF(B40:H40,"——")</f>
        <v>1</v>
      </c>
      <c r="L40" s="1695" t="s">
        <v>1980</v>
      </c>
      <c r="M40" s="1692" t="s">
        <v>1981</v>
      </c>
      <c r="N40" s="1692" t="s">
        <v>1982</v>
      </c>
      <c r="O40" s="1692" t="s">
        <v>1983</v>
      </c>
      <c r="P40" s="1692" t="s">
        <v>1984</v>
      </c>
      <c r="Q40" s="1692" t="s">
        <v>1985</v>
      </c>
      <c r="R40" s="1692" t="s">
        <v>1986</v>
      </c>
      <c r="S40" s="3929" t="s">
        <v>1987</v>
      </c>
      <c r="T40" s="1727" t="str">
        <f>NUMBERSTRING(7-K40,1)&amp;"通"</f>
        <v>六通</v>
      </c>
      <c r="U40" s="1690"/>
    </row>
    <row r="41" spans="1:21" ht="28.5">
      <c r="A41" s="1659"/>
      <c r="B41" s="3962" t="s">
        <v>1721</v>
      </c>
      <c r="C41" s="3962"/>
      <c r="D41" s="3962"/>
      <c r="E41" s="3962"/>
      <c r="F41" s="1728" t="str">
        <f>C10</f>
        <v>四川省成都市都江堰市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929"/>
      <c r="T41" s="1729" t="str">
        <f>IF(T40="一通",L41,IF(T40="二通",M41,IF(T40="三通",N41,IF(T40="四通",O41,IF(T40="五通",P41,IF(T40="六通",Q41,R41))))))</f>
        <v>通路、通电、通讯、通上水、通下水、燃气</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Q13" activePane="bottomRight" state="frozen"/>
      <selection pane="topRight" activeCell="E1" sqref="E1"/>
      <selection pane="bottomLeft" activeCell="A12" sqref="A12"/>
      <selection pane="bottomRight" activeCell="AM19" sqref="R19:A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2333</v>
      </c>
      <c r="BA2" s="235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410194.62</v>
      </c>
      <c r="B3" s="22">
        <f>IF(C3="否",G5-AT5,G5)</f>
        <v>446955.26</v>
      </c>
      <c r="C3" s="23" t="s">
        <v>3001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446955.26</v>
      </c>
      <c r="H5" s="27">
        <f t="shared" ref="H5:AT5" si="0">SUM(H13:H641)</f>
        <v>420315.81</v>
      </c>
      <c r="I5" s="27">
        <f t="shared" si="0"/>
        <v>15000.31</v>
      </c>
      <c r="J5" s="27">
        <f t="shared" si="0"/>
        <v>0</v>
      </c>
      <c r="K5" s="27">
        <f t="shared" si="0"/>
        <v>46645.67</v>
      </c>
      <c r="L5" s="27">
        <f t="shared" si="0"/>
        <v>0</v>
      </c>
      <c r="M5" s="27">
        <f t="shared" si="0"/>
        <v>121226.54</v>
      </c>
      <c r="N5" s="27">
        <f t="shared" si="0"/>
        <v>0</v>
      </c>
      <c r="O5" s="27">
        <f t="shared" si="0"/>
        <v>84751.42</v>
      </c>
      <c r="P5" s="27">
        <f t="shared" si="0"/>
        <v>0</v>
      </c>
      <c r="Q5" s="27">
        <f t="shared" si="0"/>
        <v>152691.87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26639.45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953</v>
      </c>
      <c r="AM5" s="27">
        <f t="shared" si="0"/>
        <v>0</v>
      </c>
      <c r="AN5" s="27">
        <f t="shared" si="0"/>
        <v>0</v>
      </c>
      <c r="AO5" s="27">
        <f t="shared" si="0"/>
        <v>0</v>
      </c>
      <c r="AP5" s="27">
        <f t="shared" si="0"/>
        <v>15000</v>
      </c>
      <c r="AQ5" s="27">
        <f t="shared" si="0"/>
        <v>0</v>
      </c>
      <c r="AR5" s="27">
        <f t="shared" si="0"/>
        <v>10686.45</v>
      </c>
      <c r="AS5" s="27">
        <f t="shared" si="0"/>
        <v>0</v>
      </c>
      <c r="AT5" s="27">
        <f t="shared" si="0"/>
        <v>0</v>
      </c>
      <c r="AU5" s="986"/>
      <c r="AV5" s="26" t="s">
        <v>168</v>
      </c>
      <c r="AW5" s="987"/>
      <c r="AX5" s="987"/>
      <c r="AY5" s="28" t="s">
        <v>3</v>
      </c>
      <c r="AZ5" s="29">
        <f t="shared" ref="AZ5:BT5" si="1">SUM(AZ13:AZ641)</f>
        <v>446955.26</v>
      </c>
      <c r="BA5" s="29">
        <f t="shared" si="1"/>
        <v>420315.81</v>
      </c>
      <c r="BB5" s="29">
        <f t="shared" si="1"/>
        <v>15000.31</v>
      </c>
      <c r="BC5" s="29">
        <f t="shared" si="1"/>
        <v>46645.67</v>
      </c>
      <c r="BD5" s="29">
        <f t="shared" si="1"/>
        <v>121226.54</v>
      </c>
      <c r="BE5" s="29">
        <f t="shared" si="1"/>
        <v>84751.42</v>
      </c>
      <c r="BF5" s="29">
        <f t="shared" si="1"/>
        <v>152691.87</v>
      </c>
      <c r="BG5" s="29">
        <f t="shared" si="1"/>
        <v>0</v>
      </c>
      <c r="BH5" s="29">
        <f t="shared" si="1"/>
        <v>0</v>
      </c>
      <c r="BI5" s="29">
        <f t="shared" si="1"/>
        <v>0</v>
      </c>
      <c r="BJ5" s="29">
        <f t="shared" si="1"/>
        <v>0</v>
      </c>
      <c r="BK5" s="29">
        <f t="shared" si="1"/>
        <v>0</v>
      </c>
      <c r="BL5" s="29">
        <f t="shared" si="1"/>
        <v>26639.45</v>
      </c>
      <c r="BM5" s="29">
        <f t="shared" si="1"/>
        <v>0</v>
      </c>
      <c r="BN5" s="29">
        <f t="shared" si="1"/>
        <v>0</v>
      </c>
      <c r="BO5" s="29">
        <f t="shared" si="1"/>
        <v>0</v>
      </c>
      <c r="BP5" s="29">
        <f t="shared" si="1"/>
        <v>0</v>
      </c>
      <c r="BQ5" s="29">
        <f t="shared" si="1"/>
        <v>953</v>
      </c>
      <c r="BR5" s="29">
        <f t="shared" si="1"/>
        <v>0</v>
      </c>
      <c r="BS5" s="29">
        <f t="shared" si="1"/>
        <v>15000</v>
      </c>
      <c r="BT5" s="30">
        <f t="shared" si="1"/>
        <v>10686.45</v>
      </c>
    </row>
    <row r="6" spans="1:72" s="37" customFormat="1" ht="12.75">
      <c r="A6" s="26" t="s">
        <v>169</v>
      </c>
      <c r="B6" s="31"/>
      <c r="C6" s="31"/>
      <c r="D6" s="32"/>
      <c r="E6" s="27">
        <f>H6+AC6+AT6</f>
        <v>410194.61</v>
      </c>
      <c r="F6" s="27" t="s">
        <v>1</v>
      </c>
      <c r="G6" s="27" t="s">
        <v>2</v>
      </c>
      <c r="H6" s="33">
        <f>SUMIF(I$12:AB$12,"总值",I6:AB6)</f>
        <v>385746.17</v>
      </c>
      <c r="I6" s="27">
        <f t="shared" ref="I6:AB6" si="2">ROUND($A$3*I5/$B$3,2)</f>
        <v>13766.58</v>
      </c>
      <c r="J6" s="27">
        <f t="shared" si="2"/>
        <v>0</v>
      </c>
      <c r="K6" s="27">
        <f t="shared" si="2"/>
        <v>42809.21</v>
      </c>
      <c r="L6" s="27">
        <f t="shared" si="2"/>
        <v>0</v>
      </c>
      <c r="M6" s="27">
        <f t="shared" si="2"/>
        <v>111256.04</v>
      </c>
      <c r="N6" s="27">
        <f t="shared" si="2"/>
        <v>0</v>
      </c>
      <c r="O6" s="27">
        <f t="shared" si="2"/>
        <v>77780.89</v>
      </c>
      <c r="P6" s="27">
        <f t="shared" si="2"/>
        <v>0</v>
      </c>
      <c r="Q6" s="27">
        <f t="shared" si="2"/>
        <v>140133.45000000001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24448.440000000002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874.62</v>
      </c>
      <c r="AM6" s="27">
        <f t="shared" si="3"/>
        <v>0</v>
      </c>
      <c r="AN6" s="27">
        <f t="shared" si="3"/>
        <v>0</v>
      </c>
      <c r="AO6" s="27">
        <f t="shared" si="3"/>
        <v>0</v>
      </c>
      <c r="AP6" s="27">
        <f t="shared" si="3"/>
        <v>13766.3</v>
      </c>
      <c r="AQ6" s="27">
        <f t="shared" si="3"/>
        <v>0</v>
      </c>
      <c r="AR6" s="27">
        <f t="shared" si="3"/>
        <v>9807.52</v>
      </c>
      <c r="AS6" s="27">
        <f t="shared" si="3"/>
        <v>0</v>
      </c>
      <c r="AT6" s="33">
        <f>IF(C3="是",ROUND($A$3*AT5/$B$3,2),0)</f>
        <v>0</v>
      </c>
      <c r="AU6" s="34"/>
      <c r="AV6" s="26" t="s">
        <v>169</v>
      </c>
      <c r="AW6" s="31"/>
      <c r="AX6" s="31"/>
      <c r="AY6" s="35">
        <f>IF(AY3&gt;0,AY3,ROUND($A$3*AZ5/$B$3,2))</f>
        <v>410194.62</v>
      </c>
      <c r="AZ6" s="27" t="s">
        <v>3</v>
      </c>
      <c r="BA6" s="27">
        <f>ROUND($AY$6*BA5/$AZ$5,2)</f>
        <v>385746.18</v>
      </c>
      <c r="BB6" s="27">
        <f>ROUND($AY$6*BB5/$AZ$5,2)</f>
        <v>13766.58</v>
      </c>
      <c r="BC6" s="27">
        <f t="shared" ref="BC6:BH6" si="4">ROUND($AY$6*BC5/$AZ$5,2)</f>
        <v>42809.21</v>
      </c>
      <c r="BD6" s="27">
        <f t="shared" si="4"/>
        <v>111256.04</v>
      </c>
      <c r="BE6" s="27">
        <f t="shared" si="4"/>
        <v>77780.89</v>
      </c>
      <c r="BF6" s="27">
        <f t="shared" si="4"/>
        <v>140133.45000000001</v>
      </c>
      <c r="BG6" s="27">
        <f t="shared" si="4"/>
        <v>0</v>
      </c>
      <c r="BH6" s="27">
        <f t="shared" si="4"/>
        <v>0</v>
      </c>
      <c r="BI6" s="27">
        <f t="shared" ref="BI6:BT6" si="5">ROUND($AY$6*BI5/$AZ$5,2)</f>
        <v>0</v>
      </c>
      <c r="BJ6" s="27">
        <f t="shared" si="5"/>
        <v>0</v>
      </c>
      <c r="BK6" s="27">
        <f t="shared" si="5"/>
        <v>0</v>
      </c>
      <c r="BL6" s="27">
        <f t="shared" si="5"/>
        <v>24448.44</v>
      </c>
      <c r="BM6" s="27">
        <f t="shared" si="5"/>
        <v>0</v>
      </c>
      <c r="BN6" s="27">
        <f t="shared" si="5"/>
        <v>0</v>
      </c>
      <c r="BO6" s="27">
        <f t="shared" si="5"/>
        <v>0</v>
      </c>
      <c r="BP6" s="27">
        <f t="shared" si="5"/>
        <v>0</v>
      </c>
      <c r="BQ6" s="27">
        <f t="shared" si="5"/>
        <v>874.62</v>
      </c>
      <c r="BR6" s="27">
        <f t="shared" si="5"/>
        <v>0</v>
      </c>
      <c r="BS6" s="27">
        <f t="shared" si="5"/>
        <v>13766.3</v>
      </c>
      <c r="BT6" s="36">
        <f t="shared" si="5"/>
        <v>9807.52</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8" t="s">
        <v>3010</v>
      </c>
      <c r="J9" s="51"/>
      <c r="K9" s="3038" t="s">
        <v>3010</v>
      </c>
      <c r="L9" s="51"/>
      <c r="M9" s="3038" t="s">
        <v>3010</v>
      </c>
      <c r="N9" s="51"/>
      <c r="O9" s="59" t="s">
        <v>3491</v>
      </c>
      <c r="P9" s="51"/>
      <c r="Q9" s="59" t="s">
        <v>3010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8" t="s">
        <v>2976</v>
      </c>
      <c r="J10" s="51"/>
      <c r="K10" s="3040" t="s">
        <v>2976</v>
      </c>
      <c r="L10" s="51"/>
      <c r="M10" s="3040" t="s">
        <v>2976</v>
      </c>
      <c r="N10" s="51"/>
      <c r="O10" s="66" t="s">
        <v>2996</v>
      </c>
      <c r="P10" s="51"/>
      <c r="Q10" s="66" t="s">
        <v>922</v>
      </c>
      <c r="R10" s="51"/>
      <c r="S10" s="66"/>
      <c r="T10" s="51"/>
      <c r="U10" s="66"/>
      <c r="V10" s="51"/>
      <c r="W10" s="66"/>
      <c r="X10" s="51"/>
      <c r="Y10" s="66"/>
      <c r="Z10" s="51"/>
      <c r="AA10" s="66"/>
      <c r="AB10" s="51"/>
      <c r="AC10" s="55"/>
      <c r="AD10" s="2311" t="s">
        <v>2319</v>
      </c>
      <c r="AE10" s="2333"/>
      <c r="AF10" s="2311" t="s">
        <v>2319</v>
      </c>
      <c r="AG10" s="2333"/>
      <c r="AH10" s="2311" t="s">
        <v>2320</v>
      </c>
      <c r="AI10" s="2333"/>
      <c r="AJ10" s="26" t="s">
        <v>2331</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9" t="s">
        <v>3643</v>
      </c>
      <c r="J11" s="71"/>
      <c r="K11" s="3039" t="s">
        <v>3492</v>
      </c>
      <c r="L11" s="71"/>
      <c r="M11" s="70" t="s">
        <v>3644</v>
      </c>
      <c r="N11" s="71"/>
      <c r="O11" s="70"/>
      <c r="P11" s="71"/>
      <c r="Q11" s="70"/>
      <c r="R11" s="71"/>
      <c r="S11" s="70"/>
      <c r="T11" s="71"/>
      <c r="U11" s="70"/>
      <c r="V11" s="71"/>
      <c r="W11" s="70"/>
      <c r="X11" s="71"/>
      <c r="Y11" s="70"/>
      <c r="Z11" s="71"/>
      <c r="AA11" s="70"/>
      <c r="AB11" s="71"/>
      <c r="AC11" s="55"/>
      <c r="AD11" s="2331" t="s">
        <v>2330</v>
      </c>
      <c r="AE11" s="1000"/>
      <c r="AF11" s="2331" t="s">
        <v>2330</v>
      </c>
      <c r="AG11" s="1000"/>
      <c r="AH11" s="2331" t="s">
        <v>2329</v>
      </c>
      <c r="AI11" s="2332"/>
      <c r="AJ11" s="2331" t="s">
        <v>2329</v>
      </c>
      <c r="AK11" s="2330"/>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t="str">
        <f>K11</f>
        <v>酒店</v>
      </c>
      <c r="BD12" s="79" t="str">
        <f>M11</f>
        <v>办公楼</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23.25" customHeight="1">
      <c r="A13" s="3035"/>
      <c r="B13" s="3035"/>
      <c r="C13" s="3035"/>
      <c r="D13" s="3036" t="s">
        <v>1678</v>
      </c>
      <c r="E13" s="27">
        <f t="shared" ref="E13:E20" si="6">IF($C$3="是",ROUND($A$3*G13/$B$3,2),ROUND($A$3*(G13-AT13)/$B$3,2))</f>
        <v>410194.62</v>
      </c>
      <c r="F13" s="81"/>
      <c r="G13" s="82">
        <f t="shared" ref="G13:G20" si="7">H13+AC13+AT13</f>
        <v>446955.26</v>
      </c>
      <c r="H13" s="33">
        <f t="shared" ref="H13:H20" si="8">SUMIF(I$12:AB$12,"总值",I13:AB13)</f>
        <v>420315.81</v>
      </c>
      <c r="I13" s="3037">
        <f>报规文件!F4</f>
        <v>15000.31</v>
      </c>
      <c r="J13" s="3037"/>
      <c r="K13" s="3037">
        <f>报规文件!F5</f>
        <v>46645.67</v>
      </c>
      <c r="L13" s="3037"/>
      <c r="M13" s="3037">
        <f>报规文件!F6</f>
        <v>121226.54</v>
      </c>
      <c r="N13" s="83"/>
      <c r="O13" s="83">
        <f>报规文件!F11</f>
        <v>84751.42</v>
      </c>
      <c r="P13" s="83"/>
      <c r="Q13" s="83">
        <f>报规文件!F3</f>
        <v>152691.87</v>
      </c>
      <c r="R13" s="83"/>
      <c r="S13" s="83"/>
      <c r="T13" s="83"/>
      <c r="U13" s="83"/>
      <c r="V13" s="83"/>
      <c r="W13" s="83"/>
      <c r="X13" s="83"/>
      <c r="Y13" s="83"/>
      <c r="Z13" s="83"/>
      <c r="AA13" s="83"/>
      <c r="AB13" s="83"/>
      <c r="AC13" s="27">
        <f t="shared" ref="AC13:AC20" si="9">SUMIF(AD$12:AS$12,"总值",AD13:AS13)</f>
        <v>26639.45</v>
      </c>
      <c r="AD13" s="3041"/>
      <c r="AE13" s="3041"/>
      <c r="AF13" s="3041"/>
      <c r="AG13" s="3041"/>
      <c r="AH13" s="3041"/>
      <c r="AI13" s="3041"/>
      <c r="AJ13" s="3041"/>
      <c r="AK13" s="3041"/>
      <c r="AL13" s="3041">
        <f>报规文件!F7</f>
        <v>953</v>
      </c>
      <c r="AM13" s="3041"/>
      <c r="AN13" s="3041"/>
      <c r="AO13" s="3041"/>
      <c r="AP13" s="3041">
        <f>报规文件!F9</f>
        <v>15000</v>
      </c>
      <c r="AQ13" s="3041"/>
      <c r="AR13" s="3041">
        <f>报规文件!F12</f>
        <v>10686.45</v>
      </c>
      <c r="AS13" s="3041"/>
      <c r="AT13" s="3042"/>
      <c r="AU13" s="3043"/>
      <c r="AV13" s="17">
        <f t="shared" ref="AV13:AX20" si="10">A13</f>
        <v>0</v>
      </c>
      <c r="AW13" s="17">
        <f t="shared" si="10"/>
        <v>0</v>
      </c>
      <c r="AX13" s="17">
        <f t="shared" si="10"/>
        <v>0</v>
      </c>
      <c r="AY13" s="994">
        <f t="shared" ref="AY13:AY20" si="11">ROUND($AY$6*AZ13/$AZ$5,2)</f>
        <v>410194.62</v>
      </c>
      <c r="AZ13" s="27">
        <f t="shared" ref="AZ13:AZ20" si="12">BA13+BL13</f>
        <v>446955.26</v>
      </c>
      <c r="BA13" s="27">
        <f t="shared" ref="BA13:BA20" si="13">SUM(BB13:BK13)</f>
        <v>420315.81</v>
      </c>
      <c r="BB13" s="27">
        <f t="shared" ref="BB13:BB20" si="14">IF($D13="是",I13-J13,0)</f>
        <v>15000.31</v>
      </c>
      <c r="BC13" s="27">
        <f t="shared" ref="BC13:BC20" si="15">IF($D13="是",K13-L13,0)</f>
        <v>46645.67</v>
      </c>
      <c r="BD13" s="27">
        <f t="shared" ref="BD13:BD20" si="16">IF($D13="是",M13-N13,0)</f>
        <v>121226.54</v>
      </c>
      <c r="BE13" s="27">
        <f t="shared" ref="BE13:BE20" si="17">IF($D13="是",O13-P13,0)</f>
        <v>84751.42</v>
      </c>
      <c r="BF13" s="27">
        <f t="shared" ref="BF13:BF20" si="18">IF($D13="是",Q13-R13,0)</f>
        <v>152691.87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26639.45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953</v>
      </c>
      <c r="BR13" s="27">
        <f t="shared" ref="BR13:BR20" si="30">IF($D13="是",AN13-AO13,0)</f>
        <v>0</v>
      </c>
      <c r="BS13" s="27">
        <f t="shared" ref="BS13:BS20" si="31">IF($D13="是",AP13-AQ13,0)</f>
        <v>15000</v>
      </c>
      <c r="BT13" s="36">
        <f t="shared" ref="BT13:BT20" si="32">IF($D13="是",AR13-AS13,0)</f>
        <v>10686.45</v>
      </c>
    </row>
    <row r="14" spans="1:72" s="18" customFormat="1" ht="12.75">
      <c r="A14" s="3035"/>
      <c r="B14" s="3035"/>
      <c r="C14" s="3035"/>
      <c r="D14" s="3036"/>
      <c r="E14" s="27">
        <f t="shared" si="6"/>
        <v>0</v>
      </c>
      <c r="F14" s="81"/>
      <c r="G14" s="82">
        <f t="shared" si="7"/>
        <v>0</v>
      </c>
      <c r="H14" s="33">
        <f t="shared" si="8"/>
        <v>0</v>
      </c>
      <c r="I14" s="3037"/>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IF($D14="是",AL14-AM14,0)</f>
        <v>0</v>
      </c>
      <c r="BR14" s="27">
        <f t="shared" si="30"/>
        <v>0</v>
      </c>
      <c r="BS14" s="27">
        <f t="shared" si="31"/>
        <v>0</v>
      </c>
      <c r="BT14" s="36">
        <f t="shared" si="32"/>
        <v>0</v>
      </c>
    </row>
    <row r="15" spans="1:72" s="18" customFormat="1" ht="12.75">
      <c r="A15" s="3035"/>
      <c r="B15" s="3035"/>
      <c r="C15" s="3035"/>
      <c r="D15" s="3036"/>
      <c r="E15" s="27">
        <f t="shared" si="6"/>
        <v>0</v>
      </c>
      <c r="F15" s="81"/>
      <c r="G15" s="82">
        <f t="shared" si="7"/>
        <v>0</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c r="D16" s="3036"/>
      <c r="E16" s="27">
        <f t="shared" si="6"/>
        <v>0</v>
      </c>
      <c r="F16" s="81"/>
      <c r="G16" s="82">
        <f t="shared" si="7"/>
        <v>0</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c r="D17" s="3036"/>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35"/>
      <c r="C18" s="3035"/>
      <c r="D18" s="3036"/>
      <c r="E18" s="87">
        <f t="shared" si="6"/>
        <v>0</v>
      </c>
      <c r="F18" s="88"/>
      <c r="G18" s="89">
        <f t="shared" si="7"/>
        <v>0</v>
      </c>
      <c r="H18" s="90">
        <f t="shared" si="8"/>
        <v>0</v>
      </c>
      <c r="I18" s="3037"/>
      <c r="J18" s="91"/>
      <c r="K18" s="3037"/>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3041"/>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035"/>
      <c r="C19" s="3035"/>
      <c r="D19" s="3036"/>
      <c r="E19" s="87">
        <f t="shared" si="6"/>
        <v>0</v>
      </c>
      <c r="F19" s="88"/>
      <c r="G19" s="89">
        <f t="shared" si="7"/>
        <v>0</v>
      </c>
      <c r="H19" s="90">
        <f t="shared" si="8"/>
        <v>0</v>
      </c>
      <c r="I19" s="3037"/>
      <c r="J19" s="91"/>
      <c r="K19" s="3037"/>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3041"/>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035"/>
      <c r="C20" s="3035"/>
      <c r="D20" s="3036"/>
      <c r="E20" s="87">
        <f t="shared" si="6"/>
        <v>0</v>
      </c>
      <c r="F20" s="88"/>
      <c r="G20" s="89">
        <f t="shared" si="7"/>
        <v>0</v>
      </c>
      <c r="H20" s="90">
        <f t="shared" si="8"/>
        <v>0</v>
      </c>
      <c r="I20" s="3037"/>
      <c r="J20" s="91"/>
      <c r="K20" s="3037"/>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3041"/>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035"/>
      <c r="C21" s="3035"/>
      <c r="D21" s="3036"/>
      <c r="E21" s="87">
        <f t="shared" ref="E21:E112" si="33">IF($C$3="是",ROUND($A$3*G21/$B$3,2),ROUND($A$3*(G21-AT21)/$B$3,2))</f>
        <v>0</v>
      </c>
      <c r="F21" s="88"/>
      <c r="G21" s="89">
        <f t="shared" ref="G21:G109" si="34">H21+AC21+AT21</f>
        <v>0</v>
      </c>
      <c r="H21" s="90">
        <f t="shared" ref="H21:H109" si="35">SUMIF(I$12:AB$12,"总值",I21:AB21)</f>
        <v>0</v>
      </c>
      <c r="I21" s="3037"/>
      <c r="J21" s="91"/>
      <c r="K21" s="303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3041"/>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035"/>
      <c r="C22" s="3035"/>
      <c r="D22" s="3036"/>
      <c r="E22" s="87">
        <f t="shared" si="33"/>
        <v>0</v>
      </c>
      <c r="F22" s="88"/>
      <c r="G22" s="89">
        <f t="shared" si="34"/>
        <v>0</v>
      </c>
      <c r="H22" s="90">
        <f t="shared" si="35"/>
        <v>0</v>
      </c>
      <c r="I22" s="3037"/>
      <c r="J22" s="91"/>
      <c r="K22" s="3037"/>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3041"/>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035"/>
      <c r="C23" s="3035"/>
      <c r="D23" s="3036"/>
      <c r="E23" s="87">
        <f t="shared" si="33"/>
        <v>0</v>
      </c>
      <c r="F23" s="88"/>
      <c r="G23" s="89">
        <f t="shared" si="34"/>
        <v>0</v>
      </c>
      <c r="H23" s="90">
        <f t="shared" si="35"/>
        <v>0</v>
      </c>
      <c r="I23" s="3037"/>
      <c r="J23" s="91"/>
      <c r="K23" s="3037"/>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3041"/>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035"/>
      <c r="C24" s="3035"/>
      <c r="D24" s="3036"/>
      <c r="E24" s="87">
        <f t="shared" si="33"/>
        <v>0</v>
      </c>
      <c r="F24" s="88"/>
      <c r="G24" s="89">
        <f t="shared" si="34"/>
        <v>0</v>
      </c>
      <c r="H24" s="90">
        <f t="shared" si="35"/>
        <v>0</v>
      </c>
      <c r="I24" s="3037"/>
      <c r="J24" s="91"/>
      <c r="K24" s="3037"/>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3041"/>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035"/>
      <c r="C25" s="3035"/>
      <c r="D25" s="3036"/>
      <c r="E25" s="87">
        <f t="shared" si="33"/>
        <v>0</v>
      </c>
      <c r="F25" s="88"/>
      <c r="G25" s="89">
        <f t="shared" si="34"/>
        <v>0</v>
      </c>
      <c r="H25" s="90">
        <f t="shared" si="35"/>
        <v>0</v>
      </c>
      <c r="I25" s="3037"/>
      <c r="J25" s="91"/>
      <c r="K25" s="3037"/>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3041"/>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035"/>
      <c r="C26" s="3035"/>
      <c r="D26" s="3036"/>
      <c r="E26" s="87">
        <f t="shared" si="33"/>
        <v>0</v>
      </c>
      <c r="F26" s="88"/>
      <c r="G26" s="89">
        <f t="shared" si="34"/>
        <v>0</v>
      </c>
      <c r="H26" s="90">
        <f t="shared" si="35"/>
        <v>0</v>
      </c>
      <c r="I26" s="3037"/>
      <c r="J26" s="91"/>
      <c r="K26" s="3037"/>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3041"/>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035"/>
      <c r="C27" s="3035"/>
      <c r="D27" s="3036"/>
      <c r="E27" s="87">
        <f t="shared" si="33"/>
        <v>0</v>
      </c>
      <c r="F27" s="88"/>
      <c r="G27" s="89">
        <f t="shared" si="34"/>
        <v>0</v>
      </c>
      <c r="H27" s="90">
        <f t="shared" si="35"/>
        <v>0</v>
      </c>
      <c r="I27" s="3037"/>
      <c r="J27" s="91"/>
      <c r="K27" s="3037"/>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3041"/>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035"/>
      <c r="C28" s="3035"/>
      <c r="D28" s="3036"/>
      <c r="E28" s="87">
        <f t="shared" si="33"/>
        <v>0</v>
      </c>
      <c r="F28" s="88"/>
      <c r="G28" s="89">
        <f t="shared" si="34"/>
        <v>0</v>
      </c>
      <c r="H28" s="90">
        <f t="shared" si="35"/>
        <v>0</v>
      </c>
      <c r="I28" s="3037"/>
      <c r="J28" s="91"/>
      <c r="K28" s="3037"/>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3041"/>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035"/>
      <c r="C29" s="3035"/>
      <c r="D29" s="3036"/>
      <c r="E29" s="87">
        <f t="shared" si="33"/>
        <v>0</v>
      </c>
      <c r="F29" s="88"/>
      <c r="G29" s="89">
        <f t="shared" si="34"/>
        <v>0</v>
      </c>
      <c r="H29" s="90">
        <f t="shared" si="35"/>
        <v>0</v>
      </c>
      <c r="I29" s="3037"/>
      <c r="J29" s="91"/>
      <c r="K29" s="3037"/>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3041"/>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3035"/>
      <c r="C30" s="3035"/>
      <c r="D30" s="3036"/>
      <c r="E30" s="87">
        <f t="shared" si="33"/>
        <v>0</v>
      </c>
      <c r="F30" s="88"/>
      <c r="G30" s="89">
        <f t="shared" si="34"/>
        <v>0</v>
      </c>
      <c r="H30" s="90">
        <f t="shared" si="35"/>
        <v>0</v>
      </c>
      <c r="I30" s="3037"/>
      <c r="J30" s="91"/>
      <c r="K30" s="3037"/>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3041"/>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IF($D30="是",AL30-AM30,0)</f>
        <v>0</v>
      </c>
      <c r="BR30" s="87">
        <f t="shared" si="59"/>
        <v>0</v>
      </c>
      <c r="BS30" s="87">
        <f t="shared" si="60"/>
        <v>0</v>
      </c>
      <c r="BT30" s="96">
        <f t="shared" si="61"/>
        <v>0</v>
      </c>
    </row>
    <row r="31" spans="1:72">
      <c r="A31" s="84"/>
      <c r="B31" s="3035"/>
      <c r="C31" s="3035"/>
      <c r="D31" s="3036"/>
      <c r="E31" s="87">
        <f t="shared" si="33"/>
        <v>0</v>
      </c>
      <c r="F31" s="88"/>
      <c r="G31" s="89">
        <f t="shared" si="34"/>
        <v>0</v>
      </c>
      <c r="H31" s="90">
        <f t="shared" si="35"/>
        <v>0</v>
      </c>
      <c r="I31" s="3037"/>
      <c r="J31" s="91"/>
      <c r="K31" s="3037"/>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3041"/>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3035"/>
      <c r="C32" s="3035"/>
      <c r="D32" s="3036"/>
      <c r="E32" s="87">
        <f t="shared" si="33"/>
        <v>0</v>
      </c>
      <c r="F32" s="88"/>
      <c r="G32" s="89">
        <f t="shared" si="34"/>
        <v>0</v>
      </c>
      <c r="H32" s="90">
        <f t="shared" si="35"/>
        <v>0</v>
      </c>
      <c r="I32" s="3037"/>
      <c r="J32" s="91"/>
      <c r="K32" s="3037"/>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3041"/>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035"/>
      <c r="C33" s="3035"/>
      <c r="D33" s="3036"/>
      <c r="E33" s="87">
        <f t="shared" si="33"/>
        <v>0</v>
      </c>
      <c r="F33" s="88"/>
      <c r="G33" s="89">
        <f t="shared" si="34"/>
        <v>0</v>
      </c>
      <c r="H33" s="90">
        <f t="shared" si="35"/>
        <v>0</v>
      </c>
      <c r="I33" s="3037"/>
      <c r="J33" s="91"/>
      <c r="K33" s="3037"/>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3041"/>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035"/>
      <c r="C34" s="3035"/>
      <c r="D34" s="3036"/>
      <c r="E34" s="87">
        <f t="shared" si="33"/>
        <v>0</v>
      </c>
      <c r="F34" s="88"/>
      <c r="G34" s="89">
        <f t="shared" si="34"/>
        <v>0</v>
      </c>
      <c r="H34" s="90">
        <f t="shared" si="35"/>
        <v>0</v>
      </c>
      <c r="I34" s="3037"/>
      <c r="J34" s="91"/>
      <c r="K34" s="3037"/>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3041"/>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3035"/>
      <c r="C35" s="3035"/>
      <c r="D35" s="3036"/>
      <c r="E35" s="87">
        <f t="shared" si="33"/>
        <v>0</v>
      </c>
      <c r="F35" s="88"/>
      <c r="G35" s="89">
        <f t="shared" si="34"/>
        <v>0</v>
      </c>
      <c r="H35" s="90">
        <f t="shared" si="35"/>
        <v>0</v>
      </c>
      <c r="I35" s="3037"/>
      <c r="J35" s="91"/>
      <c r="K35" s="3037"/>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3041"/>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3035"/>
      <c r="C36" s="3035"/>
      <c r="D36" s="3036"/>
      <c r="E36" s="87">
        <f t="shared" si="33"/>
        <v>0</v>
      </c>
      <c r="F36" s="88"/>
      <c r="G36" s="89">
        <f t="shared" si="34"/>
        <v>0</v>
      </c>
      <c r="H36" s="90">
        <f t="shared" si="35"/>
        <v>0</v>
      </c>
      <c r="I36" s="3037"/>
      <c r="J36" s="91"/>
      <c r="K36" s="3037"/>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3041"/>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3035"/>
      <c r="C37" s="3035"/>
      <c r="D37" s="3036"/>
      <c r="E37" s="87">
        <f t="shared" si="33"/>
        <v>0</v>
      </c>
      <c r="F37" s="88"/>
      <c r="G37" s="89">
        <f t="shared" si="34"/>
        <v>0</v>
      </c>
      <c r="H37" s="90">
        <f t="shared" si="35"/>
        <v>0</v>
      </c>
      <c r="I37" s="3037"/>
      <c r="J37" s="91"/>
      <c r="K37" s="3037"/>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3041"/>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3035"/>
      <c r="C38" s="3035"/>
      <c r="D38" s="3036"/>
      <c r="E38" s="87">
        <f t="shared" si="33"/>
        <v>0</v>
      </c>
      <c r="F38" s="88"/>
      <c r="G38" s="89">
        <f t="shared" si="34"/>
        <v>0</v>
      </c>
      <c r="H38" s="90">
        <f t="shared" si="35"/>
        <v>0</v>
      </c>
      <c r="I38" s="3037"/>
      <c r="J38" s="91"/>
      <c r="K38" s="3037"/>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3041"/>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3035"/>
      <c r="C39" s="3035"/>
      <c r="D39" s="3036"/>
      <c r="E39" s="87">
        <f t="shared" si="33"/>
        <v>0</v>
      </c>
      <c r="F39" s="88"/>
      <c r="G39" s="89">
        <f t="shared" si="34"/>
        <v>0</v>
      </c>
      <c r="H39" s="90">
        <f t="shared" si="35"/>
        <v>0</v>
      </c>
      <c r="I39" s="3037"/>
      <c r="J39" s="91"/>
      <c r="K39" s="3037"/>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3041"/>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484"/>
      <c r="B41" s="1391"/>
      <c r="C41" s="1392"/>
      <c r="D41" s="80"/>
      <c r="E41" s="87">
        <f t="shared" si="33"/>
        <v>0</v>
      </c>
      <c r="F41" s="88"/>
      <c r="G41" s="89">
        <f t="shared" si="34"/>
        <v>0</v>
      </c>
      <c r="H41" s="90">
        <f t="shared" si="35"/>
        <v>0</v>
      </c>
      <c r="I41" s="3436"/>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4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70" t="s">
        <v>0</v>
      </c>
      <c r="B1" s="3970" t="s">
        <v>4</v>
      </c>
      <c r="C1" s="3970" t="s">
        <v>5</v>
      </c>
      <c r="D1" s="3971" t="s">
        <v>40</v>
      </c>
      <c r="E1" s="3971" t="s">
        <v>41</v>
      </c>
      <c r="F1" s="3971"/>
      <c r="G1" s="3971"/>
      <c r="H1" s="3971"/>
      <c r="I1" s="3971"/>
      <c r="J1" s="3971"/>
      <c r="K1" s="3971"/>
      <c r="L1" s="3971"/>
      <c r="M1" s="3971"/>
    </row>
    <row r="2" spans="1:13" ht="27" customHeight="1">
      <c r="A2" s="3970"/>
      <c r="B2" s="3970"/>
      <c r="C2" s="3970"/>
      <c r="D2" s="3971"/>
      <c r="E2" s="3971" t="s">
        <v>24</v>
      </c>
      <c r="F2" s="3971" t="s">
        <v>25</v>
      </c>
      <c r="G2" s="3971"/>
      <c r="H2" s="3971"/>
      <c r="I2" s="3971"/>
      <c r="J2" s="3971" t="s">
        <v>26</v>
      </c>
      <c r="K2" s="3971"/>
      <c r="L2" s="3971"/>
      <c r="M2" s="3971"/>
    </row>
    <row r="3" spans="1:13" ht="28.5">
      <c r="A3" s="3970"/>
      <c r="B3" s="3970"/>
      <c r="C3" s="3970"/>
      <c r="D3" s="3971"/>
      <c r="E3" s="39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71" t="s">
        <v>42</v>
      </c>
      <c r="B9" s="3971"/>
      <c r="C9" s="39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G17"/>
  <sheetViews>
    <sheetView tabSelected="1" workbookViewId="0">
      <selection activeCell="E16" sqref="E16"/>
    </sheetView>
  </sheetViews>
  <sheetFormatPr defaultRowHeight="13.5"/>
  <cols>
    <col min="4" max="4" width="9.875" customWidth="1"/>
    <col min="5" max="5" width="10.5" customWidth="1"/>
    <col min="6" max="7" width="18.75" customWidth="1"/>
  </cols>
  <sheetData>
    <row r="1" spans="2:7" ht="14.25" thickBot="1"/>
    <row r="2" spans="2:7">
      <c r="B2" s="3972" t="s">
        <v>4539</v>
      </c>
      <c r="C2" s="3973"/>
      <c r="D2" s="3973"/>
      <c r="E2" s="3973"/>
      <c r="F2" s="3491">
        <f>F10+F13</f>
        <v>446955.26</v>
      </c>
      <c r="G2" s="1791"/>
    </row>
    <row r="3" spans="2:7">
      <c r="B3" s="3977" t="s">
        <v>4540</v>
      </c>
      <c r="C3" s="3978" t="s">
        <v>4541</v>
      </c>
      <c r="D3" s="3978" t="s">
        <v>4542</v>
      </c>
      <c r="E3" s="3978"/>
      <c r="F3" s="3498">
        <v>152691.87</v>
      </c>
      <c r="G3" s="1791"/>
    </row>
    <row r="4" spans="2:7">
      <c r="B4" s="3977"/>
      <c r="C4" s="3978"/>
      <c r="D4" s="3978" t="s">
        <v>4543</v>
      </c>
      <c r="E4" s="3490" t="s">
        <v>4544</v>
      </c>
      <c r="F4" s="3492">
        <v>15000.31</v>
      </c>
      <c r="G4" s="1791"/>
    </row>
    <row r="5" spans="2:7">
      <c r="B5" s="3977"/>
      <c r="C5" s="3978"/>
      <c r="D5" s="3978"/>
      <c r="E5" s="3490" t="s">
        <v>4545</v>
      </c>
      <c r="F5" s="3492">
        <v>46645.67</v>
      </c>
      <c r="G5" s="1791"/>
    </row>
    <row r="6" spans="2:7">
      <c r="B6" s="3977"/>
      <c r="C6" s="3978"/>
      <c r="D6" s="3978"/>
      <c r="E6" s="3490" t="s">
        <v>4546</v>
      </c>
      <c r="F6" s="3492">
        <v>121226.54</v>
      </c>
      <c r="G6" s="1791"/>
    </row>
    <row r="7" spans="2:7">
      <c r="B7" s="3977"/>
      <c r="C7" s="3978"/>
      <c r="D7" s="3978"/>
      <c r="E7" s="3490" t="s">
        <v>4547</v>
      </c>
      <c r="F7" s="3492">
        <v>953</v>
      </c>
      <c r="G7" s="1791"/>
    </row>
    <row r="8" spans="2:7">
      <c r="B8" s="3977"/>
      <c r="C8" s="3978"/>
      <c r="D8" s="3978"/>
      <c r="E8" s="3490" t="s">
        <v>4548</v>
      </c>
      <c r="F8" s="3498">
        <f>SUM(F4:F7)</f>
        <v>183825.52</v>
      </c>
      <c r="G8" s="1791"/>
    </row>
    <row r="9" spans="2:7">
      <c r="B9" s="3977"/>
      <c r="C9" s="3978" t="s">
        <v>4549</v>
      </c>
      <c r="D9" s="3978"/>
      <c r="E9" s="3978"/>
      <c r="F9" s="3492">
        <v>15000</v>
      </c>
      <c r="G9" s="1791"/>
    </row>
    <row r="10" spans="2:7">
      <c r="B10" s="3977"/>
      <c r="C10" s="3978" t="s">
        <v>4548</v>
      </c>
      <c r="D10" s="3978"/>
      <c r="E10" s="3978"/>
      <c r="F10" s="3492">
        <f>F9+F8+F3</f>
        <v>351517.39</v>
      </c>
      <c r="G10" s="1791"/>
    </row>
    <row r="11" spans="2:7">
      <c r="B11" s="3977" t="s">
        <v>4550</v>
      </c>
      <c r="C11" s="3978" t="s">
        <v>4551</v>
      </c>
      <c r="D11" s="3978"/>
      <c r="E11" s="3978"/>
      <c r="F11" s="3492">
        <v>84751.42</v>
      </c>
      <c r="G11" s="1791"/>
    </row>
    <row r="12" spans="2:7">
      <c r="B12" s="3977"/>
      <c r="C12" s="3978" t="s">
        <v>4552</v>
      </c>
      <c r="D12" s="3978"/>
      <c r="E12" s="3978"/>
      <c r="F12" s="3492">
        <f>4339.3+6347.15</f>
        <v>10686.45</v>
      </c>
      <c r="G12" s="1791"/>
    </row>
    <row r="13" spans="2:7" ht="14.25" thickBot="1">
      <c r="B13" s="3979"/>
      <c r="C13" s="3980" t="s">
        <v>4548</v>
      </c>
      <c r="D13" s="3980"/>
      <c r="E13" s="3980"/>
      <c r="F13" s="3493">
        <f>SUM(F11:F12)</f>
        <v>95437.87</v>
      </c>
      <c r="G13" s="1791"/>
    </row>
    <row r="14" spans="2:7" ht="14.25" thickBot="1">
      <c r="B14" s="1791"/>
      <c r="C14" s="1791"/>
      <c r="D14" s="1791"/>
      <c r="E14" s="1791"/>
      <c r="F14" s="1791"/>
      <c r="G14" s="1791"/>
    </row>
    <row r="15" spans="2:7">
      <c r="B15" s="3974" t="s">
        <v>4553</v>
      </c>
      <c r="C15" s="3453" t="s">
        <v>4544</v>
      </c>
      <c r="D15" s="3499">
        <v>259438.29</v>
      </c>
      <c r="E15" s="3446">
        <f>D15</f>
        <v>259438.29</v>
      </c>
      <c r="F15" s="3446">
        <f>ROUND(F8/E15,2)</f>
        <v>0.71</v>
      </c>
      <c r="G15" s="3500">
        <f>E15/E17</f>
        <v>0.63247609147092176</v>
      </c>
    </row>
    <row r="16" spans="2:7">
      <c r="B16" s="3975"/>
      <c r="C16" s="3501" t="s">
        <v>4542</v>
      </c>
      <c r="D16" s="3502">
        <v>150752.62</v>
      </c>
      <c r="E16" s="3445">
        <f>E17-E15</f>
        <v>150756.32999999999</v>
      </c>
      <c r="F16" s="3445">
        <f>ROUND(F3/E16,2)</f>
        <v>1.01</v>
      </c>
      <c r="G16" s="3503">
        <f>E16/E17</f>
        <v>0.36752390852907818</v>
      </c>
    </row>
    <row r="17" spans="2:7" ht="14.25" thickBot="1">
      <c r="B17" s="3976"/>
      <c r="C17" s="3504" t="s">
        <v>4554</v>
      </c>
      <c r="D17" s="3505">
        <f>SUM(D15:D16)</f>
        <v>410190.91000000003</v>
      </c>
      <c r="E17" s="3451">
        <f>'数据-基础表'!A3</f>
        <v>410194.62</v>
      </c>
      <c r="F17" s="3504" t="s">
        <v>4557</v>
      </c>
      <c r="G17" s="3506" t="s">
        <v>4558</v>
      </c>
    </row>
  </sheetData>
  <mergeCells count="12">
    <mergeCell ref="B2:E2"/>
    <mergeCell ref="B15:B17"/>
    <mergeCell ref="B3:B10"/>
    <mergeCell ref="C3:C8"/>
    <mergeCell ref="D3:E3"/>
    <mergeCell ref="D4:D8"/>
    <mergeCell ref="C9:E9"/>
    <mergeCell ref="C10:E10"/>
    <mergeCell ref="B11:B13"/>
    <mergeCell ref="C11:E11"/>
    <mergeCell ref="C12:E12"/>
    <mergeCell ref="C13:E13"/>
  </mergeCells>
  <phoneticPr fontId="2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C52"/>
  <sheetViews>
    <sheetView zoomScale="85" zoomScaleNormal="85"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8" width="9" style="3210" customWidth="1"/>
    <col min="19" max="27" width="9" style="3210" bestFit="1" customWidth="1"/>
    <col min="28" max="28" width="9" style="3210" hidden="1" customWidth="1"/>
    <col min="29"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4" width="9" style="3210" customWidth="1"/>
    <col min="275" max="283" width="9" style="3210" bestFit="1" customWidth="1"/>
    <col min="284" max="284" width="0" style="3210" hidden="1" customWidth="1"/>
    <col min="285"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30" width="9" style="3210" customWidth="1"/>
    <col min="531" max="539" width="9" style="3210" bestFit="1" customWidth="1"/>
    <col min="540" max="540" width="0" style="3210" hidden="1" customWidth="1"/>
    <col min="541"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6" width="9" style="3210" customWidth="1"/>
    <col min="787" max="795" width="9" style="3210" bestFit="1" customWidth="1"/>
    <col min="796" max="796" width="0" style="3210" hidden="1" customWidth="1"/>
    <col min="797"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2" width="9" style="3210" customWidth="1"/>
    <col min="1043" max="1051" width="9" style="3210" bestFit="1" customWidth="1"/>
    <col min="1052" max="1052" width="0" style="3210" hidden="1" customWidth="1"/>
    <col min="1053"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8" width="9" style="3210" customWidth="1"/>
    <col min="1299" max="1307" width="9" style="3210" bestFit="1" customWidth="1"/>
    <col min="1308" max="1308" width="0" style="3210" hidden="1" customWidth="1"/>
    <col min="1309"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4" width="9" style="3210" customWidth="1"/>
    <col min="1555" max="1563" width="9" style="3210" bestFit="1" customWidth="1"/>
    <col min="1564" max="1564" width="0" style="3210" hidden="1" customWidth="1"/>
    <col min="1565"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10" width="9" style="3210" customWidth="1"/>
    <col min="1811" max="1819" width="9" style="3210" bestFit="1" customWidth="1"/>
    <col min="1820" max="1820" width="0" style="3210" hidden="1" customWidth="1"/>
    <col min="1821"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6" width="9" style="3210" customWidth="1"/>
    <col min="2067" max="2075" width="9" style="3210" bestFit="1" customWidth="1"/>
    <col min="2076" max="2076" width="0" style="3210" hidden="1" customWidth="1"/>
    <col min="2077"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2" width="9" style="3210" customWidth="1"/>
    <col min="2323" max="2331" width="9" style="3210" bestFit="1" customWidth="1"/>
    <col min="2332" max="2332" width="0" style="3210" hidden="1" customWidth="1"/>
    <col min="2333"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8" width="9" style="3210" customWidth="1"/>
    <col min="2579" max="2587" width="9" style="3210" bestFit="1" customWidth="1"/>
    <col min="2588" max="2588" width="0" style="3210" hidden="1" customWidth="1"/>
    <col min="2589"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4" width="9" style="3210" customWidth="1"/>
    <col min="2835" max="2843" width="9" style="3210" bestFit="1" customWidth="1"/>
    <col min="2844" max="2844" width="0" style="3210" hidden="1" customWidth="1"/>
    <col min="2845"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90" width="9" style="3210" customWidth="1"/>
    <col min="3091" max="3099" width="9" style="3210" bestFit="1" customWidth="1"/>
    <col min="3100" max="3100" width="0" style="3210" hidden="1" customWidth="1"/>
    <col min="3101"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6" width="9" style="3210" customWidth="1"/>
    <col min="3347" max="3355" width="9" style="3210" bestFit="1" customWidth="1"/>
    <col min="3356" max="3356" width="0" style="3210" hidden="1" customWidth="1"/>
    <col min="3357"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2" width="9" style="3210" customWidth="1"/>
    <col min="3603" max="3611" width="9" style="3210" bestFit="1" customWidth="1"/>
    <col min="3612" max="3612" width="0" style="3210" hidden="1" customWidth="1"/>
    <col min="3613"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8" width="9" style="3210" customWidth="1"/>
    <col min="3859" max="3867" width="9" style="3210" bestFit="1" customWidth="1"/>
    <col min="3868" max="3868" width="0" style="3210" hidden="1" customWidth="1"/>
    <col min="3869"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4" width="9" style="3210" customWidth="1"/>
    <col min="4115" max="4123" width="9" style="3210" bestFit="1" customWidth="1"/>
    <col min="4124" max="4124" width="0" style="3210" hidden="1" customWidth="1"/>
    <col min="4125"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70" width="9" style="3210" customWidth="1"/>
    <col min="4371" max="4379" width="9" style="3210" bestFit="1" customWidth="1"/>
    <col min="4380" max="4380" width="0" style="3210" hidden="1" customWidth="1"/>
    <col min="4381"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6" width="9" style="3210" customWidth="1"/>
    <col min="4627" max="4635" width="9" style="3210" bestFit="1" customWidth="1"/>
    <col min="4636" max="4636" width="0" style="3210" hidden="1" customWidth="1"/>
    <col min="4637"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2" width="9" style="3210" customWidth="1"/>
    <col min="4883" max="4891" width="9" style="3210" bestFit="1" customWidth="1"/>
    <col min="4892" max="4892" width="0" style="3210" hidden="1" customWidth="1"/>
    <col min="4893"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8" width="9" style="3210" customWidth="1"/>
    <col min="5139" max="5147" width="9" style="3210" bestFit="1" customWidth="1"/>
    <col min="5148" max="5148" width="0" style="3210" hidden="1" customWidth="1"/>
    <col min="5149"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4" width="9" style="3210" customWidth="1"/>
    <col min="5395" max="5403" width="9" style="3210" bestFit="1" customWidth="1"/>
    <col min="5404" max="5404" width="0" style="3210" hidden="1" customWidth="1"/>
    <col min="5405"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50" width="9" style="3210" customWidth="1"/>
    <col min="5651" max="5659" width="9" style="3210" bestFit="1" customWidth="1"/>
    <col min="5660" max="5660" width="0" style="3210" hidden="1" customWidth="1"/>
    <col min="5661"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6" width="9" style="3210" customWidth="1"/>
    <col min="5907" max="5915" width="9" style="3210" bestFit="1" customWidth="1"/>
    <col min="5916" max="5916" width="0" style="3210" hidden="1" customWidth="1"/>
    <col min="5917"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2" width="9" style="3210" customWidth="1"/>
    <col min="6163" max="6171" width="9" style="3210" bestFit="1" customWidth="1"/>
    <col min="6172" max="6172" width="0" style="3210" hidden="1" customWidth="1"/>
    <col min="6173"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8" width="9" style="3210" customWidth="1"/>
    <col min="6419" max="6427" width="9" style="3210" bestFit="1" customWidth="1"/>
    <col min="6428" max="6428" width="0" style="3210" hidden="1" customWidth="1"/>
    <col min="6429"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4" width="9" style="3210" customWidth="1"/>
    <col min="6675" max="6683" width="9" style="3210" bestFit="1" customWidth="1"/>
    <col min="6684" max="6684" width="0" style="3210" hidden="1" customWidth="1"/>
    <col min="6685"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30" width="9" style="3210" customWidth="1"/>
    <col min="6931" max="6939" width="9" style="3210" bestFit="1" customWidth="1"/>
    <col min="6940" max="6940" width="0" style="3210" hidden="1" customWidth="1"/>
    <col min="6941"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6" width="9" style="3210" customWidth="1"/>
    <col min="7187" max="7195" width="9" style="3210" bestFit="1" customWidth="1"/>
    <col min="7196" max="7196" width="0" style="3210" hidden="1" customWidth="1"/>
    <col min="7197"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2" width="9" style="3210" customWidth="1"/>
    <col min="7443" max="7451" width="9" style="3210" bestFit="1" customWidth="1"/>
    <col min="7452" max="7452" width="0" style="3210" hidden="1" customWidth="1"/>
    <col min="7453"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8" width="9" style="3210" customWidth="1"/>
    <col min="7699" max="7707" width="9" style="3210" bestFit="1" customWidth="1"/>
    <col min="7708" max="7708" width="0" style="3210" hidden="1" customWidth="1"/>
    <col min="7709"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4" width="9" style="3210" customWidth="1"/>
    <col min="7955" max="7963" width="9" style="3210" bestFit="1" customWidth="1"/>
    <col min="7964" max="7964" width="0" style="3210" hidden="1" customWidth="1"/>
    <col min="7965"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10" width="9" style="3210" customWidth="1"/>
    <col min="8211" max="8219" width="9" style="3210" bestFit="1" customWidth="1"/>
    <col min="8220" max="8220" width="0" style="3210" hidden="1" customWidth="1"/>
    <col min="8221"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6" width="9" style="3210" customWidth="1"/>
    <col min="8467" max="8475" width="9" style="3210" bestFit="1" customWidth="1"/>
    <col min="8476" max="8476" width="0" style="3210" hidden="1" customWidth="1"/>
    <col min="8477"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2" width="9" style="3210" customWidth="1"/>
    <col min="8723" max="8731" width="9" style="3210" bestFit="1" customWidth="1"/>
    <col min="8732" max="8732" width="0" style="3210" hidden="1" customWidth="1"/>
    <col min="8733"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8" width="9" style="3210" customWidth="1"/>
    <col min="8979" max="8987" width="9" style="3210" bestFit="1" customWidth="1"/>
    <col min="8988" max="8988" width="0" style="3210" hidden="1" customWidth="1"/>
    <col min="8989"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4" width="9" style="3210" customWidth="1"/>
    <col min="9235" max="9243" width="9" style="3210" bestFit="1" customWidth="1"/>
    <col min="9244" max="9244" width="0" style="3210" hidden="1" customWidth="1"/>
    <col min="9245"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90" width="9" style="3210" customWidth="1"/>
    <col min="9491" max="9499" width="9" style="3210" bestFit="1" customWidth="1"/>
    <col min="9500" max="9500" width="0" style="3210" hidden="1" customWidth="1"/>
    <col min="9501"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6" width="9" style="3210" customWidth="1"/>
    <col min="9747" max="9755" width="9" style="3210" bestFit="1" customWidth="1"/>
    <col min="9756" max="9756" width="0" style="3210" hidden="1" customWidth="1"/>
    <col min="9757"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2" width="9" style="3210" customWidth="1"/>
    <col min="10003" max="10011" width="9" style="3210" bestFit="1" customWidth="1"/>
    <col min="10012" max="10012" width="0" style="3210" hidden="1" customWidth="1"/>
    <col min="10013"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8" width="9" style="3210" customWidth="1"/>
    <col min="10259" max="10267" width="9" style="3210" bestFit="1" customWidth="1"/>
    <col min="10268" max="10268" width="0" style="3210" hidden="1" customWidth="1"/>
    <col min="10269"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4" width="9" style="3210" customWidth="1"/>
    <col min="10515" max="10523" width="9" style="3210" bestFit="1" customWidth="1"/>
    <col min="10524" max="10524" width="0" style="3210" hidden="1" customWidth="1"/>
    <col min="10525"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70" width="9" style="3210" customWidth="1"/>
    <col min="10771" max="10779" width="9" style="3210" bestFit="1" customWidth="1"/>
    <col min="10780" max="10780" width="0" style="3210" hidden="1" customWidth="1"/>
    <col min="10781"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6" width="9" style="3210" customWidth="1"/>
    <col min="11027" max="11035" width="9" style="3210" bestFit="1" customWidth="1"/>
    <col min="11036" max="11036" width="0" style="3210" hidden="1" customWidth="1"/>
    <col min="11037"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2" width="9" style="3210" customWidth="1"/>
    <col min="11283" max="11291" width="9" style="3210" bestFit="1" customWidth="1"/>
    <col min="11292" max="11292" width="0" style="3210" hidden="1" customWidth="1"/>
    <col min="11293"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8" width="9" style="3210" customWidth="1"/>
    <col min="11539" max="11547" width="9" style="3210" bestFit="1" customWidth="1"/>
    <col min="11548" max="11548" width="0" style="3210" hidden="1" customWidth="1"/>
    <col min="11549"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4" width="9" style="3210" customWidth="1"/>
    <col min="11795" max="11803" width="9" style="3210" bestFit="1" customWidth="1"/>
    <col min="11804" max="11804" width="0" style="3210" hidden="1" customWidth="1"/>
    <col min="11805"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50" width="9" style="3210" customWidth="1"/>
    <col min="12051" max="12059" width="9" style="3210" bestFit="1" customWidth="1"/>
    <col min="12060" max="12060" width="0" style="3210" hidden="1" customWidth="1"/>
    <col min="12061"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6" width="9" style="3210" customWidth="1"/>
    <col min="12307" max="12315" width="9" style="3210" bestFit="1" customWidth="1"/>
    <col min="12316" max="12316" width="0" style="3210" hidden="1" customWidth="1"/>
    <col min="12317"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2" width="9" style="3210" customWidth="1"/>
    <col min="12563" max="12571" width="9" style="3210" bestFit="1" customWidth="1"/>
    <col min="12572" max="12572" width="0" style="3210" hidden="1" customWidth="1"/>
    <col min="12573"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8" width="9" style="3210" customWidth="1"/>
    <col min="12819" max="12827" width="9" style="3210" bestFit="1" customWidth="1"/>
    <col min="12828" max="12828" width="0" style="3210" hidden="1" customWidth="1"/>
    <col min="12829"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4" width="9" style="3210" customWidth="1"/>
    <col min="13075" max="13083" width="9" style="3210" bestFit="1" customWidth="1"/>
    <col min="13084" max="13084" width="0" style="3210" hidden="1" customWidth="1"/>
    <col min="13085"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30" width="9" style="3210" customWidth="1"/>
    <col min="13331" max="13339" width="9" style="3210" bestFit="1" customWidth="1"/>
    <col min="13340" max="13340" width="0" style="3210" hidden="1" customWidth="1"/>
    <col min="13341"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6" width="9" style="3210" customWidth="1"/>
    <col min="13587" max="13595" width="9" style="3210" bestFit="1" customWidth="1"/>
    <col min="13596" max="13596" width="0" style="3210" hidden="1" customWidth="1"/>
    <col min="13597"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2" width="9" style="3210" customWidth="1"/>
    <col min="13843" max="13851" width="9" style="3210" bestFit="1" customWidth="1"/>
    <col min="13852" max="13852" width="0" style="3210" hidden="1" customWidth="1"/>
    <col min="13853"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8" width="9" style="3210" customWidth="1"/>
    <col min="14099" max="14107" width="9" style="3210" bestFit="1" customWidth="1"/>
    <col min="14108" max="14108" width="0" style="3210" hidden="1" customWidth="1"/>
    <col min="14109"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4" width="9" style="3210" customWidth="1"/>
    <col min="14355" max="14363" width="9" style="3210" bestFit="1" customWidth="1"/>
    <col min="14364" max="14364" width="0" style="3210" hidden="1" customWidth="1"/>
    <col min="14365"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10" width="9" style="3210" customWidth="1"/>
    <col min="14611" max="14619" width="9" style="3210" bestFit="1" customWidth="1"/>
    <col min="14620" max="14620" width="0" style="3210" hidden="1" customWidth="1"/>
    <col min="14621"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6" width="9" style="3210" customWidth="1"/>
    <col min="14867" max="14875" width="9" style="3210" bestFit="1" customWidth="1"/>
    <col min="14876" max="14876" width="0" style="3210" hidden="1" customWidth="1"/>
    <col min="14877"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2" width="9" style="3210" customWidth="1"/>
    <col min="15123" max="15131" width="9" style="3210" bestFit="1" customWidth="1"/>
    <col min="15132" max="15132" width="0" style="3210" hidden="1" customWidth="1"/>
    <col min="15133"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8" width="9" style="3210" customWidth="1"/>
    <col min="15379" max="15387" width="9" style="3210" bestFit="1" customWidth="1"/>
    <col min="15388" max="15388" width="0" style="3210" hidden="1" customWidth="1"/>
    <col min="15389"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4" width="9" style="3210" customWidth="1"/>
    <col min="15635" max="15643" width="9" style="3210" bestFit="1" customWidth="1"/>
    <col min="15644" max="15644" width="0" style="3210" hidden="1" customWidth="1"/>
    <col min="15645"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90" width="9" style="3210" customWidth="1"/>
    <col min="15891" max="15899" width="9" style="3210" bestFit="1" customWidth="1"/>
    <col min="15900" max="15900" width="0" style="3210" hidden="1" customWidth="1"/>
    <col min="15901"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6" width="9" style="3210" customWidth="1"/>
    <col min="16147" max="16155" width="9" style="3210" bestFit="1" customWidth="1"/>
    <col min="16156" max="16156" width="0" style="3210" hidden="1" customWidth="1"/>
    <col min="16157" max="16384" width="9" style="3210"/>
  </cols>
  <sheetData>
    <row r="1" spans="1:29">
      <c r="A1" s="3985" t="s">
        <v>3490</v>
      </c>
      <c r="B1" s="3985" t="s">
        <v>3493</v>
      </c>
      <c r="C1" s="3993" t="s">
        <v>3488</v>
      </c>
      <c r="D1" s="3994"/>
      <c r="E1" s="3985" t="s">
        <v>3494</v>
      </c>
      <c r="F1" s="3995" t="s">
        <v>3495</v>
      </c>
      <c r="G1" s="3985" t="s">
        <v>3496</v>
      </c>
      <c r="H1" s="3984" t="s">
        <v>3497</v>
      </c>
      <c r="I1" s="3984" t="s">
        <v>3498</v>
      </c>
      <c r="J1" s="3984" t="s">
        <v>3499</v>
      </c>
      <c r="K1" s="3986" t="s">
        <v>3500</v>
      </c>
      <c r="L1" s="3209"/>
      <c r="M1" s="3986" t="s">
        <v>3501</v>
      </c>
      <c r="N1" s="3988" t="s">
        <v>3502</v>
      </c>
      <c r="O1" s="3989"/>
      <c r="P1" s="3989"/>
      <c r="Q1" s="3989"/>
      <c r="R1" s="3989"/>
      <c r="S1" s="3989"/>
      <c r="T1" s="3989"/>
      <c r="U1" s="3989"/>
      <c r="V1" s="3989"/>
      <c r="W1" s="3989"/>
      <c r="X1" s="3989"/>
      <c r="Y1" s="3989"/>
      <c r="Z1" s="3989"/>
      <c r="AA1" s="3990"/>
    </row>
    <row r="2" spans="1:29" ht="40.5">
      <c r="A2" s="3991"/>
      <c r="B2" s="3992"/>
      <c r="C2" s="3211" t="s">
        <v>3010</v>
      </c>
      <c r="D2" s="3212" t="s">
        <v>3491</v>
      </c>
      <c r="E2" s="3992"/>
      <c r="F2" s="3996"/>
      <c r="G2" s="3992"/>
      <c r="H2" s="3985"/>
      <c r="I2" s="3985"/>
      <c r="J2" s="3985"/>
      <c r="K2" s="3987"/>
      <c r="L2" s="3213" t="s">
        <v>3503</v>
      </c>
      <c r="M2" s="3987"/>
      <c r="N2" s="3214" t="s">
        <v>3504</v>
      </c>
      <c r="O2" s="3214" t="s">
        <v>3505</v>
      </c>
      <c r="P2" s="3214" t="s">
        <v>3506</v>
      </c>
      <c r="Q2" s="3214" t="s">
        <v>3507</v>
      </c>
      <c r="R2" s="3214" t="s">
        <v>3508</v>
      </c>
      <c r="S2" s="3214" t="s">
        <v>3509</v>
      </c>
      <c r="T2" s="3214" t="s">
        <v>3510</v>
      </c>
      <c r="U2" s="3214" t="s">
        <v>3511</v>
      </c>
      <c r="V2" s="3215" t="s">
        <v>3512</v>
      </c>
      <c r="W2" s="3215" t="s">
        <v>3513</v>
      </c>
      <c r="X2" s="3215" t="s">
        <v>3514</v>
      </c>
      <c r="Y2" s="3215" t="s">
        <v>3515</v>
      </c>
      <c r="Z2" s="3215" t="s">
        <v>3516</v>
      </c>
      <c r="AA2" s="3215" t="s">
        <v>3517</v>
      </c>
    </row>
    <row r="3" spans="1:29">
      <c r="A3" s="3216" t="s">
        <v>3518</v>
      </c>
      <c r="B3" s="3217"/>
      <c r="C3" s="3217">
        <v>3</v>
      </c>
      <c r="D3" s="3217"/>
      <c r="E3" s="3217">
        <v>21.2</v>
      </c>
      <c r="F3" s="3218">
        <f>G3+H3</f>
        <v>5214.0300000000007</v>
      </c>
      <c r="G3" s="3219">
        <f>SUM(K3:M3)</f>
        <v>5163.7800000000007</v>
      </c>
      <c r="H3" s="3219">
        <f>'[2]6-1分表'!F6</f>
        <v>50.25</v>
      </c>
      <c r="I3" s="3219"/>
      <c r="J3" s="3219"/>
      <c r="K3" s="3219"/>
      <c r="L3" s="3219"/>
      <c r="M3" s="3219">
        <f>'[2]6-1分表'!L6</f>
        <v>5163.7800000000007</v>
      </c>
      <c r="N3" s="3219"/>
      <c r="O3" s="3219"/>
      <c r="P3" s="3219"/>
      <c r="Q3" s="3219"/>
      <c r="R3" s="3219"/>
      <c r="S3" s="3219"/>
      <c r="T3" s="3219"/>
      <c r="U3" s="3219"/>
      <c r="V3" s="3219"/>
      <c r="W3" s="3219"/>
      <c r="X3" s="3219"/>
      <c r="Y3" s="3219"/>
      <c r="Z3" s="3219"/>
      <c r="AA3" s="3219"/>
      <c r="AB3" s="3210" t="e">
        <f>G3+G25+#REF!+#REF!+K31</f>
        <v>#REF!</v>
      </c>
    </row>
    <row r="4" spans="1:29">
      <c r="A4" s="3220" t="s">
        <v>3519</v>
      </c>
      <c r="B4" s="3217"/>
      <c r="C4" s="3217">
        <v>3</v>
      </c>
      <c r="D4" s="3217"/>
      <c r="E4" s="3217">
        <v>13.9</v>
      </c>
      <c r="F4" s="3218">
        <f t="shared" ref="F4:F29" si="0">G4+H4</f>
        <v>2837.0699999999997</v>
      </c>
      <c r="G4" s="3219">
        <f>'[2]6-1分表'!G11+'[2]6-1分表'!I11+'[2]6-1分表'!J11+'[2]6-1分表'!K11+'[2]6-1分表'!L11</f>
        <v>2805.35</v>
      </c>
      <c r="H4" s="3219">
        <f>'[2]6-1分表'!C11+'[2]6-1分表'!D11+'[2]6-1分表'!E11+'[2]6-1分表'!F11</f>
        <v>31.72</v>
      </c>
      <c r="I4" s="3219"/>
      <c r="J4" s="3219"/>
      <c r="K4" s="3219"/>
      <c r="L4" s="3219">
        <f>'[2]6-1分表'!K11</f>
        <v>2805.35</v>
      </c>
      <c r="M4" s="3219"/>
      <c r="N4" s="3219"/>
      <c r="O4" s="3219"/>
      <c r="P4" s="3219"/>
      <c r="Q4" s="3219"/>
      <c r="R4" s="3219"/>
      <c r="S4" s="3219"/>
      <c r="T4" s="3219"/>
      <c r="U4" s="3219"/>
      <c r="V4" s="3219"/>
      <c r="W4" s="3219"/>
      <c r="X4" s="3219"/>
      <c r="Y4" s="3219"/>
      <c r="Z4" s="3219"/>
      <c r="AA4" s="3219"/>
      <c r="AB4" s="3219"/>
      <c r="AC4" s="3219"/>
    </row>
    <row r="5" spans="1:29">
      <c r="A5" s="3220" t="s">
        <v>3520</v>
      </c>
      <c r="B5" s="3217"/>
      <c r="C5" s="3217">
        <v>3</v>
      </c>
      <c r="D5" s="3217"/>
      <c r="E5" s="3217">
        <v>13.9</v>
      </c>
      <c r="F5" s="3218">
        <f t="shared" si="0"/>
        <v>2837.0699999999997</v>
      </c>
      <c r="G5" s="3219">
        <f>'[2]6-1分表'!G16+'[2]6-1分表'!I16+'[2]6-1分表'!J16+'[2]6-1分表'!K16+'[2]6-1分表'!L16</f>
        <v>2805.35</v>
      </c>
      <c r="H5" s="3219">
        <f>'[2]6-1分表'!C16+'[2]6-1分表'!D16+'[2]6-1分表'!E16+'[2]6-1分表'!F16</f>
        <v>31.72</v>
      </c>
      <c r="I5" s="3219"/>
      <c r="J5" s="3219"/>
      <c r="K5" s="3219"/>
      <c r="L5" s="3219">
        <f>'[2]6-1分表'!K16</f>
        <v>2805.35</v>
      </c>
      <c r="M5" s="3219"/>
      <c r="N5" s="3219"/>
      <c r="O5" s="3219"/>
      <c r="P5" s="3219"/>
      <c r="Q5" s="3219"/>
      <c r="R5" s="3219"/>
      <c r="S5" s="3219"/>
      <c r="T5" s="3219"/>
      <c r="U5" s="3219"/>
      <c r="V5" s="3219"/>
      <c r="W5" s="3219"/>
      <c r="X5" s="3219"/>
      <c r="Y5" s="3219"/>
      <c r="Z5" s="3219"/>
      <c r="AA5" s="3219"/>
      <c r="AB5" s="3219"/>
      <c r="AC5" s="3219"/>
    </row>
    <row r="6" spans="1:29">
      <c r="A6" s="3220" t="s">
        <v>3521</v>
      </c>
      <c r="B6" s="3217"/>
      <c r="C6" s="3217">
        <v>3</v>
      </c>
      <c r="D6" s="3217"/>
      <c r="E6" s="3217">
        <v>12.8</v>
      </c>
      <c r="F6" s="3218">
        <f t="shared" si="0"/>
        <v>2132.5099999999998</v>
      </c>
      <c r="G6" s="3219">
        <f>'[2]6-1分表'!G21+'[2]6-1分表'!I21+'[2]6-1分表'!J21+'[2]6-1分表'!K21+'[2]6-1分表'!L21</f>
        <v>2105.4299999999998</v>
      </c>
      <c r="H6" s="3219">
        <f>'[2]6-1分表'!C21+'[2]6-1分表'!D21+'[2]6-1分表'!E21+'[2]6-1分表'!F21</f>
        <v>27.08</v>
      </c>
      <c r="I6" s="3219"/>
      <c r="J6" s="3219"/>
      <c r="K6" s="3219"/>
      <c r="L6" s="3219">
        <f>'[2]6-1分表'!K21</f>
        <v>2105.4299999999998</v>
      </c>
      <c r="M6" s="3219"/>
      <c r="N6" s="3219"/>
      <c r="O6" s="3219"/>
      <c r="P6" s="3219"/>
      <c r="Q6" s="3219"/>
      <c r="R6" s="3219"/>
      <c r="S6" s="3219"/>
      <c r="T6" s="3219"/>
      <c r="U6" s="3219"/>
      <c r="V6" s="3219"/>
      <c r="W6" s="3219"/>
      <c r="X6" s="3219"/>
      <c r="Y6" s="3219"/>
      <c r="Z6" s="3219"/>
      <c r="AA6" s="3219"/>
      <c r="AB6" s="3219"/>
      <c r="AC6" s="3219"/>
    </row>
    <row r="7" spans="1:29">
      <c r="A7" s="3220" t="s">
        <v>3522</v>
      </c>
      <c r="B7" s="3217"/>
      <c r="C7" s="3217">
        <v>3</v>
      </c>
      <c r="D7" s="3217"/>
      <c r="E7" s="3217">
        <v>12.8</v>
      </c>
      <c r="F7" s="3218">
        <f t="shared" si="0"/>
        <v>2119.7400000000002</v>
      </c>
      <c r="G7" s="3219">
        <f>'[2]6-1分表'!G26+'[2]6-1分表'!I26+'[2]6-1分表'!J26+'[2]6-1分表'!K26+'[2]6-1分表'!L26</f>
        <v>2093.13</v>
      </c>
      <c r="H7" s="3219">
        <f>'[2]6-1分表'!C26+'[2]6-1分表'!D26+'[2]6-1分表'!E26+'[2]6-1分表'!F26</f>
        <v>26.61</v>
      </c>
      <c r="I7" s="3219"/>
      <c r="J7" s="3219"/>
      <c r="K7" s="3219"/>
      <c r="L7" s="3219">
        <f>'[2]6-1分表'!K26</f>
        <v>2093.13</v>
      </c>
      <c r="M7" s="3219"/>
      <c r="N7" s="3219"/>
      <c r="O7" s="3219"/>
      <c r="P7" s="3219"/>
      <c r="Q7" s="3219"/>
      <c r="R7" s="3219"/>
      <c r="S7" s="3219"/>
      <c r="T7" s="3219"/>
      <c r="U7" s="3219"/>
      <c r="V7" s="3219"/>
      <c r="W7" s="3219"/>
      <c r="X7" s="3219"/>
      <c r="Y7" s="3219"/>
      <c r="Z7" s="3219"/>
      <c r="AA7" s="3219"/>
      <c r="AB7" s="3219"/>
      <c r="AC7" s="3219"/>
    </row>
    <row r="8" spans="1:29">
      <c r="A8" s="3220" t="s">
        <v>3523</v>
      </c>
      <c r="B8" s="3217"/>
      <c r="C8" s="3217">
        <v>3</v>
      </c>
      <c r="D8" s="3217">
        <v>1</v>
      </c>
      <c r="E8" s="3217">
        <v>18.350000000000001</v>
      </c>
      <c r="F8" s="3218">
        <f>G8+H8</f>
        <v>14360.900000000001</v>
      </c>
      <c r="G8" s="3219">
        <f>'[2]6-1分表'!G32+'[2]6-1分表'!I32+'[2]6-1分表'!J32+'[2]6-1分表'!K32+'[2]6-1分表'!L32</f>
        <v>14303.070000000002</v>
      </c>
      <c r="H8" s="3219">
        <f>'[2]6-1分表'!C32+'[2]6-1分表'!D32+'[2]6-1分表'!E32+'[2]6-1分表'!F32</f>
        <v>57.83</v>
      </c>
      <c r="I8" s="3219"/>
      <c r="J8" s="3219"/>
      <c r="K8" s="3219"/>
      <c r="L8" s="3219">
        <f>'[2]6-1分表'!K32</f>
        <v>14303.070000000002</v>
      </c>
      <c r="M8" s="3219"/>
      <c r="N8" s="3219"/>
      <c r="O8" s="3219"/>
      <c r="P8" s="3219"/>
      <c r="Q8" s="3219"/>
      <c r="R8" s="3219"/>
      <c r="S8" s="3219"/>
      <c r="T8" s="3219"/>
      <c r="U8" s="3219"/>
      <c r="V8" s="3219"/>
      <c r="W8" s="3219"/>
      <c r="X8" s="3219"/>
      <c r="Y8" s="3219"/>
      <c r="Z8" s="3219"/>
      <c r="AA8" s="3219"/>
      <c r="AB8" s="3219"/>
      <c r="AC8" s="3219"/>
    </row>
    <row r="9" spans="1:29">
      <c r="A9" s="3220" t="s">
        <v>3524</v>
      </c>
      <c r="B9" s="3217"/>
      <c r="C9" s="3217">
        <v>1</v>
      </c>
      <c r="D9" s="3217">
        <v>1</v>
      </c>
      <c r="E9" s="3217">
        <v>15.1</v>
      </c>
      <c r="F9" s="3218">
        <f t="shared" si="0"/>
        <v>1738.97</v>
      </c>
      <c r="G9" s="3219">
        <f>'[2]6-1分表'!G35+'[2]6-1分表'!I35+'[2]6-1分表'!J35+'[2]6-1分表'!K35+'[2]6-1分表'!L35</f>
        <v>1729.82</v>
      </c>
      <c r="H9" s="3219">
        <f>'[2]6-1分表'!C35+'[2]6-1分表'!D35+'[2]6-1分表'!E35+'[2]6-1分表'!F35</f>
        <v>9.15</v>
      </c>
      <c r="I9" s="3219"/>
      <c r="J9" s="3219"/>
      <c r="K9" s="3219"/>
      <c r="L9" s="3219">
        <f>'[2]6-1分表'!K35</f>
        <v>1729.82</v>
      </c>
      <c r="M9" s="3219"/>
      <c r="N9" s="3219"/>
      <c r="O9" s="3219"/>
      <c r="P9" s="3219"/>
      <c r="Q9" s="3219"/>
      <c r="R9" s="3219"/>
      <c r="S9" s="3219"/>
      <c r="T9" s="3219"/>
      <c r="U9" s="3219"/>
      <c r="V9" s="3219"/>
      <c r="W9" s="3219"/>
      <c r="X9" s="3219"/>
      <c r="Y9" s="3219"/>
      <c r="Z9" s="3219"/>
      <c r="AA9" s="3219"/>
      <c r="AB9" s="3219"/>
      <c r="AC9" s="3219"/>
    </row>
    <row r="10" spans="1:29">
      <c r="A10" s="3220" t="s">
        <v>3525</v>
      </c>
      <c r="B10" s="3217"/>
      <c r="C10" s="3217">
        <v>2</v>
      </c>
      <c r="D10" s="3217"/>
      <c r="E10" s="3217">
        <v>9.6</v>
      </c>
      <c r="F10" s="3218">
        <f t="shared" si="0"/>
        <v>428.92</v>
      </c>
      <c r="G10" s="3219">
        <f>'[2]6-1分表'!G39+'[2]6-1分表'!I39+'[2]6-1分表'!J39+'[2]6-1分表'!K39+'[2]6-1分表'!L39</f>
        <v>424.04</v>
      </c>
      <c r="H10" s="3219">
        <f>'[2]6-1分表'!C39+'[2]6-1分表'!D39+'[2]6-1分表'!E39+'[2]6-1分表'!F39</f>
        <v>4.88</v>
      </c>
      <c r="I10" s="3219"/>
      <c r="J10" s="3219"/>
      <c r="K10" s="3219"/>
      <c r="L10" s="3219">
        <f>'[2]6-1分表'!K39</f>
        <v>424.04</v>
      </c>
      <c r="M10" s="3219"/>
      <c r="N10" s="3219"/>
      <c r="O10" s="3219"/>
      <c r="P10" s="3219"/>
      <c r="Q10" s="3219"/>
      <c r="R10" s="3219"/>
      <c r="S10" s="3219"/>
      <c r="T10" s="3219"/>
      <c r="U10" s="3219"/>
      <c r="V10" s="3219"/>
      <c r="W10" s="3219"/>
      <c r="X10" s="3219"/>
      <c r="Y10" s="3219"/>
      <c r="Z10" s="3219"/>
      <c r="AA10" s="3219"/>
      <c r="AB10" s="3219"/>
      <c r="AC10" s="3219"/>
    </row>
    <row r="11" spans="1:29">
      <c r="A11" s="3220" t="s">
        <v>3526</v>
      </c>
      <c r="B11" s="3217"/>
      <c r="C11" s="3217">
        <v>3</v>
      </c>
      <c r="D11" s="3217"/>
      <c r="E11" s="3217">
        <v>12.8</v>
      </c>
      <c r="F11" s="3218">
        <f t="shared" si="0"/>
        <v>2132.5099999999998</v>
      </c>
      <c r="G11" s="3219">
        <f>'[2]6-1分表'!G44+'[2]6-1分表'!I44+'[2]6-1分表'!J44+'[2]6-1分表'!K44+'[2]6-1分表'!L44</f>
        <v>2105.4299999999998</v>
      </c>
      <c r="H11" s="3219">
        <f>'[2]6-1分表'!C44+'[2]6-1分表'!D44+'[2]6-1分表'!E44+'[2]6-1分表'!F44</f>
        <v>27.08</v>
      </c>
      <c r="I11" s="3219"/>
      <c r="J11" s="3219"/>
      <c r="K11" s="3219"/>
      <c r="L11" s="3219">
        <f>'[2]6-1分表'!K44</f>
        <v>2105.4299999999998</v>
      </c>
      <c r="M11" s="3219"/>
      <c r="N11" s="3219"/>
      <c r="O11" s="3219"/>
      <c r="P11" s="3219"/>
      <c r="Q11" s="3219"/>
      <c r="R11" s="3219"/>
      <c r="S11" s="3219"/>
      <c r="T11" s="3219"/>
      <c r="U11" s="3219"/>
      <c r="V11" s="3219"/>
      <c r="W11" s="3219"/>
      <c r="X11" s="3219"/>
      <c r="Y11" s="3219"/>
      <c r="Z11" s="3219"/>
      <c r="AA11" s="3219"/>
      <c r="AB11" s="3219"/>
      <c r="AC11" s="3219"/>
    </row>
    <row r="12" spans="1:29">
      <c r="A12" s="3220" t="s">
        <v>3527</v>
      </c>
      <c r="B12" s="3217"/>
      <c r="C12" s="3217">
        <v>2</v>
      </c>
      <c r="D12" s="3217"/>
      <c r="E12" s="3217">
        <v>9.6</v>
      </c>
      <c r="F12" s="3218">
        <f t="shared" si="0"/>
        <v>428.92</v>
      </c>
      <c r="G12" s="3219">
        <f>'[2]6-1分表'!G48+'[2]6-1分表'!I48+'[2]6-1分表'!J48+'[2]6-1分表'!K48+'[2]6-1分表'!L48</f>
        <v>424.04</v>
      </c>
      <c r="H12" s="3219">
        <f>'[2]6-1分表'!C48+'[2]6-1分表'!D48+'[2]6-1分表'!E48+'[2]6-1分表'!F48</f>
        <v>4.88</v>
      </c>
      <c r="I12" s="3219"/>
      <c r="J12" s="3219"/>
      <c r="K12" s="3219"/>
      <c r="L12" s="3219">
        <f>'[2]6-1分表'!K48</f>
        <v>424.04</v>
      </c>
      <c r="M12" s="3219"/>
      <c r="N12" s="3219"/>
      <c r="O12" s="3219"/>
      <c r="P12" s="3219"/>
      <c r="Q12" s="3219"/>
      <c r="R12" s="3219"/>
      <c r="S12" s="3219"/>
      <c r="T12" s="3219"/>
      <c r="U12" s="3219"/>
      <c r="V12" s="3219"/>
      <c r="W12" s="3219"/>
      <c r="X12" s="3219"/>
      <c r="Y12" s="3219"/>
      <c r="Z12" s="3219"/>
      <c r="AA12" s="3219"/>
      <c r="AB12" s="3219"/>
      <c r="AC12" s="3219"/>
    </row>
    <row r="13" spans="1:29">
      <c r="A13" s="3220" t="s">
        <v>3528</v>
      </c>
      <c r="B13" s="3217"/>
      <c r="C13" s="3217">
        <v>3</v>
      </c>
      <c r="D13" s="3217"/>
      <c r="E13" s="3217">
        <v>12.8</v>
      </c>
      <c r="F13" s="3218">
        <f t="shared" si="0"/>
        <v>2119.7400000000002</v>
      </c>
      <c r="G13" s="3219">
        <f>'[2]6-1分表'!G53+'[2]6-1分表'!I53+'[2]6-1分表'!J53+'[2]6-1分表'!K53+'[2]6-1分表'!L53</f>
        <v>2093.13</v>
      </c>
      <c r="H13" s="3219">
        <f>'[2]6-1分表'!C53+'[2]6-1分表'!D53+'[2]6-1分表'!E53+'[2]6-1分表'!F53</f>
        <v>26.61</v>
      </c>
      <c r="I13" s="3219"/>
      <c r="J13" s="3219"/>
      <c r="K13" s="3219"/>
      <c r="L13" s="3219">
        <f>'[2]6-1分表'!K53</f>
        <v>2093.13</v>
      </c>
      <c r="M13" s="3219"/>
      <c r="N13" s="3219"/>
      <c r="O13" s="3219"/>
      <c r="P13" s="3219"/>
      <c r="Q13" s="3219"/>
      <c r="R13" s="3219"/>
      <c r="S13" s="3219"/>
      <c r="T13" s="3219"/>
      <c r="U13" s="3219"/>
      <c r="V13" s="3219"/>
      <c r="W13" s="3219"/>
      <c r="X13" s="3219"/>
      <c r="Y13" s="3219"/>
      <c r="Z13" s="3219"/>
      <c r="AA13" s="3219"/>
      <c r="AB13" s="3219"/>
      <c r="AC13" s="3219"/>
    </row>
    <row r="14" spans="1:29">
      <c r="A14" s="3220" t="s">
        <v>3529</v>
      </c>
      <c r="B14" s="3217"/>
      <c r="C14" s="3217">
        <v>2</v>
      </c>
      <c r="D14" s="3217"/>
      <c r="E14" s="3217">
        <v>9.6</v>
      </c>
      <c r="F14" s="3218">
        <f t="shared" si="0"/>
        <v>428.92</v>
      </c>
      <c r="G14" s="3219">
        <f>'[2]6-1分表'!G57+'[2]6-1分表'!I57+'[2]6-1分表'!J57+'[2]6-1分表'!K57+'[2]6-1分表'!L57</f>
        <v>424.04</v>
      </c>
      <c r="H14" s="3219">
        <f>'[2]6-1分表'!C57+'[2]6-1分表'!D57+'[2]6-1分表'!E57+'[2]6-1分表'!F57</f>
        <v>4.88</v>
      </c>
      <c r="I14" s="3219"/>
      <c r="J14" s="3219"/>
      <c r="K14" s="3219"/>
      <c r="L14" s="3219">
        <f>'[2]6-1分表'!K57</f>
        <v>424.04</v>
      </c>
      <c r="M14" s="3219"/>
      <c r="N14" s="3219"/>
      <c r="O14" s="3219"/>
      <c r="P14" s="3219"/>
      <c r="Q14" s="3219"/>
      <c r="R14" s="3219"/>
      <c r="S14" s="3219"/>
      <c r="T14" s="3219"/>
      <c r="U14" s="3219"/>
      <c r="V14" s="3219"/>
      <c r="W14" s="3219"/>
      <c r="X14" s="3219"/>
      <c r="Y14" s="3219"/>
      <c r="Z14" s="3219"/>
      <c r="AA14" s="3219"/>
      <c r="AB14" s="3219"/>
      <c r="AC14" s="3219"/>
    </row>
    <row r="15" spans="1:29">
      <c r="A15" s="3220" t="s">
        <v>3530</v>
      </c>
      <c r="B15" s="3217"/>
      <c r="C15" s="3217">
        <v>3</v>
      </c>
      <c r="D15" s="3217"/>
      <c r="E15" s="3217">
        <v>13.9</v>
      </c>
      <c r="F15" s="3218">
        <f t="shared" si="0"/>
        <v>3189.2400000000002</v>
      </c>
      <c r="G15" s="3219">
        <f>'[2]6-1分表'!G62+'[2]6-1分表'!I62+'[2]6-1分表'!J62+'[2]6-1分表'!K62+'[2]6-1分表'!L62</f>
        <v>3001.84</v>
      </c>
      <c r="H15" s="3219">
        <f>'[2]6-1分表'!C62+'[2]6-1分表'!D62+'[2]6-1分表'!E62+'[2]6-1分表'!F62</f>
        <v>187.4</v>
      </c>
      <c r="I15" s="3219"/>
      <c r="J15" s="3219"/>
      <c r="K15" s="3219"/>
      <c r="L15" s="3219">
        <f>'[2]6-1分表'!K62</f>
        <v>3001.84</v>
      </c>
      <c r="M15" s="3219"/>
      <c r="N15" s="3219"/>
      <c r="O15" s="3219"/>
      <c r="P15" s="3219"/>
      <c r="Q15" s="3219"/>
      <c r="R15" s="3219"/>
      <c r="S15" s="3219"/>
      <c r="T15" s="3219"/>
      <c r="U15" s="3219"/>
      <c r="V15" s="3219"/>
      <c r="W15" s="3219"/>
      <c r="X15" s="3219"/>
      <c r="Y15" s="3219"/>
      <c r="Z15" s="3219"/>
      <c r="AA15" s="3219"/>
      <c r="AB15" s="3219"/>
      <c r="AC15" s="3219"/>
    </row>
    <row r="16" spans="1:29">
      <c r="A16" s="3220" t="s">
        <v>3531</v>
      </c>
      <c r="B16" s="3217"/>
      <c r="C16" s="3217">
        <v>3</v>
      </c>
      <c r="D16" s="3217"/>
      <c r="E16" s="3217">
        <v>13.9</v>
      </c>
      <c r="F16" s="3218">
        <f t="shared" si="0"/>
        <v>2603.42</v>
      </c>
      <c r="G16" s="3219">
        <f>'[2]6-1分表'!G67+'[2]6-1分表'!I67+'[2]6-1分表'!J67+'[2]6-1分表'!K67+'[2]6-1分表'!L67</f>
        <v>2488</v>
      </c>
      <c r="H16" s="3219">
        <f>'[2]6-1分表'!C67+'[2]6-1分表'!D67+'[2]6-1分表'!E67+'[2]6-1分表'!F67</f>
        <v>115.42</v>
      </c>
      <c r="I16" s="3219"/>
      <c r="J16" s="3219"/>
      <c r="K16" s="3219"/>
      <c r="L16" s="3219">
        <f>'[2]6-1分表'!K67</f>
        <v>2488</v>
      </c>
      <c r="M16" s="3219"/>
      <c r="N16" s="3219"/>
      <c r="O16" s="3219"/>
      <c r="P16" s="3219"/>
      <c r="Q16" s="3219"/>
      <c r="R16" s="3219"/>
      <c r="S16" s="3219"/>
      <c r="T16" s="3219"/>
      <c r="U16" s="3219"/>
      <c r="V16" s="3219"/>
      <c r="W16" s="3219"/>
      <c r="X16" s="3219"/>
      <c r="Y16" s="3219"/>
      <c r="Z16" s="3219"/>
      <c r="AA16" s="3219"/>
      <c r="AB16" s="3219"/>
      <c r="AC16" s="3219"/>
    </row>
    <row r="17" spans="1:29">
      <c r="A17" s="3220" t="s">
        <v>3532</v>
      </c>
      <c r="B17" s="3217"/>
      <c r="C17" s="3217">
        <v>3</v>
      </c>
      <c r="D17" s="3217"/>
      <c r="E17" s="3217">
        <v>13.9</v>
      </c>
      <c r="F17" s="3218">
        <f t="shared" si="0"/>
        <v>2129.6200000000003</v>
      </c>
      <c r="G17" s="3219">
        <f>'[2]6-1分表'!G72+'[2]6-1分表'!I72+'[2]6-1分表'!J72+'[2]6-1分表'!K72+'[2]6-1分表'!L72</f>
        <v>2102.59</v>
      </c>
      <c r="H17" s="3219">
        <f>'[2]6-1分表'!C72+'[2]6-1分表'!D72+'[2]6-1分表'!E72+'[2]6-1分表'!F72</f>
        <v>27.03</v>
      </c>
      <c r="I17" s="3219"/>
      <c r="J17" s="3219"/>
      <c r="K17" s="3219"/>
      <c r="L17" s="3219">
        <f>'[2]6-1分表'!K72</f>
        <v>2102.59</v>
      </c>
      <c r="M17" s="3219"/>
      <c r="N17" s="3219"/>
      <c r="O17" s="3219"/>
      <c r="P17" s="3219"/>
      <c r="Q17" s="3219"/>
      <c r="R17" s="3219"/>
      <c r="S17" s="3219"/>
      <c r="T17" s="3219"/>
      <c r="U17" s="3219"/>
      <c r="V17" s="3219"/>
      <c r="W17" s="3219"/>
      <c r="X17" s="3219"/>
      <c r="Y17" s="3219"/>
      <c r="Z17" s="3219"/>
      <c r="AA17" s="3219"/>
      <c r="AB17" s="3219"/>
      <c r="AC17" s="3219"/>
    </row>
    <row r="18" spans="1:29">
      <c r="A18" s="3220" t="s">
        <v>3533</v>
      </c>
      <c r="B18" s="3217"/>
      <c r="C18" s="3217">
        <v>3</v>
      </c>
      <c r="D18" s="3217"/>
      <c r="E18" s="3217">
        <v>13.9</v>
      </c>
      <c r="F18" s="3218">
        <f t="shared" si="0"/>
        <v>2837.0699999999997</v>
      </c>
      <c r="G18" s="3219">
        <f>'[2]6-1分表'!G77+'[2]6-1分表'!I77+'[2]6-1分表'!J77+'[2]6-1分表'!K77+'[2]6-1分表'!L77</f>
        <v>2805.35</v>
      </c>
      <c r="H18" s="3219">
        <f>'[2]6-1分表'!C77+'[2]6-1分表'!D77+'[2]6-1分表'!E77+'[2]6-1分表'!F77</f>
        <v>31.72</v>
      </c>
      <c r="I18" s="3219"/>
      <c r="J18" s="3219"/>
      <c r="K18" s="3219"/>
      <c r="L18" s="3219">
        <f>'[2]6-1分表'!K77</f>
        <v>2805.35</v>
      </c>
      <c r="M18" s="3219"/>
      <c r="N18" s="3219"/>
      <c r="O18" s="3219"/>
      <c r="P18" s="3219"/>
      <c r="Q18" s="3219"/>
      <c r="R18" s="3219"/>
      <c r="S18" s="3219"/>
      <c r="T18" s="3219"/>
      <c r="U18" s="3219"/>
      <c r="V18" s="3219"/>
      <c r="W18" s="3219"/>
      <c r="X18" s="3219"/>
      <c r="Y18" s="3219"/>
      <c r="Z18" s="3219"/>
      <c r="AA18" s="3219"/>
      <c r="AB18" s="3219"/>
      <c r="AC18" s="3219"/>
    </row>
    <row r="19" spans="1:29">
      <c r="A19" s="3220" t="s">
        <v>3534</v>
      </c>
      <c r="B19" s="3217"/>
      <c r="C19" s="3217">
        <v>3</v>
      </c>
      <c r="D19" s="3217"/>
      <c r="E19" s="3217">
        <v>13.9</v>
      </c>
      <c r="F19" s="3218">
        <f t="shared" si="0"/>
        <v>1937.97</v>
      </c>
      <c r="G19" s="3219">
        <f>'[2]6-1分表'!G82+'[2]6-1分表'!I82+'[2]6-1分表'!J82+'[2]6-1分表'!K82+'[2]6-1分表'!L82</f>
        <v>1924.02</v>
      </c>
      <c r="H19" s="3219">
        <f>'[2]6-1分表'!C82+'[2]6-1分表'!D82+'[2]6-1分表'!E82+'[2]6-1分表'!F82</f>
        <v>13.950000000000001</v>
      </c>
      <c r="I19" s="3219"/>
      <c r="J19" s="3219"/>
      <c r="K19" s="3219"/>
      <c r="L19" s="3219">
        <f>'[2]6-1分表'!K82</f>
        <v>1924.02</v>
      </c>
      <c r="M19" s="3219"/>
      <c r="N19" s="3219"/>
      <c r="O19" s="3219"/>
      <c r="P19" s="3219"/>
      <c r="Q19" s="3219"/>
      <c r="R19" s="3219"/>
      <c r="S19" s="3219"/>
      <c r="T19" s="3219"/>
      <c r="U19" s="3219"/>
      <c r="V19" s="3219"/>
      <c r="W19" s="3219"/>
      <c r="X19" s="3219"/>
      <c r="Y19" s="3219"/>
      <c r="Z19" s="3219"/>
      <c r="AA19" s="3219"/>
      <c r="AB19" s="3219"/>
      <c r="AC19" s="3219"/>
    </row>
    <row r="20" spans="1:29">
      <c r="A20" s="3220" t="s">
        <v>3535</v>
      </c>
      <c r="B20" s="3217"/>
      <c r="C20" s="3217">
        <v>3</v>
      </c>
      <c r="D20" s="3217"/>
      <c r="E20" s="3217">
        <v>13.9</v>
      </c>
      <c r="F20" s="3218">
        <f t="shared" si="0"/>
        <v>2072.38</v>
      </c>
      <c r="G20" s="3219">
        <f>'[2]6-1分表'!G87+'[2]6-1分表'!I87+'[2]6-1分表'!J87+'[2]6-1分表'!K87+'[2]6-1分表'!L87</f>
        <v>2056.06</v>
      </c>
      <c r="H20" s="3219">
        <f>'[2]6-1分表'!C87+'[2]6-1分表'!D87+'[2]6-1分表'!E87+'[2]6-1分表'!F87</f>
        <v>16.32</v>
      </c>
      <c r="I20" s="3219"/>
      <c r="J20" s="3219"/>
      <c r="K20" s="3219"/>
      <c r="L20" s="3219">
        <f>'[2]6-1分表'!K87</f>
        <v>2056.06</v>
      </c>
      <c r="M20" s="3219"/>
      <c r="N20" s="3219"/>
      <c r="O20" s="3219"/>
      <c r="P20" s="3219"/>
      <c r="Q20" s="3219"/>
      <c r="R20" s="3219"/>
      <c r="S20" s="3219"/>
      <c r="T20" s="3219"/>
      <c r="U20" s="3219"/>
      <c r="V20" s="3219"/>
      <c r="W20" s="3219"/>
      <c r="X20" s="3219"/>
      <c r="Y20" s="3219"/>
      <c r="Z20" s="3219"/>
      <c r="AA20" s="3219"/>
      <c r="AB20" s="3219"/>
      <c r="AC20" s="3219"/>
    </row>
    <row r="21" spans="1:29">
      <c r="A21" s="3221" t="s">
        <v>3536</v>
      </c>
      <c r="B21" s="3217"/>
      <c r="C21" s="3217">
        <v>3</v>
      </c>
      <c r="D21" s="3217">
        <v>1</v>
      </c>
      <c r="E21" s="3217">
        <v>13.95</v>
      </c>
      <c r="F21" s="3218">
        <f t="shared" si="0"/>
        <v>2649.88</v>
      </c>
      <c r="G21" s="3219">
        <f>'[2]6-1分表'!G93+'[2]6-1分表'!I93+'[2]6-1分表'!J93+'[2]6-1分表'!K93+'[2]6-1分表'!L93</f>
        <v>2481.37</v>
      </c>
      <c r="H21" s="3219">
        <f>'[2]6-1分表'!C93+'[2]6-1分表'!D93+'[2]6-1分表'!E93+'[2]6-1分表'!F93</f>
        <v>168.51</v>
      </c>
      <c r="I21" s="3219"/>
      <c r="J21" s="3219"/>
      <c r="K21" s="3219">
        <f>'[2]6-1分表'!J93</f>
        <v>1899.1000000000001</v>
      </c>
      <c r="L21" s="3219"/>
      <c r="M21" s="3219">
        <f>'[2]6-1分表'!L93</f>
        <v>582.27</v>
      </c>
      <c r="N21" s="3219"/>
      <c r="O21" s="3219"/>
      <c r="P21" s="3219"/>
      <c r="Q21" s="3219"/>
      <c r="R21" s="3219"/>
      <c r="S21" s="3219"/>
      <c r="T21" s="3219"/>
      <c r="U21" s="3219"/>
      <c r="V21" s="3219"/>
      <c r="W21" s="3219"/>
      <c r="X21" s="3219"/>
      <c r="Y21" s="3219"/>
      <c r="Z21" s="3219"/>
      <c r="AA21" s="3219"/>
      <c r="AB21" s="3219"/>
      <c r="AC21" s="3219"/>
    </row>
    <row r="22" spans="1:29">
      <c r="A22" s="3221" t="s">
        <v>3537</v>
      </c>
      <c r="B22" s="3217"/>
      <c r="C22" s="3217">
        <v>4</v>
      </c>
      <c r="D22" s="3217">
        <v>1</v>
      </c>
      <c r="E22" s="3217">
        <v>17.25</v>
      </c>
      <c r="F22" s="3218">
        <f t="shared" si="0"/>
        <v>3565.8</v>
      </c>
      <c r="G22" s="3219">
        <f>'[2]6-1分表'!G100+'[2]6-1分表'!I100+'[2]6-1分表'!J100+'[2]6-1分表'!K100+'[2]6-1分表'!L100</f>
        <v>3386.53</v>
      </c>
      <c r="H22" s="3219">
        <f>'[2]6-1分表'!C100+'[2]6-1分表'!D100+'[2]6-1分表'!E100+'[2]6-1分表'!F100</f>
        <v>179.26999999999998</v>
      </c>
      <c r="I22" s="3219"/>
      <c r="J22" s="3219"/>
      <c r="K22" s="3219">
        <f>'[2]6-1分表'!J100</f>
        <v>2756.4700000000003</v>
      </c>
      <c r="L22" s="3219"/>
      <c r="M22" s="3219">
        <f>'[2]6-1分表'!L100</f>
        <v>394.52</v>
      </c>
      <c r="N22" s="3219"/>
      <c r="O22" s="3219"/>
      <c r="P22" s="3219"/>
      <c r="Q22" s="3219"/>
      <c r="R22" s="3219"/>
      <c r="S22" s="3219"/>
      <c r="T22" s="3219"/>
      <c r="U22" s="3219"/>
      <c r="V22" s="3219"/>
      <c r="W22" s="3219"/>
      <c r="X22" s="3219"/>
      <c r="Y22" s="3219"/>
      <c r="Z22" s="3219"/>
      <c r="AA22" s="3219"/>
      <c r="AB22" s="3219"/>
      <c r="AC22" s="3219"/>
    </row>
    <row r="23" spans="1:29">
      <c r="A23" s="3221" t="s">
        <v>3538</v>
      </c>
      <c r="B23" s="3217"/>
      <c r="C23" s="3217">
        <v>4</v>
      </c>
      <c r="D23" s="3217">
        <v>1</v>
      </c>
      <c r="E23" s="3217">
        <v>17.25</v>
      </c>
      <c r="F23" s="3218">
        <f t="shared" si="0"/>
        <v>3050.3</v>
      </c>
      <c r="G23" s="3219">
        <f>'[2]6-1分表'!G107+'[2]6-1分表'!I107+'[2]6-1分表'!J107+'[2]6-1分表'!K107+'[2]6-1分表'!L107</f>
        <v>2832.56</v>
      </c>
      <c r="H23" s="3219">
        <f>'[2]6-1分表'!C107+'[2]6-1分表'!D107+'[2]6-1分表'!E107+'[2]6-1分表'!F107</f>
        <v>217.74</v>
      </c>
      <c r="I23" s="3219"/>
      <c r="J23" s="3219"/>
      <c r="K23" s="3219">
        <f>'[2]6-1分表'!J107</f>
        <v>2409.9300000000003</v>
      </c>
      <c r="L23" s="3219"/>
      <c r="M23" s="3219">
        <f>'[2]6-1分表'!L107</f>
        <v>370.89</v>
      </c>
      <c r="N23" s="3219"/>
      <c r="O23" s="3219"/>
      <c r="P23" s="3219"/>
      <c r="Q23" s="3219"/>
      <c r="R23" s="3219"/>
      <c r="S23" s="3219"/>
      <c r="T23" s="3219"/>
      <c r="U23" s="3219"/>
      <c r="V23" s="3219"/>
      <c r="W23" s="3219"/>
      <c r="X23" s="3219"/>
      <c r="Y23" s="3219"/>
      <c r="Z23" s="3219"/>
      <c r="AA23" s="3219"/>
      <c r="AB23" s="3219"/>
      <c r="AC23" s="3219"/>
    </row>
    <row r="24" spans="1:29">
      <c r="A24" s="3221" t="s">
        <v>3539</v>
      </c>
      <c r="B24" s="3217"/>
      <c r="C24" s="3217">
        <v>3</v>
      </c>
      <c r="D24" s="3217">
        <v>1</v>
      </c>
      <c r="E24" s="3217">
        <v>13.95</v>
      </c>
      <c r="F24" s="3218">
        <f t="shared" si="0"/>
        <v>2649.88</v>
      </c>
      <c r="G24" s="3219">
        <f>'[2]6-1分表'!H113+'[2]6-1分表'!I113+'[2]6-1分表'!J113+'[2]6-1分表'!K113+'[2]6-1分表'!L113</f>
        <v>2481.37</v>
      </c>
      <c r="H24" s="3219">
        <f>'[2]6-1分表'!C113+'[2]6-1分表'!D113+'[2]6-1分表'!E113+'[2]6-1分表'!F113</f>
        <v>168.51</v>
      </c>
      <c r="I24" s="3219"/>
      <c r="J24" s="3219"/>
      <c r="K24" s="3219">
        <f>'[2]6-1分表'!J113</f>
        <v>1899.1000000000001</v>
      </c>
      <c r="L24" s="3219"/>
      <c r="M24" s="3219">
        <f>'[2]6-1分表'!L113</f>
        <v>564.92999999999995</v>
      </c>
      <c r="N24" s="3219"/>
      <c r="O24" s="3219"/>
      <c r="P24" s="3219"/>
      <c r="Q24" s="3219"/>
      <c r="R24" s="3219"/>
      <c r="S24" s="3219"/>
      <c r="T24" s="3219"/>
      <c r="U24" s="3219"/>
      <c r="V24" s="3219"/>
      <c r="W24" s="3219"/>
      <c r="X24" s="3219"/>
      <c r="Y24" s="3219"/>
      <c r="Z24" s="3219"/>
      <c r="AA24" s="3219"/>
      <c r="AB24" s="3219"/>
      <c r="AC24" s="3219"/>
    </row>
    <row r="25" spans="1:29">
      <c r="A25" s="3216" t="s">
        <v>3540</v>
      </c>
      <c r="B25" s="3217"/>
      <c r="C25" s="3222">
        <v>3</v>
      </c>
      <c r="D25" s="3217">
        <v>1</v>
      </c>
      <c r="E25" s="3217">
        <v>13.95</v>
      </c>
      <c r="F25" s="3218">
        <f t="shared" si="0"/>
        <v>2790.0799999999995</v>
      </c>
      <c r="G25" s="3223">
        <f>SUM(K25:M25)+'[2]6-1分表'!H119</f>
        <v>2534.6099999999997</v>
      </c>
      <c r="H25" s="3219">
        <f>'[2]6-1分表'!C119+'[2]6-1分表'!F119</f>
        <v>255.47</v>
      </c>
      <c r="I25" s="3219"/>
      <c r="J25" s="3219"/>
      <c r="K25" s="3219">
        <f>'[2]6-1分表'!J119</f>
        <v>1913.36</v>
      </c>
      <c r="L25" s="3219"/>
      <c r="M25" s="3219">
        <f>'[2]6-1分表'!L119</f>
        <v>589.88</v>
      </c>
      <c r="N25" s="3219"/>
      <c r="O25" s="3219"/>
      <c r="P25" s="3219"/>
      <c r="Q25" s="3219"/>
      <c r="R25" s="3219"/>
      <c r="S25" s="3219"/>
      <c r="T25" s="3219"/>
      <c r="U25" s="3219"/>
      <c r="V25" s="3219"/>
      <c r="W25" s="3219"/>
      <c r="X25" s="3219"/>
      <c r="Y25" s="3219"/>
      <c r="Z25" s="3219"/>
      <c r="AA25" s="3219"/>
    </row>
    <row r="26" spans="1:29">
      <c r="A26" s="3216" t="s">
        <v>3541</v>
      </c>
      <c r="B26" s="3217"/>
      <c r="C26" s="3217">
        <v>4</v>
      </c>
      <c r="D26" s="3217">
        <v>1</v>
      </c>
      <c r="E26" s="3217">
        <v>17.25</v>
      </c>
      <c r="F26" s="3218">
        <f t="shared" si="0"/>
        <v>2794.3399999999997</v>
      </c>
      <c r="G26" s="3223">
        <f>SUM(K26:M26)</f>
        <v>2577.66</v>
      </c>
      <c r="H26" s="3219">
        <f>'[2]6-1分表'!C126+'[2]6-1分表'!F126</f>
        <v>216.68</v>
      </c>
      <c r="I26" s="3219"/>
      <c r="J26" s="3219"/>
      <c r="K26" s="3219">
        <f>'[2]6-1分表'!J126</f>
        <v>2129.02</v>
      </c>
      <c r="L26" s="3219"/>
      <c r="M26" s="3219">
        <f>'[2]6-1分表'!L126</f>
        <v>448.64</v>
      </c>
      <c r="N26" s="3219"/>
      <c r="O26" s="3219"/>
      <c r="P26" s="3219"/>
      <c r="Q26" s="3219"/>
      <c r="R26" s="3219"/>
      <c r="S26" s="3219"/>
      <c r="T26" s="3219"/>
      <c r="U26" s="3219"/>
      <c r="V26" s="3219"/>
      <c r="W26" s="3219"/>
      <c r="X26" s="3219"/>
      <c r="Y26" s="3219"/>
      <c r="Z26" s="3219"/>
      <c r="AA26" s="3219"/>
    </row>
    <row r="27" spans="1:29">
      <c r="A27" s="3216" t="s">
        <v>3542</v>
      </c>
      <c r="B27" s="3217"/>
      <c r="C27" s="3217">
        <v>4</v>
      </c>
      <c r="D27" s="3217">
        <v>1</v>
      </c>
      <c r="E27" s="3217">
        <f>E26</f>
        <v>17.25</v>
      </c>
      <c r="F27" s="3218">
        <f t="shared" si="0"/>
        <v>2809.42</v>
      </c>
      <c r="G27" s="3223">
        <f>SUM(K27:M27)+'[2]6-1分表'!I133</f>
        <v>2559.9299999999998</v>
      </c>
      <c r="H27" s="3219">
        <f>'[2]6-1分表'!C133+'[2]6-1分表'!F133</f>
        <v>249.49</v>
      </c>
      <c r="I27" s="3219"/>
      <c r="J27" s="3219"/>
      <c r="K27" s="3219">
        <f>'[2]6-1分表'!J133</f>
        <v>2137.21</v>
      </c>
      <c r="L27" s="3219"/>
      <c r="M27" s="3219">
        <f>'[2]6-1分表'!L133</f>
        <v>382.91</v>
      </c>
      <c r="N27" s="3219"/>
      <c r="O27" s="3219"/>
      <c r="P27" s="3219"/>
      <c r="Q27" s="3219"/>
      <c r="R27" s="3219"/>
      <c r="S27" s="3219"/>
      <c r="T27" s="3219"/>
      <c r="U27" s="3219"/>
      <c r="V27" s="3219"/>
      <c r="W27" s="3219"/>
      <c r="X27" s="3219"/>
      <c r="Y27" s="3219"/>
      <c r="Z27" s="3219"/>
      <c r="AA27" s="3219"/>
    </row>
    <row r="28" spans="1:29">
      <c r="A28" s="3216" t="s">
        <v>3543</v>
      </c>
      <c r="B28" s="3217"/>
      <c r="C28" s="3217">
        <v>3</v>
      </c>
      <c r="D28" s="3217">
        <v>1</v>
      </c>
      <c r="E28" s="3217">
        <f>E25</f>
        <v>13.95</v>
      </c>
      <c r="F28" s="3218">
        <f t="shared" si="0"/>
        <v>2790.1099999999997</v>
      </c>
      <c r="G28" s="3223">
        <f>SUM(K28:M28)</f>
        <v>2534.7199999999998</v>
      </c>
      <c r="H28" s="3219">
        <f>'[2]6-1分表'!C139+'[2]6-1分表'!F139</f>
        <v>255.39000000000001</v>
      </c>
      <c r="I28" s="3219"/>
      <c r="J28" s="3219"/>
      <c r="K28" s="3219">
        <f>'[2]6-1分表'!J139</f>
        <v>1913.36</v>
      </c>
      <c r="L28" s="3219"/>
      <c r="M28" s="3219">
        <f>'[2]6-1分表'!L139</f>
        <v>621.36</v>
      </c>
      <c r="N28" s="3219"/>
      <c r="O28" s="3219"/>
      <c r="P28" s="3219"/>
      <c r="Q28" s="3219"/>
      <c r="R28" s="3219"/>
      <c r="S28" s="3219"/>
      <c r="T28" s="3219"/>
      <c r="U28" s="3219"/>
      <c r="V28" s="3219"/>
      <c r="W28" s="3219"/>
      <c r="X28" s="3219"/>
      <c r="Y28" s="3219"/>
      <c r="Z28" s="3219"/>
      <c r="AA28" s="3219"/>
    </row>
    <row r="29" spans="1:29">
      <c r="A29" s="3224" t="s">
        <v>3544</v>
      </c>
      <c r="B29" s="3217"/>
      <c r="C29" s="3217">
        <v>3</v>
      </c>
      <c r="D29" s="3217">
        <v>1</v>
      </c>
      <c r="E29" s="3217">
        <v>16.914000000000001</v>
      </c>
      <c r="F29" s="3218">
        <f t="shared" si="0"/>
        <v>6952.9099999999989</v>
      </c>
      <c r="G29" s="3223">
        <f>SUM(K29:M29)</f>
        <v>6757.2899999999991</v>
      </c>
      <c r="H29" s="3219">
        <f>'[2]6-1分表'!C144+'[2]6-1分表'!F144</f>
        <v>195.62</v>
      </c>
      <c r="I29" s="3219"/>
      <c r="J29" s="3219"/>
      <c r="K29" s="3219">
        <f>'[2]6-1分表'!J144</f>
        <v>6757.2899999999991</v>
      </c>
      <c r="L29" s="3219"/>
      <c r="M29" s="3219"/>
      <c r="N29" s="3219"/>
      <c r="O29" s="3219"/>
      <c r="P29" s="3219"/>
      <c r="Q29" s="3219"/>
      <c r="R29" s="3219"/>
      <c r="S29" s="3219"/>
      <c r="T29" s="3219"/>
      <c r="U29" s="3219"/>
      <c r="V29" s="3219"/>
      <c r="W29" s="3219"/>
      <c r="X29" s="3219"/>
      <c r="Y29" s="3219"/>
      <c r="Z29" s="3219"/>
      <c r="AA29" s="3219"/>
    </row>
    <row r="30" spans="1:29">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c r="AA30" s="3219"/>
    </row>
    <row r="31" spans="1:29">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c r="AA31" s="3219"/>
    </row>
    <row r="32" spans="1:29">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c r="AA32" s="3219"/>
    </row>
    <row r="33" spans="1:29" hidden="1">
      <c r="A33" s="3224" t="s">
        <v>3545</v>
      </c>
      <c r="B33" s="3217"/>
      <c r="C33" s="3217"/>
      <c r="D33" s="3217"/>
      <c r="E33" s="3217"/>
      <c r="F33" s="3218">
        <f>G33+H33+I33</f>
        <v>0</v>
      </c>
      <c r="G33" s="3219">
        <v>0</v>
      </c>
      <c r="H33" s="3219">
        <v>0</v>
      </c>
      <c r="I33" s="3219">
        <v>0</v>
      </c>
      <c r="J33" s="3219"/>
      <c r="K33" s="3219">
        <v>0</v>
      </c>
      <c r="L33" s="3219"/>
      <c r="M33" s="3219">
        <v>0</v>
      </c>
      <c r="N33" s="3219"/>
      <c r="O33" s="3219"/>
      <c r="P33" s="3219"/>
      <c r="Q33" s="3219"/>
      <c r="R33" s="3219"/>
      <c r="S33" s="3219"/>
      <c r="T33" s="3219"/>
      <c r="U33" s="3219"/>
      <c r="V33" s="3219"/>
      <c r="W33" s="3219"/>
      <c r="X33" s="3219"/>
      <c r="Y33" s="3219"/>
      <c r="Z33" s="3219"/>
      <c r="AA33" s="3219"/>
    </row>
    <row r="34" spans="1:29" hidden="1">
      <c r="A34" s="3225" t="s">
        <v>3546</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c r="AA34" s="3219"/>
    </row>
    <row r="35" spans="1:29">
      <c r="A35" s="3981"/>
      <c r="B35" s="3982"/>
      <c r="C35" s="3982"/>
      <c r="D35" s="3982"/>
      <c r="E35" s="3982"/>
      <c r="F35" s="3982"/>
      <c r="G35" s="3982"/>
      <c r="H35" s="3982"/>
      <c r="I35" s="3982"/>
      <c r="J35" s="3982"/>
      <c r="K35" s="3982"/>
      <c r="L35" s="3982"/>
      <c r="M35" s="3982"/>
      <c r="N35" s="3982"/>
      <c r="O35" s="3982"/>
      <c r="P35" s="3982"/>
      <c r="Q35" s="3982"/>
      <c r="R35" s="3982"/>
      <c r="S35" s="3982"/>
      <c r="T35" s="3982"/>
      <c r="U35" s="3982"/>
      <c r="V35" s="3982"/>
      <c r="W35" s="3982"/>
      <c r="X35" s="3982"/>
      <c r="Y35" s="3982"/>
      <c r="Z35" s="3982"/>
      <c r="AA35" s="3983"/>
    </row>
    <row r="36" spans="1:29">
      <c r="A36" s="3224" t="s">
        <v>3547</v>
      </c>
      <c r="B36" s="3224"/>
      <c r="C36" s="3224"/>
      <c r="D36" s="3224">
        <v>1</v>
      </c>
      <c r="E36" s="3224"/>
      <c r="F36" s="3224"/>
      <c r="G36" s="3224"/>
      <c r="H36" s="3224"/>
      <c r="I36" s="3224"/>
      <c r="J36" s="3224"/>
      <c r="K36" s="3224"/>
      <c r="L36" s="3224"/>
      <c r="M36" s="3224"/>
      <c r="N36" s="3221">
        <v>20830.66</v>
      </c>
      <c r="O36" s="3221">
        <v>910.23</v>
      </c>
      <c r="P36" s="3221">
        <v>1523.89</v>
      </c>
      <c r="Q36" s="3221">
        <v>1074.45</v>
      </c>
      <c r="R36" s="3221"/>
      <c r="S36" s="3221">
        <v>76.02</v>
      </c>
      <c r="T36" s="3221">
        <v>232.78</v>
      </c>
      <c r="U36" s="3221">
        <v>92.54</v>
      </c>
      <c r="V36" s="3221"/>
      <c r="W36" s="3221"/>
      <c r="X36" s="3221"/>
      <c r="Y36" s="3221"/>
      <c r="Z36" s="3221"/>
      <c r="AA36" s="3221"/>
      <c r="AC36" s="3210">
        <f>N36+O36+P36+Q36+S36+T36+U36</f>
        <v>24740.57</v>
      </c>
    </row>
    <row r="37" spans="1:29">
      <c r="A37" s="3224" t="s">
        <v>3548</v>
      </c>
      <c r="B37" s="3217"/>
      <c r="C37" s="3217"/>
      <c r="D37" s="3226">
        <v>1</v>
      </c>
      <c r="E37" s="3217"/>
      <c r="F37" s="3218"/>
      <c r="G37" s="3219"/>
      <c r="H37" s="3219"/>
      <c r="I37" s="3219"/>
      <c r="J37" s="3227"/>
      <c r="K37" s="3219"/>
      <c r="L37" s="3219"/>
      <c r="M37" s="3219"/>
      <c r="N37" s="3228">
        <v>2646.09</v>
      </c>
      <c r="O37" s="3219"/>
      <c r="P37" s="3229">
        <v>704.43</v>
      </c>
      <c r="Q37" s="3229"/>
      <c r="R37" s="3229"/>
      <c r="S37" s="3229"/>
      <c r="T37" s="3229"/>
      <c r="U37" s="3229"/>
      <c r="V37" s="3229"/>
      <c r="W37" s="3229"/>
      <c r="X37" s="3229"/>
      <c r="Y37" s="3229"/>
      <c r="Z37" s="3229"/>
      <c r="AA37" s="3229"/>
      <c r="AB37" s="3229"/>
    </row>
    <row r="38" spans="1:29">
      <c r="A38" s="3224" t="s">
        <v>3549</v>
      </c>
      <c r="B38" s="3217"/>
      <c r="C38" s="3217"/>
      <c r="D38" s="3226">
        <v>1</v>
      </c>
      <c r="E38" s="3217"/>
      <c r="F38" s="3218"/>
      <c r="G38" s="3219"/>
      <c r="H38" s="3219"/>
      <c r="I38" s="3219"/>
      <c r="J38" s="3227"/>
      <c r="K38" s="3219"/>
      <c r="L38" s="3219"/>
      <c r="M38" s="3219"/>
      <c r="N38" s="3228">
        <v>8596.2199999999993</v>
      </c>
      <c r="O38" s="3219"/>
      <c r="P38" s="3229">
        <v>358.87</v>
      </c>
      <c r="Q38" s="3229"/>
      <c r="R38" s="3229">
        <v>6284</v>
      </c>
      <c r="S38" s="3229"/>
      <c r="T38" s="3229"/>
      <c r="U38" s="3229">
        <v>51.86</v>
      </c>
      <c r="V38" s="3229"/>
      <c r="W38" s="3229"/>
      <c r="X38" s="3229"/>
      <c r="Y38" s="3229"/>
      <c r="Z38" s="3229"/>
      <c r="AA38" s="3229"/>
      <c r="AB38" s="3229"/>
    </row>
    <row r="39" spans="1:29">
      <c r="A39" s="3224" t="s">
        <v>3550</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c r="AA39" s="3219"/>
    </row>
    <row r="40" spans="1:29">
      <c r="A40" s="3224" t="s">
        <v>3551</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c r="AA40" s="3219"/>
    </row>
    <row r="41" spans="1:29">
      <c r="A41" s="3224" t="s">
        <v>3552</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c r="AA41" s="3219"/>
    </row>
    <row r="42" spans="1:29" ht="27">
      <c r="A42" s="3224" t="s">
        <v>3553</v>
      </c>
      <c r="B42" s="3226"/>
      <c r="C42" s="3226"/>
      <c r="D42" s="3217"/>
      <c r="E42" s="3217"/>
      <c r="F42" s="3218"/>
      <c r="G42" s="3219"/>
      <c r="H42" s="3219"/>
      <c r="I42" s="3219"/>
      <c r="J42" s="3219"/>
      <c r="K42" s="3219"/>
      <c r="L42" s="3219"/>
      <c r="M42" s="3219"/>
      <c r="N42" s="3219"/>
      <c r="O42" s="3219"/>
      <c r="P42" s="3219"/>
      <c r="Q42" s="3219"/>
      <c r="R42" s="3219"/>
      <c r="S42" s="3219"/>
      <c r="T42" s="3219"/>
      <c r="U42" s="3219"/>
      <c r="V42" s="3219"/>
      <c r="W42" s="3219"/>
      <c r="X42" s="3219"/>
      <c r="Y42" s="3219"/>
      <c r="Z42" s="3219"/>
      <c r="AA42" s="3219"/>
    </row>
    <row r="43" spans="1:29">
      <c r="A43" s="3224"/>
      <c r="B43" s="3219"/>
      <c r="C43" s="3219"/>
      <c r="D43" s="3219"/>
      <c r="E43" s="3219"/>
      <c r="F43" s="3219"/>
      <c r="G43" s="3219"/>
      <c r="H43" s="3219"/>
      <c r="I43" s="3219"/>
      <c r="J43" s="3219"/>
      <c r="K43" s="3219"/>
      <c r="L43" s="3219"/>
      <c r="M43" s="3219"/>
      <c r="N43" s="3219"/>
      <c r="O43" s="3219"/>
      <c r="P43" s="3219"/>
      <c r="Q43" s="3219"/>
      <c r="R43" s="3219"/>
      <c r="S43" s="3219"/>
      <c r="T43" s="3219"/>
      <c r="U43" s="3219"/>
      <c r="V43" s="3219"/>
      <c r="W43" s="3219"/>
      <c r="X43" s="3219"/>
      <c r="Y43" s="3219"/>
      <c r="Z43" s="3219"/>
      <c r="AA43" s="3219"/>
    </row>
    <row r="44" spans="1:29">
      <c r="A44" s="3230" t="s">
        <v>24</v>
      </c>
      <c r="B44" s="3230"/>
      <c r="C44" s="3230"/>
      <c r="D44" s="3230"/>
      <c r="E44" s="3230"/>
      <c r="F44" s="3230">
        <f>SUM(F3:F43)</f>
        <v>81601.719999999987</v>
      </c>
      <c r="G44" s="3230">
        <f>SUM(G3:G43)</f>
        <v>79000.50999999998</v>
      </c>
      <c r="H44" s="3230">
        <f t="shared" ref="H44:AA44" si="1">SUM(H3:H43)</f>
        <v>2601.2099999999996</v>
      </c>
      <c r="I44" s="3230">
        <f t="shared" si="1"/>
        <v>0</v>
      </c>
      <c r="J44" s="3230">
        <f t="shared" si="1"/>
        <v>0</v>
      </c>
      <c r="K44" s="3230">
        <f t="shared" si="1"/>
        <v>23814.840000000004</v>
      </c>
      <c r="L44" s="3230">
        <f t="shared" si="1"/>
        <v>45690.69</v>
      </c>
      <c r="M44" s="3230">
        <f>SUM(M3:M43)</f>
        <v>9119.1800000000039</v>
      </c>
      <c r="N44" s="3230">
        <f>SUM(N3:N43)</f>
        <v>32072.97</v>
      </c>
      <c r="O44" s="3230">
        <f t="shared" si="1"/>
        <v>910.23</v>
      </c>
      <c r="P44" s="3230">
        <f t="shared" si="1"/>
        <v>2587.19</v>
      </c>
      <c r="Q44" s="3230">
        <f t="shared" si="1"/>
        <v>1074.45</v>
      </c>
      <c r="R44" s="3230">
        <f t="shared" si="1"/>
        <v>6284</v>
      </c>
      <c r="S44" s="3230">
        <f t="shared" si="1"/>
        <v>76.02</v>
      </c>
      <c r="T44" s="3230">
        <f t="shared" si="1"/>
        <v>232.78</v>
      </c>
      <c r="U44" s="3230">
        <f t="shared" si="1"/>
        <v>144.4</v>
      </c>
      <c r="V44" s="3230">
        <f t="shared" si="1"/>
        <v>0</v>
      </c>
      <c r="W44" s="3230">
        <f t="shared" si="1"/>
        <v>0</v>
      </c>
      <c r="X44" s="3230">
        <f t="shared" si="1"/>
        <v>0</v>
      </c>
      <c r="Y44" s="3230">
        <f t="shared" si="1"/>
        <v>0</v>
      </c>
      <c r="Z44" s="3230">
        <f t="shared" si="1"/>
        <v>0</v>
      </c>
      <c r="AA44" s="3230">
        <f t="shared" si="1"/>
        <v>0</v>
      </c>
    </row>
    <row r="45" spans="1:29" ht="21" hidden="1" customHeight="1"/>
    <row r="46" spans="1:29" hidden="1">
      <c r="F46" s="3210" t="e">
        <f>G48+#REF!</f>
        <v>#REF!</v>
      </c>
      <c r="G46" s="3210">
        <f>G44+275</f>
        <v>79275.50999999998</v>
      </c>
    </row>
    <row r="47" spans="1:29" hidden="1">
      <c r="G47" s="3210">
        <f>G46+I44</f>
        <v>79275.50999999998</v>
      </c>
    </row>
    <row r="48" spans="1:29" hidden="1">
      <c r="G48" s="3210">
        <f>G46+H44</f>
        <v>81876.719999999987</v>
      </c>
    </row>
    <row r="49" spans="7:26" hidden="1">
      <c r="T49" s="3210" t="e">
        <f>#REF!+#REF!+#REF!+#REF!+#REF!+#REF!+#REF!+#REF!+#REF!+#REF!</f>
        <v>#REF!</v>
      </c>
    </row>
    <row r="50" spans="7:26" hidden="1">
      <c r="W50" s="3210" t="e">
        <f>#REF!+#REF!</f>
        <v>#REF!</v>
      </c>
      <c r="X50" s="3210">
        <v>244.02</v>
      </c>
      <c r="Y50" s="3210" t="e">
        <f>X50-W50</f>
        <v>#REF!</v>
      </c>
      <c r="Z50" s="3210" t="e">
        <f>#REF!+Y50</f>
        <v>#REF!</v>
      </c>
    </row>
    <row r="51" spans="7:26" hidden="1"/>
    <row r="52" spans="7:26">
      <c r="G52" s="3231"/>
    </row>
  </sheetData>
  <mergeCells count="13">
    <mergeCell ref="A35:AA35"/>
    <mergeCell ref="H1:H2"/>
    <mergeCell ref="I1:I2"/>
    <mergeCell ref="J1:J2"/>
    <mergeCell ref="K1:K2"/>
    <mergeCell ref="M1:M2"/>
    <mergeCell ref="N1:AA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2:N122"/>
  <sheetViews>
    <sheetView workbookViewId="0">
      <selection activeCell="H43" sqref="H43"/>
    </sheetView>
  </sheetViews>
  <sheetFormatPr defaultRowHeight="13.5"/>
  <cols>
    <col min="1" max="1" width="13" style="3232" bestFit="1" customWidth="1"/>
    <col min="2" max="2" width="33.875" style="3232" bestFit="1" customWidth="1"/>
    <col min="3" max="3" width="7.125" style="3232" bestFit="1" customWidth="1"/>
    <col min="4" max="4" width="4.5" style="3232" bestFit="1" customWidth="1"/>
    <col min="5" max="5" width="3.625" style="3232" customWidth="1"/>
    <col min="6" max="6" width="5.25" style="3232" bestFit="1" customWidth="1"/>
    <col min="7" max="7" width="7" style="3232" customWidth="1"/>
    <col min="8" max="8" width="12.625" style="3232" bestFit="1" customWidth="1"/>
    <col min="9" max="9" width="3.5" style="3232" customWidth="1"/>
    <col min="10" max="10" width="5.5" style="3232" customWidth="1"/>
    <col min="11" max="11" width="3.5" style="3232" customWidth="1"/>
    <col min="12" max="12" width="4" style="3232" customWidth="1"/>
    <col min="13" max="13" width="4.375" style="3232" customWidth="1"/>
    <col min="14" max="14" width="5" style="3232" customWidth="1"/>
    <col min="15" max="15" width="4.875" style="3232" customWidth="1"/>
    <col min="16" max="16" width="5" style="3232" customWidth="1"/>
    <col min="17" max="17" width="6.125" style="3232" customWidth="1"/>
    <col min="18" max="18" width="2.875" style="3232" customWidth="1"/>
    <col min="19" max="19" width="16.5" style="3232" customWidth="1"/>
    <col min="20" max="20" width="31.25" style="3232" customWidth="1"/>
    <col min="21" max="256" width="9" style="3232"/>
    <col min="257" max="257" width="13" style="3232" bestFit="1" customWidth="1"/>
    <col min="258" max="258" width="33.875" style="3232" bestFit="1" customWidth="1"/>
    <col min="259" max="259" width="7.125" style="3232" bestFit="1" customWidth="1"/>
    <col min="260" max="260" width="4.5" style="3232" bestFit="1" customWidth="1"/>
    <col min="261" max="261" width="3.625" style="3232" customWidth="1"/>
    <col min="262" max="262" width="5.25" style="3232" bestFit="1" customWidth="1"/>
    <col min="263" max="263" width="7" style="3232" customWidth="1"/>
    <col min="264" max="264" width="12.625" style="3232" bestFit="1" customWidth="1"/>
    <col min="265" max="265" width="3.5" style="3232" customWidth="1"/>
    <col min="266" max="266" width="5.5" style="3232" customWidth="1"/>
    <col min="267" max="267" width="3.5" style="3232" customWidth="1"/>
    <col min="268" max="268" width="4" style="3232" customWidth="1"/>
    <col min="269" max="269" width="4.375" style="3232" customWidth="1"/>
    <col min="270" max="270" width="5" style="3232" customWidth="1"/>
    <col min="271" max="271" width="4.875" style="3232" customWidth="1"/>
    <col min="272" max="272" width="5" style="3232" customWidth="1"/>
    <col min="273" max="273" width="6.125" style="3232" customWidth="1"/>
    <col min="274" max="274" width="2.875" style="3232" customWidth="1"/>
    <col min="275" max="275" width="16.5" style="3232" customWidth="1"/>
    <col min="276" max="276" width="31.25" style="3232" customWidth="1"/>
    <col min="277" max="512" width="9" style="3232"/>
    <col min="513" max="513" width="13" style="3232" bestFit="1" customWidth="1"/>
    <col min="514" max="514" width="33.875" style="3232" bestFit="1" customWidth="1"/>
    <col min="515" max="515" width="7.125" style="3232" bestFit="1" customWidth="1"/>
    <col min="516" max="516" width="4.5" style="3232" bestFit="1" customWidth="1"/>
    <col min="517" max="517" width="3.625" style="3232" customWidth="1"/>
    <col min="518" max="518" width="5.25" style="3232" bestFit="1" customWidth="1"/>
    <col min="519" max="519" width="7" style="3232" customWidth="1"/>
    <col min="520" max="520" width="12.625" style="3232" bestFit="1" customWidth="1"/>
    <col min="521" max="521" width="3.5" style="3232" customWidth="1"/>
    <col min="522" max="522" width="5.5" style="3232" customWidth="1"/>
    <col min="523" max="523" width="3.5" style="3232" customWidth="1"/>
    <col min="524" max="524" width="4" style="3232" customWidth="1"/>
    <col min="525" max="525" width="4.375" style="3232" customWidth="1"/>
    <col min="526" max="526" width="5" style="3232" customWidth="1"/>
    <col min="527" max="527" width="4.875" style="3232" customWidth="1"/>
    <col min="528" max="528" width="5" style="3232" customWidth="1"/>
    <col min="529" max="529" width="6.125" style="3232" customWidth="1"/>
    <col min="530" max="530" width="2.875" style="3232" customWidth="1"/>
    <col min="531" max="531" width="16.5" style="3232" customWidth="1"/>
    <col min="532" max="532" width="31.25" style="3232" customWidth="1"/>
    <col min="533" max="768" width="9" style="3232"/>
    <col min="769" max="769" width="13" style="3232" bestFit="1" customWidth="1"/>
    <col min="770" max="770" width="33.875" style="3232" bestFit="1" customWidth="1"/>
    <col min="771" max="771" width="7.125" style="3232" bestFit="1" customWidth="1"/>
    <col min="772" max="772" width="4.5" style="3232" bestFit="1" customWidth="1"/>
    <col min="773" max="773" width="3.625" style="3232" customWidth="1"/>
    <col min="774" max="774" width="5.25" style="3232" bestFit="1" customWidth="1"/>
    <col min="775" max="775" width="7" style="3232" customWidth="1"/>
    <col min="776" max="776" width="12.625" style="3232" bestFit="1" customWidth="1"/>
    <col min="777" max="777" width="3.5" style="3232" customWidth="1"/>
    <col min="778" max="778" width="5.5" style="3232" customWidth="1"/>
    <col min="779" max="779" width="3.5" style="3232" customWidth="1"/>
    <col min="780" max="780" width="4" style="3232" customWidth="1"/>
    <col min="781" max="781" width="4.375" style="3232" customWidth="1"/>
    <col min="782" max="782" width="5" style="3232" customWidth="1"/>
    <col min="783" max="783" width="4.875" style="3232" customWidth="1"/>
    <col min="784" max="784" width="5" style="3232" customWidth="1"/>
    <col min="785" max="785" width="6.125" style="3232" customWidth="1"/>
    <col min="786" max="786" width="2.875" style="3232" customWidth="1"/>
    <col min="787" max="787" width="16.5" style="3232" customWidth="1"/>
    <col min="788" max="788" width="31.25" style="3232" customWidth="1"/>
    <col min="789" max="1024" width="9" style="3232"/>
    <col min="1025" max="1025" width="13" style="3232" bestFit="1" customWidth="1"/>
    <col min="1026" max="1026" width="33.875" style="3232" bestFit="1" customWidth="1"/>
    <col min="1027" max="1027" width="7.125" style="3232" bestFit="1" customWidth="1"/>
    <col min="1028" max="1028" width="4.5" style="3232" bestFit="1" customWidth="1"/>
    <col min="1029" max="1029" width="3.625" style="3232" customWidth="1"/>
    <col min="1030" max="1030" width="5.25" style="3232" bestFit="1" customWidth="1"/>
    <col min="1031" max="1031" width="7" style="3232" customWidth="1"/>
    <col min="1032" max="1032" width="12.625" style="3232" bestFit="1" customWidth="1"/>
    <col min="1033" max="1033" width="3.5" style="3232" customWidth="1"/>
    <col min="1034" max="1034" width="5.5" style="3232" customWidth="1"/>
    <col min="1035" max="1035" width="3.5" style="3232" customWidth="1"/>
    <col min="1036" max="1036" width="4" style="3232" customWidth="1"/>
    <col min="1037" max="1037" width="4.375" style="3232" customWidth="1"/>
    <col min="1038" max="1038" width="5" style="3232" customWidth="1"/>
    <col min="1039" max="1039" width="4.875" style="3232" customWidth="1"/>
    <col min="1040" max="1040" width="5" style="3232" customWidth="1"/>
    <col min="1041" max="1041" width="6.125" style="3232" customWidth="1"/>
    <col min="1042" max="1042" width="2.875" style="3232" customWidth="1"/>
    <col min="1043" max="1043" width="16.5" style="3232" customWidth="1"/>
    <col min="1044" max="1044" width="31.25" style="3232" customWidth="1"/>
    <col min="1045" max="1280" width="9" style="3232"/>
    <col min="1281" max="1281" width="13" style="3232" bestFit="1" customWidth="1"/>
    <col min="1282" max="1282" width="33.875" style="3232" bestFit="1" customWidth="1"/>
    <col min="1283" max="1283" width="7.125" style="3232" bestFit="1" customWidth="1"/>
    <col min="1284" max="1284" width="4.5" style="3232" bestFit="1" customWidth="1"/>
    <col min="1285" max="1285" width="3.625" style="3232" customWidth="1"/>
    <col min="1286" max="1286" width="5.25" style="3232" bestFit="1" customWidth="1"/>
    <col min="1287" max="1287" width="7" style="3232" customWidth="1"/>
    <col min="1288" max="1288" width="12.625" style="3232" bestFit="1" customWidth="1"/>
    <col min="1289" max="1289" width="3.5" style="3232" customWidth="1"/>
    <col min="1290" max="1290" width="5.5" style="3232" customWidth="1"/>
    <col min="1291" max="1291" width="3.5" style="3232" customWidth="1"/>
    <col min="1292" max="1292" width="4" style="3232" customWidth="1"/>
    <col min="1293" max="1293" width="4.375" style="3232" customWidth="1"/>
    <col min="1294" max="1294" width="5" style="3232" customWidth="1"/>
    <col min="1295" max="1295" width="4.875" style="3232" customWidth="1"/>
    <col min="1296" max="1296" width="5" style="3232" customWidth="1"/>
    <col min="1297" max="1297" width="6.125" style="3232" customWidth="1"/>
    <col min="1298" max="1298" width="2.875" style="3232" customWidth="1"/>
    <col min="1299" max="1299" width="16.5" style="3232" customWidth="1"/>
    <col min="1300" max="1300" width="31.25" style="3232" customWidth="1"/>
    <col min="1301" max="1536" width="9" style="3232"/>
    <col min="1537" max="1537" width="13" style="3232" bestFit="1" customWidth="1"/>
    <col min="1538" max="1538" width="33.875" style="3232" bestFit="1" customWidth="1"/>
    <col min="1539" max="1539" width="7.125" style="3232" bestFit="1" customWidth="1"/>
    <col min="1540" max="1540" width="4.5" style="3232" bestFit="1" customWidth="1"/>
    <col min="1541" max="1541" width="3.625" style="3232" customWidth="1"/>
    <col min="1542" max="1542" width="5.25" style="3232" bestFit="1" customWidth="1"/>
    <col min="1543" max="1543" width="7" style="3232" customWidth="1"/>
    <col min="1544" max="1544" width="12.625" style="3232" bestFit="1" customWidth="1"/>
    <col min="1545" max="1545" width="3.5" style="3232" customWidth="1"/>
    <col min="1546" max="1546" width="5.5" style="3232" customWidth="1"/>
    <col min="1547" max="1547" width="3.5" style="3232" customWidth="1"/>
    <col min="1548" max="1548" width="4" style="3232" customWidth="1"/>
    <col min="1549" max="1549" width="4.375" style="3232" customWidth="1"/>
    <col min="1550" max="1550" width="5" style="3232" customWidth="1"/>
    <col min="1551" max="1551" width="4.875" style="3232" customWidth="1"/>
    <col min="1552" max="1552" width="5" style="3232" customWidth="1"/>
    <col min="1553" max="1553" width="6.125" style="3232" customWidth="1"/>
    <col min="1554" max="1554" width="2.875" style="3232" customWidth="1"/>
    <col min="1555" max="1555" width="16.5" style="3232" customWidth="1"/>
    <col min="1556" max="1556" width="31.25" style="3232" customWidth="1"/>
    <col min="1557" max="1792" width="9" style="3232"/>
    <col min="1793" max="1793" width="13" style="3232" bestFit="1" customWidth="1"/>
    <col min="1794" max="1794" width="33.875" style="3232" bestFit="1" customWidth="1"/>
    <col min="1795" max="1795" width="7.125" style="3232" bestFit="1" customWidth="1"/>
    <col min="1796" max="1796" width="4.5" style="3232" bestFit="1" customWidth="1"/>
    <col min="1797" max="1797" width="3.625" style="3232" customWidth="1"/>
    <col min="1798" max="1798" width="5.25" style="3232" bestFit="1" customWidth="1"/>
    <col min="1799" max="1799" width="7" style="3232" customWidth="1"/>
    <col min="1800" max="1800" width="12.625" style="3232" bestFit="1" customWidth="1"/>
    <col min="1801" max="1801" width="3.5" style="3232" customWidth="1"/>
    <col min="1802" max="1802" width="5.5" style="3232" customWidth="1"/>
    <col min="1803" max="1803" width="3.5" style="3232" customWidth="1"/>
    <col min="1804" max="1804" width="4" style="3232" customWidth="1"/>
    <col min="1805" max="1805" width="4.375" style="3232" customWidth="1"/>
    <col min="1806" max="1806" width="5" style="3232" customWidth="1"/>
    <col min="1807" max="1807" width="4.875" style="3232" customWidth="1"/>
    <col min="1808" max="1808" width="5" style="3232" customWidth="1"/>
    <col min="1809" max="1809" width="6.125" style="3232" customWidth="1"/>
    <col min="1810" max="1810" width="2.875" style="3232" customWidth="1"/>
    <col min="1811" max="1811" width="16.5" style="3232" customWidth="1"/>
    <col min="1812" max="1812" width="31.25" style="3232" customWidth="1"/>
    <col min="1813" max="2048" width="9" style="3232"/>
    <col min="2049" max="2049" width="13" style="3232" bestFit="1" customWidth="1"/>
    <col min="2050" max="2050" width="33.875" style="3232" bestFit="1" customWidth="1"/>
    <col min="2051" max="2051" width="7.125" style="3232" bestFit="1" customWidth="1"/>
    <col min="2052" max="2052" width="4.5" style="3232" bestFit="1" customWidth="1"/>
    <col min="2053" max="2053" width="3.625" style="3232" customWidth="1"/>
    <col min="2054" max="2054" width="5.25" style="3232" bestFit="1" customWidth="1"/>
    <col min="2055" max="2055" width="7" style="3232" customWidth="1"/>
    <col min="2056" max="2056" width="12.625" style="3232" bestFit="1" customWidth="1"/>
    <col min="2057" max="2057" width="3.5" style="3232" customWidth="1"/>
    <col min="2058" max="2058" width="5.5" style="3232" customWidth="1"/>
    <col min="2059" max="2059" width="3.5" style="3232" customWidth="1"/>
    <col min="2060" max="2060" width="4" style="3232" customWidth="1"/>
    <col min="2061" max="2061" width="4.375" style="3232" customWidth="1"/>
    <col min="2062" max="2062" width="5" style="3232" customWidth="1"/>
    <col min="2063" max="2063" width="4.875" style="3232" customWidth="1"/>
    <col min="2064" max="2064" width="5" style="3232" customWidth="1"/>
    <col min="2065" max="2065" width="6.125" style="3232" customWidth="1"/>
    <col min="2066" max="2066" width="2.875" style="3232" customWidth="1"/>
    <col min="2067" max="2067" width="16.5" style="3232" customWidth="1"/>
    <col min="2068" max="2068" width="31.25" style="3232" customWidth="1"/>
    <col min="2069" max="2304" width="9" style="3232"/>
    <col min="2305" max="2305" width="13" style="3232" bestFit="1" customWidth="1"/>
    <col min="2306" max="2306" width="33.875" style="3232" bestFit="1" customWidth="1"/>
    <col min="2307" max="2307" width="7.125" style="3232" bestFit="1" customWidth="1"/>
    <col min="2308" max="2308" width="4.5" style="3232" bestFit="1" customWidth="1"/>
    <col min="2309" max="2309" width="3.625" style="3232" customWidth="1"/>
    <col min="2310" max="2310" width="5.25" style="3232" bestFit="1" customWidth="1"/>
    <col min="2311" max="2311" width="7" style="3232" customWidth="1"/>
    <col min="2312" max="2312" width="12.625" style="3232" bestFit="1" customWidth="1"/>
    <col min="2313" max="2313" width="3.5" style="3232" customWidth="1"/>
    <col min="2314" max="2314" width="5.5" style="3232" customWidth="1"/>
    <col min="2315" max="2315" width="3.5" style="3232" customWidth="1"/>
    <col min="2316" max="2316" width="4" style="3232" customWidth="1"/>
    <col min="2317" max="2317" width="4.375" style="3232" customWidth="1"/>
    <col min="2318" max="2318" width="5" style="3232" customWidth="1"/>
    <col min="2319" max="2319" width="4.875" style="3232" customWidth="1"/>
    <col min="2320" max="2320" width="5" style="3232" customWidth="1"/>
    <col min="2321" max="2321" width="6.125" style="3232" customWidth="1"/>
    <col min="2322" max="2322" width="2.875" style="3232" customWidth="1"/>
    <col min="2323" max="2323" width="16.5" style="3232" customWidth="1"/>
    <col min="2324" max="2324" width="31.25" style="3232" customWidth="1"/>
    <col min="2325" max="2560" width="9" style="3232"/>
    <col min="2561" max="2561" width="13" style="3232" bestFit="1" customWidth="1"/>
    <col min="2562" max="2562" width="33.875" style="3232" bestFit="1" customWidth="1"/>
    <col min="2563" max="2563" width="7.125" style="3232" bestFit="1" customWidth="1"/>
    <col min="2564" max="2564" width="4.5" style="3232" bestFit="1" customWidth="1"/>
    <col min="2565" max="2565" width="3.625" style="3232" customWidth="1"/>
    <col min="2566" max="2566" width="5.25" style="3232" bestFit="1" customWidth="1"/>
    <col min="2567" max="2567" width="7" style="3232" customWidth="1"/>
    <col min="2568" max="2568" width="12.625" style="3232" bestFit="1" customWidth="1"/>
    <col min="2569" max="2569" width="3.5" style="3232" customWidth="1"/>
    <col min="2570" max="2570" width="5.5" style="3232" customWidth="1"/>
    <col min="2571" max="2571" width="3.5" style="3232" customWidth="1"/>
    <col min="2572" max="2572" width="4" style="3232" customWidth="1"/>
    <col min="2573" max="2573" width="4.375" style="3232" customWidth="1"/>
    <col min="2574" max="2574" width="5" style="3232" customWidth="1"/>
    <col min="2575" max="2575" width="4.875" style="3232" customWidth="1"/>
    <col min="2576" max="2576" width="5" style="3232" customWidth="1"/>
    <col min="2577" max="2577" width="6.125" style="3232" customWidth="1"/>
    <col min="2578" max="2578" width="2.875" style="3232" customWidth="1"/>
    <col min="2579" max="2579" width="16.5" style="3232" customWidth="1"/>
    <col min="2580" max="2580" width="31.25" style="3232" customWidth="1"/>
    <col min="2581" max="2816" width="9" style="3232"/>
    <col min="2817" max="2817" width="13" style="3232" bestFit="1" customWidth="1"/>
    <col min="2818" max="2818" width="33.875" style="3232" bestFit="1" customWidth="1"/>
    <col min="2819" max="2819" width="7.125" style="3232" bestFit="1" customWidth="1"/>
    <col min="2820" max="2820" width="4.5" style="3232" bestFit="1" customWidth="1"/>
    <col min="2821" max="2821" width="3.625" style="3232" customWidth="1"/>
    <col min="2822" max="2822" width="5.25" style="3232" bestFit="1" customWidth="1"/>
    <col min="2823" max="2823" width="7" style="3232" customWidth="1"/>
    <col min="2824" max="2824" width="12.625" style="3232" bestFit="1" customWidth="1"/>
    <col min="2825" max="2825" width="3.5" style="3232" customWidth="1"/>
    <col min="2826" max="2826" width="5.5" style="3232" customWidth="1"/>
    <col min="2827" max="2827" width="3.5" style="3232" customWidth="1"/>
    <col min="2828" max="2828" width="4" style="3232" customWidth="1"/>
    <col min="2829" max="2829" width="4.375" style="3232" customWidth="1"/>
    <col min="2830" max="2830" width="5" style="3232" customWidth="1"/>
    <col min="2831" max="2831" width="4.875" style="3232" customWidth="1"/>
    <col min="2832" max="2832" width="5" style="3232" customWidth="1"/>
    <col min="2833" max="2833" width="6.125" style="3232" customWidth="1"/>
    <col min="2834" max="2834" width="2.875" style="3232" customWidth="1"/>
    <col min="2835" max="2835" width="16.5" style="3232" customWidth="1"/>
    <col min="2836" max="2836" width="31.25" style="3232" customWidth="1"/>
    <col min="2837" max="3072" width="9" style="3232"/>
    <col min="3073" max="3073" width="13" style="3232" bestFit="1" customWidth="1"/>
    <col min="3074" max="3074" width="33.875" style="3232" bestFit="1" customWidth="1"/>
    <col min="3075" max="3075" width="7.125" style="3232" bestFit="1" customWidth="1"/>
    <col min="3076" max="3076" width="4.5" style="3232" bestFit="1" customWidth="1"/>
    <col min="3077" max="3077" width="3.625" style="3232" customWidth="1"/>
    <col min="3078" max="3078" width="5.25" style="3232" bestFit="1" customWidth="1"/>
    <col min="3079" max="3079" width="7" style="3232" customWidth="1"/>
    <col min="3080" max="3080" width="12.625" style="3232" bestFit="1" customWidth="1"/>
    <col min="3081" max="3081" width="3.5" style="3232" customWidth="1"/>
    <col min="3082" max="3082" width="5.5" style="3232" customWidth="1"/>
    <col min="3083" max="3083" width="3.5" style="3232" customWidth="1"/>
    <col min="3084" max="3084" width="4" style="3232" customWidth="1"/>
    <col min="3085" max="3085" width="4.375" style="3232" customWidth="1"/>
    <col min="3086" max="3086" width="5" style="3232" customWidth="1"/>
    <col min="3087" max="3087" width="4.875" style="3232" customWidth="1"/>
    <col min="3088" max="3088" width="5" style="3232" customWidth="1"/>
    <col min="3089" max="3089" width="6.125" style="3232" customWidth="1"/>
    <col min="3090" max="3090" width="2.875" style="3232" customWidth="1"/>
    <col min="3091" max="3091" width="16.5" style="3232" customWidth="1"/>
    <col min="3092" max="3092" width="31.25" style="3232" customWidth="1"/>
    <col min="3093" max="3328" width="9" style="3232"/>
    <col min="3329" max="3329" width="13" style="3232" bestFit="1" customWidth="1"/>
    <col min="3330" max="3330" width="33.875" style="3232" bestFit="1" customWidth="1"/>
    <col min="3331" max="3331" width="7.125" style="3232" bestFit="1" customWidth="1"/>
    <col min="3332" max="3332" width="4.5" style="3232" bestFit="1" customWidth="1"/>
    <col min="3333" max="3333" width="3.625" style="3232" customWidth="1"/>
    <col min="3334" max="3334" width="5.25" style="3232" bestFit="1" customWidth="1"/>
    <col min="3335" max="3335" width="7" style="3232" customWidth="1"/>
    <col min="3336" max="3336" width="12.625" style="3232" bestFit="1" customWidth="1"/>
    <col min="3337" max="3337" width="3.5" style="3232" customWidth="1"/>
    <col min="3338" max="3338" width="5.5" style="3232" customWidth="1"/>
    <col min="3339" max="3339" width="3.5" style="3232" customWidth="1"/>
    <col min="3340" max="3340" width="4" style="3232" customWidth="1"/>
    <col min="3341" max="3341" width="4.375" style="3232" customWidth="1"/>
    <col min="3342" max="3342" width="5" style="3232" customWidth="1"/>
    <col min="3343" max="3343" width="4.875" style="3232" customWidth="1"/>
    <col min="3344" max="3344" width="5" style="3232" customWidth="1"/>
    <col min="3345" max="3345" width="6.125" style="3232" customWidth="1"/>
    <col min="3346" max="3346" width="2.875" style="3232" customWidth="1"/>
    <col min="3347" max="3347" width="16.5" style="3232" customWidth="1"/>
    <col min="3348" max="3348" width="31.25" style="3232" customWidth="1"/>
    <col min="3349" max="3584" width="9" style="3232"/>
    <col min="3585" max="3585" width="13" style="3232" bestFit="1" customWidth="1"/>
    <col min="3586" max="3586" width="33.875" style="3232" bestFit="1" customWidth="1"/>
    <col min="3587" max="3587" width="7.125" style="3232" bestFit="1" customWidth="1"/>
    <col min="3588" max="3588" width="4.5" style="3232" bestFit="1" customWidth="1"/>
    <col min="3589" max="3589" width="3.625" style="3232" customWidth="1"/>
    <col min="3590" max="3590" width="5.25" style="3232" bestFit="1" customWidth="1"/>
    <col min="3591" max="3591" width="7" style="3232" customWidth="1"/>
    <col min="3592" max="3592" width="12.625" style="3232" bestFit="1" customWidth="1"/>
    <col min="3593" max="3593" width="3.5" style="3232" customWidth="1"/>
    <col min="3594" max="3594" width="5.5" style="3232" customWidth="1"/>
    <col min="3595" max="3595" width="3.5" style="3232" customWidth="1"/>
    <col min="3596" max="3596" width="4" style="3232" customWidth="1"/>
    <col min="3597" max="3597" width="4.375" style="3232" customWidth="1"/>
    <col min="3598" max="3598" width="5" style="3232" customWidth="1"/>
    <col min="3599" max="3599" width="4.875" style="3232" customWidth="1"/>
    <col min="3600" max="3600" width="5" style="3232" customWidth="1"/>
    <col min="3601" max="3601" width="6.125" style="3232" customWidth="1"/>
    <col min="3602" max="3602" width="2.875" style="3232" customWidth="1"/>
    <col min="3603" max="3603" width="16.5" style="3232" customWidth="1"/>
    <col min="3604" max="3604" width="31.25" style="3232" customWidth="1"/>
    <col min="3605" max="3840" width="9" style="3232"/>
    <col min="3841" max="3841" width="13" style="3232" bestFit="1" customWidth="1"/>
    <col min="3842" max="3842" width="33.875" style="3232" bestFit="1" customWidth="1"/>
    <col min="3843" max="3843" width="7.125" style="3232" bestFit="1" customWidth="1"/>
    <col min="3844" max="3844" width="4.5" style="3232" bestFit="1" customWidth="1"/>
    <col min="3845" max="3845" width="3.625" style="3232" customWidth="1"/>
    <col min="3846" max="3846" width="5.25" style="3232" bestFit="1" customWidth="1"/>
    <col min="3847" max="3847" width="7" style="3232" customWidth="1"/>
    <col min="3848" max="3848" width="12.625" style="3232" bestFit="1" customWidth="1"/>
    <col min="3849" max="3849" width="3.5" style="3232" customWidth="1"/>
    <col min="3850" max="3850" width="5.5" style="3232" customWidth="1"/>
    <col min="3851" max="3851" width="3.5" style="3232" customWidth="1"/>
    <col min="3852" max="3852" width="4" style="3232" customWidth="1"/>
    <col min="3853" max="3853" width="4.375" style="3232" customWidth="1"/>
    <col min="3854" max="3854" width="5" style="3232" customWidth="1"/>
    <col min="3855" max="3855" width="4.875" style="3232" customWidth="1"/>
    <col min="3856" max="3856" width="5" style="3232" customWidth="1"/>
    <col min="3857" max="3857" width="6.125" style="3232" customWidth="1"/>
    <col min="3858" max="3858" width="2.875" style="3232" customWidth="1"/>
    <col min="3859" max="3859" width="16.5" style="3232" customWidth="1"/>
    <col min="3860" max="3860" width="31.25" style="3232" customWidth="1"/>
    <col min="3861" max="4096" width="9" style="3232"/>
    <col min="4097" max="4097" width="13" style="3232" bestFit="1" customWidth="1"/>
    <col min="4098" max="4098" width="33.875" style="3232" bestFit="1" customWidth="1"/>
    <col min="4099" max="4099" width="7.125" style="3232" bestFit="1" customWidth="1"/>
    <col min="4100" max="4100" width="4.5" style="3232" bestFit="1" customWidth="1"/>
    <col min="4101" max="4101" width="3.625" style="3232" customWidth="1"/>
    <col min="4102" max="4102" width="5.25" style="3232" bestFit="1" customWidth="1"/>
    <col min="4103" max="4103" width="7" style="3232" customWidth="1"/>
    <col min="4104" max="4104" width="12.625" style="3232" bestFit="1" customWidth="1"/>
    <col min="4105" max="4105" width="3.5" style="3232" customWidth="1"/>
    <col min="4106" max="4106" width="5.5" style="3232" customWidth="1"/>
    <col min="4107" max="4107" width="3.5" style="3232" customWidth="1"/>
    <col min="4108" max="4108" width="4" style="3232" customWidth="1"/>
    <col min="4109" max="4109" width="4.375" style="3232" customWidth="1"/>
    <col min="4110" max="4110" width="5" style="3232" customWidth="1"/>
    <col min="4111" max="4111" width="4.875" style="3232" customWidth="1"/>
    <col min="4112" max="4112" width="5" style="3232" customWidth="1"/>
    <col min="4113" max="4113" width="6.125" style="3232" customWidth="1"/>
    <col min="4114" max="4114" width="2.875" style="3232" customWidth="1"/>
    <col min="4115" max="4115" width="16.5" style="3232" customWidth="1"/>
    <col min="4116" max="4116" width="31.25" style="3232" customWidth="1"/>
    <col min="4117" max="4352" width="9" style="3232"/>
    <col min="4353" max="4353" width="13" style="3232" bestFit="1" customWidth="1"/>
    <col min="4354" max="4354" width="33.875" style="3232" bestFit="1" customWidth="1"/>
    <col min="4355" max="4355" width="7.125" style="3232" bestFit="1" customWidth="1"/>
    <col min="4356" max="4356" width="4.5" style="3232" bestFit="1" customWidth="1"/>
    <col min="4357" max="4357" width="3.625" style="3232" customWidth="1"/>
    <col min="4358" max="4358" width="5.25" style="3232" bestFit="1" customWidth="1"/>
    <col min="4359" max="4359" width="7" style="3232" customWidth="1"/>
    <col min="4360" max="4360" width="12.625" style="3232" bestFit="1" customWidth="1"/>
    <col min="4361" max="4361" width="3.5" style="3232" customWidth="1"/>
    <col min="4362" max="4362" width="5.5" style="3232" customWidth="1"/>
    <col min="4363" max="4363" width="3.5" style="3232" customWidth="1"/>
    <col min="4364" max="4364" width="4" style="3232" customWidth="1"/>
    <col min="4365" max="4365" width="4.375" style="3232" customWidth="1"/>
    <col min="4366" max="4366" width="5" style="3232" customWidth="1"/>
    <col min="4367" max="4367" width="4.875" style="3232" customWidth="1"/>
    <col min="4368" max="4368" width="5" style="3232" customWidth="1"/>
    <col min="4369" max="4369" width="6.125" style="3232" customWidth="1"/>
    <col min="4370" max="4370" width="2.875" style="3232" customWidth="1"/>
    <col min="4371" max="4371" width="16.5" style="3232" customWidth="1"/>
    <col min="4372" max="4372" width="31.25" style="3232" customWidth="1"/>
    <col min="4373" max="4608" width="9" style="3232"/>
    <col min="4609" max="4609" width="13" style="3232" bestFit="1" customWidth="1"/>
    <col min="4610" max="4610" width="33.875" style="3232" bestFit="1" customWidth="1"/>
    <col min="4611" max="4611" width="7.125" style="3232" bestFit="1" customWidth="1"/>
    <col min="4612" max="4612" width="4.5" style="3232" bestFit="1" customWidth="1"/>
    <col min="4613" max="4613" width="3.625" style="3232" customWidth="1"/>
    <col min="4614" max="4614" width="5.25" style="3232" bestFit="1" customWidth="1"/>
    <col min="4615" max="4615" width="7" style="3232" customWidth="1"/>
    <col min="4616" max="4616" width="12.625" style="3232" bestFit="1" customWidth="1"/>
    <col min="4617" max="4617" width="3.5" style="3232" customWidth="1"/>
    <col min="4618" max="4618" width="5.5" style="3232" customWidth="1"/>
    <col min="4619" max="4619" width="3.5" style="3232" customWidth="1"/>
    <col min="4620" max="4620" width="4" style="3232" customWidth="1"/>
    <col min="4621" max="4621" width="4.375" style="3232" customWidth="1"/>
    <col min="4622" max="4622" width="5" style="3232" customWidth="1"/>
    <col min="4623" max="4623" width="4.875" style="3232" customWidth="1"/>
    <col min="4624" max="4624" width="5" style="3232" customWidth="1"/>
    <col min="4625" max="4625" width="6.125" style="3232" customWidth="1"/>
    <col min="4626" max="4626" width="2.875" style="3232" customWidth="1"/>
    <col min="4627" max="4627" width="16.5" style="3232" customWidth="1"/>
    <col min="4628" max="4628" width="31.25" style="3232" customWidth="1"/>
    <col min="4629" max="4864" width="9" style="3232"/>
    <col min="4865" max="4865" width="13" style="3232" bestFit="1" customWidth="1"/>
    <col min="4866" max="4866" width="33.875" style="3232" bestFit="1" customWidth="1"/>
    <col min="4867" max="4867" width="7.125" style="3232" bestFit="1" customWidth="1"/>
    <col min="4868" max="4868" width="4.5" style="3232" bestFit="1" customWidth="1"/>
    <col min="4869" max="4869" width="3.625" style="3232" customWidth="1"/>
    <col min="4870" max="4870" width="5.25" style="3232" bestFit="1" customWidth="1"/>
    <col min="4871" max="4871" width="7" style="3232" customWidth="1"/>
    <col min="4872" max="4872" width="12.625" style="3232" bestFit="1" customWidth="1"/>
    <col min="4873" max="4873" width="3.5" style="3232" customWidth="1"/>
    <col min="4874" max="4874" width="5.5" style="3232" customWidth="1"/>
    <col min="4875" max="4875" width="3.5" style="3232" customWidth="1"/>
    <col min="4876" max="4876" width="4" style="3232" customWidth="1"/>
    <col min="4877" max="4877" width="4.375" style="3232" customWidth="1"/>
    <col min="4878" max="4878" width="5" style="3232" customWidth="1"/>
    <col min="4879" max="4879" width="4.875" style="3232" customWidth="1"/>
    <col min="4880" max="4880" width="5" style="3232" customWidth="1"/>
    <col min="4881" max="4881" width="6.125" style="3232" customWidth="1"/>
    <col min="4882" max="4882" width="2.875" style="3232" customWidth="1"/>
    <col min="4883" max="4883" width="16.5" style="3232" customWidth="1"/>
    <col min="4884" max="4884" width="31.25" style="3232" customWidth="1"/>
    <col min="4885" max="5120" width="9" style="3232"/>
    <col min="5121" max="5121" width="13" style="3232" bestFit="1" customWidth="1"/>
    <col min="5122" max="5122" width="33.875" style="3232" bestFit="1" customWidth="1"/>
    <col min="5123" max="5123" width="7.125" style="3232" bestFit="1" customWidth="1"/>
    <col min="5124" max="5124" width="4.5" style="3232" bestFit="1" customWidth="1"/>
    <col min="5125" max="5125" width="3.625" style="3232" customWidth="1"/>
    <col min="5126" max="5126" width="5.25" style="3232" bestFit="1" customWidth="1"/>
    <col min="5127" max="5127" width="7" style="3232" customWidth="1"/>
    <col min="5128" max="5128" width="12.625" style="3232" bestFit="1" customWidth="1"/>
    <col min="5129" max="5129" width="3.5" style="3232" customWidth="1"/>
    <col min="5130" max="5130" width="5.5" style="3232" customWidth="1"/>
    <col min="5131" max="5131" width="3.5" style="3232" customWidth="1"/>
    <col min="5132" max="5132" width="4" style="3232" customWidth="1"/>
    <col min="5133" max="5133" width="4.375" style="3232" customWidth="1"/>
    <col min="5134" max="5134" width="5" style="3232" customWidth="1"/>
    <col min="5135" max="5135" width="4.875" style="3232" customWidth="1"/>
    <col min="5136" max="5136" width="5" style="3232" customWidth="1"/>
    <col min="5137" max="5137" width="6.125" style="3232" customWidth="1"/>
    <col min="5138" max="5138" width="2.875" style="3232" customWidth="1"/>
    <col min="5139" max="5139" width="16.5" style="3232" customWidth="1"/>
    <col min="5140" max="5140" width="31.25" style="3232" customWidth="1"/>
    <col min="5141" max="5376" width="9" style="3232"/>
    <col min="5377" max="5377" width="13" style="3232" bestFit="1" customWidth="1"/>
    <col min="5378" max="5378" width="33.875" style="3232" bestFit="1" customWidth="1"/>
    <col min="5379" max="5379" width="7.125" style="3232" bestFit="1" customWidth="1"/>
    <col min="5380" max="5380" width="4.5" style="3232" bestFit="1" customWidth="1"/>
    <col min="5381" max="5381" width="3.625" style="3232" customWidth="1"/>
    <col min="5382" max="5382" width="5.25" style="3232" bestFit="1" customWidth="1"/>
    <col min="5383" max="5383" width="7" style="3232" customWidth="1"/>
    <col min="5384" max="5384" width="12.625" style="3232" bestFit="1" customWidth="1"/>
    <col min="5385" max="5385" width="3.5" style="3232" customWidth="1"/>
    <col min="5386" max="5386" width="5.5" style="3232" customWidth="1"/>
    <col min="5387" max="5387" width="3.5" style="3232" customWidth="1"/>
    <col min="5388" max="5388" width="4" style="3232" customWidth="1"/>
    <col min="5389" max="5389" width="4.375" style="3232" customWidth="1"/>
    <col min="5390" max="5390" width="5" style="3232" customWidth="1"/>
    <col min="5391" max="5391" width="4.875" style="3232" customWidth="1"/>
    <col min="5392" max="5392" width="5" style="3232" customWidth="1"/>
    <col min="5393" max="5393" width="6.125" style="3232" customWidth="1"/>
    <col min="5394" max="5394" width="2.875" style="3232" customWidth="1"/>
    <col min="5395" max="5395" width="16.5" style="3232" customWidth="1"/>
    <col min="5396" max="5396" width="31.25" style="3232" customWidth="1"/>
    <col min="5397" max="5632" width="9" style="3232"/>
    <col min="5633" max="5633" width="13" style="3232" bestFit="1" customWidth="1"/>
    <col min="5634" max="5634" width="33.875" style="3232" bestFit="1" customWidth="1"/>
    <col min="5635" max="5635" width="7.125" style="3232" bestFit="1" customWidth="1"/>
    <col min="5636" max="5636" width="4.5" style="3232" bestFit="1" customWidth="1"/>
    <col min="5637" max="5637" width="3.625" style="3232" customWidth="1"/>
    <col min="5638" max="5638" width="5.25" style="3232" bestFit="1" customWidth="1"/>
    <col min="5639" max="5639" width="7" style="3232" customWidth="1"/>
    <col min="5640" max="5640" width="12.625" style="3232" bestFit="1" customWidth="1"/>
    <col min="5641" max="5641" width="3.5" style="3232" customWidth="1"/>
    <col min="5642" max="5642" width="5.5" style="3232" customWidth="1"/>
    <col min="5643" max="5643" width="3.5" style="3232" customWidth="1"/>
    <col min="5644" max="5644" width="4" style="3232" customWidth="1"/>
    <col min="5645" max="5645" width="4.375" style="3232" customWidth="1"/>
    <col min="5646" max="5646" width="5" style="3232" customWidth="1"/>
    <col min="5647" max="5647" width="4.875" style="3232" customWidth="1"/>
    <col min="5648" max="5648" width="5" style="3232" customWidth="1"/>
    <col min="5649" max="5649" width="6.125" style="3232" customWidth="1"/>
    <col min="5650" max="5650" width="2.875" style="3232" customWidth="1"/>
    <col min="5651" max="5651" width="16.5" style="3232" customWidth="1"/>
    <col min="5652" max="5652" width="31.25" style="3232" customWidth="1"/>
    <col min="5653" max="5888" width="9" style="3232"/>
    <col min="5889" max="5889" width="13" style="3232" bestFit="1" customWidth="1"/>
    <col min="5890" max="5890" width="33.875" style="3232" bestFit="1" customWidth="1"/>
    <col min="5891" max="5891" width="7.125" style="3232" bestFit="1" customWidth="1"/>
    <col min="5892" max="5892" width="4.5" style="3232" bestFit="1" customWidth="1"/>
    <col min="5893" max="5893" width="3.625" style="3232" customWidth="1"/>
    <col min="5894" max="5894" width="5.25" style="3232" bestFit="1" customWidth="1"/>
    <col min="5895" max="5895" width="7" style="3232" customWidth="1"/>
    <col min="5896" max="5896" width="12.625" style="3232" bestFit="1" customWidth="1"/>
    <col min="5897" max="5897" width="3.5" style="3232" customWidth="1"/>
    <col min="5898" max="5898" width="5.5" style="3232" customWidth="1"/>
    <col min="5899" max="5899" width="3.5" style="3232" customWidth="1"/>
    <col min="5900" max="5900" width="4" style="3232" customWidth="1"/>
    <col min="5901" max="5901" width="4.375" style="3232" customWidth="1"/>
    <col min="5902" max="5902" width="5" style="3232" customWidth="1"/>
    <col min="5903" max="5903" width="4.875" style="3232" customWidth="1"/>
    <col min="5904" max="5904" width="5" style="3232" customWidth="1"/>
    <col min="5905" max="5905" width="6.125" style="3232" customWidth="1"/>
    <col min="5906" max="5906" width="2.875" style="3232" customWidth="1"/>
    <col min="5907" max="5907" width="16.5" style="3232" customWidth="1"/>
    <col min="5908" max="5908" width="31.25" style="3232" customWidth="1"/>
    <col min="5909" max="6144" width="9" style="3232"/>
    <col min="6145" max="6145" width="13" style="3232" bestFit="1" customWidth="1"/>
    <col min="6146" max="6146" width="33.875" style="3232" bestFit="1" customWidth="1"/>
    <col min="6147" max="6147" width="7.125" style="3232" bestFit="1" customWidth="1"/>
    <col min="6148" max="6148" width="4.5" style="3232" bestFit="1" customWidth="1"/>
    <col min="6149" max="6149" width="3.625" style="3232" customWidth="1"/>
    <col min="6150" max="6150" width="5.25" style="3232" bestFit="1" customWidth="1"/>
    <col min="6151" max="6151" width="7" style="3232" customWidth="1"/>
    <col min="6152" max="6152" width="12.625" style="3232" bestFit="1" customWidth="1"/>
    <col min="6153" max="6153" width="3.5" style="3232" customWidth="1"/>
    <col min="6154" max="6154" width="5.5" style="3232" customWidth="1"/>
    <col min="6155" max="6155" width="3.5" style="3232" customWidth="1"/>
    <col min="6156" max="6156" width="4" style="3232" customWidth="1"/>
    <col min="6157" max="6157" width="4.375" style="3232" customWidth="1"/>
    <col min="6158" max="6158" width="5" style="3232" customWidth="1"/>
    <col min="6159" max="6159" width="4.875" style="3232" customWidth="1"/>
    <col min="6160" max="6160" width="5" style="3232" customWidth="1"/>
    <col min="6161" max="6161" width="6.125" style="3232" customWidth="1"/>
    <col min="6162" max="6162" width="2.875" style="3232" customWidth="1"/>
    <col min="6163" max="6163" width="16.5" style="3232" customWidth="1"/>
    <col min="6164" max="6164" width="31.25" style="3232" customWidth="1"/>
    <col min="6165" max="6400" width="9" style="3232"/>
    <col min="6401" max="6401" width="13" style="3232" bestFit="1" customWidth="1"/>
    <col min="6402" max="6402" width="33.875" style="3232" bestFit="1" customWidth="1"/>
    <col min="6403" max="6403" width="7.125" style="3232" bestFit="1" customWidth="1"/>
    <col min="6404" max="6404" width="4.5" style="3232" bestFit="1" customWidth="1"/>
    <col min="6405" max="6405" width="3.625" style="3232" customWidth="1"/>
    <col min="6406" max="6406" width="5.25" style="3232" bestFit="1" customWidth="1"/>
    <col min="6407" max="6407" width="7" style="3232" customWidth="1"/>
    <col min="6408" max="6408" width="12.625" style="3232" bestFit="1" customWidth="1"/>
    <col min="6409" max="6409" width="3.5" style="3232" customWidth="1"/>
    <col min="6410" max="6410" width="5.5" style="3232" customWidth="1"/>
    <col min="6411" max="6411" width="3.5" style="3232" customWidth="1"/>
    <col min="6412" max="6412" width="4" style="3232" customWidth="1"/>
    <col min="6413" max="6413" width="4.375" style="3232" customWidth="1"/>
    <col min="6414" max="6414" width="5" style="3232" customWidth="1"/>
    <col min="6415" max="6415" width="4.875" style="3232" customWidth="1"/>
    <col min="6416" max="6416" width="5" style="3232" customWidth="1"/>
    <col min="6417" max="6417" width="6.125" style="3232" customWidth="1"/>
    <col min="6418" max="6418" width="2.875" style="3232" customWidth="1"/>
    <col min="6419" max="6419" width="16.5" style="3232" customWidth="1"/>
    <col min="6420" max="6420" width="31.25" style="3232" customWidth="1"/>
    <col min="6421" max="6656" width="9" style="3232"/>
    <col min="6657" max="6657" width="13" style="3232" bestFit="1" customWidth="1"/>
    <col min="6658" max="6658" width="33.875" style="3232" bestFit="1" customWidth="1"/>
    <col min="6659" max="6659" width="7.125" style="3232" bestFit="1" customWidth="1"/>
    <col min="6660" max="6660" width="4.5" style="3232" bestFit="1" customWidth="1"/>
    <col min="6661" max="6661" width="3.625" style="3232" customWidth="1"/>
    <col min="6662" max="6662" width="5.25" style="3232" bestFit="1" customWidth="1"/>
    <col min="6663" max="6663" width="7" style="3232" customWidth="1"/>
    <col min="6664" max="6664" width="12.625" style="3232" bestFit="1" customWidth="1"/>
    <col min="6665" max="6665" width="3.5" style="3232" customWidth="1"/>
    <col min="6666" max="6666" width="5.5" style="3232" customWidth="1"/>
    <col min="6667" max="6667" width="3.5" style="3232" customWidth="1"/>
    <col min="6668" max="6668" width="4" style="3232" customWidth="1"/>
    <col min="6669" max="6669" width="4.375" style="3232" customWidth="1"/>
    <col min="6670" max="6670" width="5" style="3232" customWidth="1"/>
    <col min="6671" max="6671" width="4.875" style="3232" customWidth="1"/>
    <col min="6672" max="6672" width="5" style="3232" customWidth="1"/>
    <col min="6673" max="6673" width="6.125" style="3232" customWidth="1"/>
    <col min="6674" max="6674" width="2.875" style="3232" customWidth="1"/>
    <col min="6675" max="6675" width="16.5" style="3232" customWidth="1"/>
    <col min="6676" max="6676" width="31.25" style="3232" customWidth="1"/>
    <col min="6677" max="6912" width="9" style="3232"/>
    <col min="6913" max="6913" width="13" style="3232" bestFit="1" customWidth="1"/>
    <col min="6914" max="6914" width="33.875" style="3232" bestFit="1" customWidth="1"/>
    <col min="6915" max="6915" width="7.125" style="3232" bestFit="1" customWidth="1"/>
    <col min="6916" max="6916" width="4.5" style="3232" bestFit="1" customWidth="1"/>
    <col min="6917" max="6917" width="3.625" style="3232" customWidth="1"/>
    <col min="6918" max="6918" width="5.25" style="3232" bestFit="1" customWidth="1"/>
    <col min="6919" max="6919" width="7" style="3232" customWidth="1"/>
    <col min="6920" max="6920" width="12.625" style="3232" bestFit="1" customWidth="1"/>
    <col min="6921" max="6921" width="3.5" style="3232" customWidth="1"/>
    <col min="6922" max="6922" width="5.5" style="3232" customWidth="1"/>
    <col min="6923" max="6923" width="3.5" style="3232" customWidth="1"/>
    <col min="6924" max="6924" width="4" style="3232" customWidth="1"/>
    <col min="6925" max="6925" width="4.375" style="3232" customWidth="1"/>
    <col min="6926" max="6926" width="5" style="3232" customWidth="1"/>
    <col min="6927" max="6927" width="4.875" style="3232" customWidth="1"/>
    <col min="6928" max="6928" width="5" style="3232" customWidth="1"/>
    <col min="6929" max="6929" width="6.125" style="3232" customWidth="1"/>
    <col min="6930" max="6930" width="2.875" style="3232" customWidth="1"/>
    <col min="6931" max="6931" width="16.5" style="3232" customWidth="1"/>
    <col min="6932" max="6932" width="31.25" style="3232" customWidth="1"/>
    <col min="6933" max="7168" width="9" style="3232"/>
    <col min="7169" max="7169" width="13" style="3232" bestFit="1" customWidth="1"/>
    <col min="7170" max="7170" width="33.875" style="3232" bestFit="1" customWidth="1"/>
    <col min="7171" max="7171" width="7.125" style="3232" bestFit="1" customWidth="1"/>
    <col min="7172" max="7172" width="4.5" style="3232" bestFit="1" customWidth="1"/>
    <col min="7173" max="7173" width="3.625" style="3232" customWidth="1"/>
    <col min="7174" max="7174" width="5.25" style="3232" bestFit="1" customWidth="1"/>
    <col min="7175" max="7175" width="7" style="3232" customWidth="1"/>
    <col min="7176" max="7176" width="12.625" style="3232" bestFit="1" customWidth="1"/>
    <col min="7177" max="7177" width="3.5" style="3232" customWidth="1"/>
    <col min="7178" max="7178" width="5.5" style="3232" customWidth="1"/>
    <col min="7179" max="7179" width="3.5" style="3232" customWidth="1"/>
    <col min="7180" max="7180" width="4" style="3232" customWidth="1"/>
    <col min="7181" max="7181" width="4.375" style="3232" customWidth="1"/>
    <col min="7182" max="7182" width="5" style="3232" customWidth="1"/>
    <col min="7183" max="7183" width="4.875" style="3232" customWidth="1"/>
    <col min="7184" max="7184" width="5" style="3232" customWidth="1"/>
    <col min="7185" max="7185" width="6.125" style="3232" customWidth="1"/>
    <col min="7186" max="7186" width="2.875" style="3232" customWidth="1"/>
    <col min="7187" max="7187" width="16.5" style="3232" customWidth="1"/>
    <col min="7188" max="7188" width="31.25" style="3232" customWidth="1"/>
    <col min="7189" max="7424" width="9" style="3232"/>
    <col min="7425" max="7425" width="13" style="3232" bestFit="1" customWidth="1"/>
    <col min="7426" max="7426" width="33.875" style="3232" bestFit="1" customWidth="1"/>
    <col min="7427" max="7427" width="7.125" style="3232" bestFit="1" customWidth="1"/>
    <col min="7428" max="7428" width="4.5" style="3232" bestFit="1" customWidth="1"/>
    <col min="7429" max="7429" width="3.625" style="3232" customWidth="1"/>
    <col min="7430" max="7430" width="5.25" style="3232" bestFit="1" customWidth="1"/>
    <col min="7431" max="7431" width="7" style="3232" customWidth="1"/>
    <col min="7432" max="7432" width="12.625" style="3232" bestFit="1" customWidth="1"/>
    <col min="7433" max="7433" width="3.5" style="3232" customWidth="1"/>
    <col min="7434" max="7434" width="5.5" style="3232" customWidth="1"/>
    <col min="7435" max="7435" width="3.5" style="3232" customWidth="1"/>
    <col min="7436" max="7436" width="4" style="3232" customWidth="1"/>
    <col min="7437" max="7437" width="4.375" style="3232" customWidth="1"/>
    <col min="7438" max="7438" width="5" style="3232" customWidth="1"/>
    <col min="7439" max="7439" width="4.875" style="3232" customWidth="1"/>
    <col min="7440" max="7440" width="5" style="3232" customWidth="1"/>
    <col min="7441" max="7441" width="6.125" style="3232" customWidth="1"/>
    <col min="7442" max="7442" width="2.875" style="3232" customWidth="1"/>
    <col min="7443" max="7443" width="16.5" style="3232" customWidth="1"/>
    <col min="7444" max="7444" width="31.25" style="3232" customWidth="1"/>
    <col min="7445" max="7680" width="9" style="3232"/>
    <col min="7681" max="7681" width="13" style="3232" bestFit="1" customWidth="1"/>
    <col min="7682" max="7682" width="33.875" style="3232" bestFit="1" customWidth="1"/>
    <col min="7683" max="7683" width="7.125" style="3232" bestFit="1" customWidth="1"/>
    <col min="7684" max="7684" width="4.5" style="3232" bestFit="1" customWidth="1"/>
    <col min="7685" max="7685" width="3.625" style="3232" customWidth="1"/>
    <col min="7686" max="7686" width="5.25" style="3232" bestFit="1" customWidth="1"/>
    <col min="7687" max="7687" width="7" style="3232" customWidth="1"/>
    <col min="7688" max="7688" width="12.625" style="3232" bestFit="1" customWidth="1"/>
    <col min="7689" max="7689" width="3.5" style="3232" customWidth="1"/>
    <col min="7690" max="7690" width="5.5" style="3232" customWidth="1"/>
    <col min="7691" max="7691" width="3.5" style="3232" customWidth="1"/>
    <col min="7692" max="7692" width="4" style="3232" customWidth="1"/>
    <col min="7693" max="7693" width="4.375" style="3232" customWidth="1"/>
    <col min="7694" max="7694" width="5" style="3232" customWidth="1"/>
    <col min="7695" max="7695" width="4.875" style="3232" customWidth="1"/>
    <col min="7696" max="7696" width="5" style="3232" customWidth="1"/>
    <col min="7697" max="7697" width="6.125" style="3232" customWidth="1"/>
    <col min="7698" max="7698" width="2.875" style="3232" customWidth="1"/>
    <col min="7699" max="7699" width="16.5" style="3232" customWidth="1"/>
    <col min="7700" max="7700" width="31.25" style="3232" customWidth="1"/>
    <col min="7701" max="7936" width="9" style="3232"/>
    <col min="7937" max="7937" width="13" style="3232" bestFit="1" customWidth="1"/>
    <col min="7938" max="7938" width="33.875" style="3232" bestFit="1" customWidth="1"/>
    <col min="7939" max="7939" width="7.125" style="3232" bestFit="1" customWidth="1"/>
    <col min="7940" max="7940" width="4.5" style="3232" bestFit="1" customWidth="1"/>
    <col min="7941" max="7941" width="3.625" style="3232" customWidth="1"/>
    <col min="7942" max="7942" width="5.25" style="3232" bestFit="1" customWidth="1"/>
    <col min="7943" max="7943" width="7" style="3232" customWidth="1"/>
    <col min="7944" max="7944" width="12.625" style="3232" bestFit="1" customWidth="1"/>
    <col min="7945" max="7945" width="3.5" style="3232" customWidth="1"/>
    <col min="7946" max="7946" width="5.5" style="3232" customWidth="1"/>
    <col min="7947" max="7947" width="3.5" style="3232" customWidth="1"/>
    <col min="7948" max="7948" width="4" style="3232" customWidth="1"/>
    <col min="7949" max="7949" width="4.375" style="3232" customWidth="1"/>
    <col min="7950" max="7950" width="5" style="3232" customWidth="1"/>
    <col min="7951" max="7951" width="4.875" style="3232" customWidth="1"/>
    <col min="7952" max="7952" width="5" style="3232" customWidth="1"/>
    <col min="7953" max="7953" width="6.125" style="3232" customWidth="1"/>
    <col min="7954" max="7954" width="2.875" style="3232" customWidth="1"/>
    <col min="7955" max="7955" width="16.5" style="3232" customWidth="1"/>
    <col min="7956" max="7956" width="31.25" style="3232" customWidth="1"/>
    <col min="7957" max="8192" width="9" style="3232"/>
    <col min="8193" max="8193" width="13" style="3232" bestFit="1" customWidth="1"/>
    <col min="8194" max="8194" width="33.875" style="3232" bestFit="1" customWidth="1"/>
    <col min="8195" max="8195" width="7.125" style="3232" bestFit="1" customWidth="1"/>
    <col min="8196" max="8196" width="4.5" style="3232" bestFit="1" customWidth="1"/>
    <col min="8197" max="8197" width="3.625" style="3232" customWidth="1"/>
    <col min="8198" max="8198" width="5.25" style="3232" bestFit="1" customWidth="1"/>
    <col min="8199" max="8199" width="7" style="3232" customWidth="1"/>
    <col min="8200" max="8200" width="12.625" style="3232" bestFit="1" customWidth="1"/>
    <col min="8201" max="8201" width="3.5" style="3232" customWidth="1"/>
    <col min="8202" max="8202" width="5.5" style="3232" customWidth="1"/>
    <col min="8203" max="8203" width="3.5" style="3232" customWidth="1"/>
    <col min="8204" max="8204" width="4" style="3232" customWidth="1"/>
    <col min="8205" max="8205" width="4.375" style="3232" customWidth="1"/>
    <col min="8206" max="8206" width="5" style="3232" customWidth="1"/>
    <col min="8207" max="8207" width="4.875" style="3232" customWidth="1"/>
    <col min="8208" max="8208" width="5" style="3232" customWidth="1"/>
    <col min="8209" max="8209" width="6.125" style="3232" customWidth="1"/>
    <col min="8210" max="8210" width="2.875" style="3232" customWidth="1"/>
    <col min="8211" max="8211" width="16.5" style="3232" customWidth="1"/>
    <col min="8212" max="8212" width="31.25" style="3232" customWidth="1"/>
    <col min="8213" max="8448" width="9" style="3232"/>
    <col min="8449" max="8449" width="13" style="3232" bestFit="1" customWidth="1"/>
    <col min="8450" max="8450" width="33.875" style="3232" bestFit="1" customWidth="1"/>
    <col min="8451" max="8451" width="7.125" style="3232" bestFit="1" customWidth="1"/>
    <col min="8452" max="8452" width="4.5" style="3232" bestFit="1" customWidth="1"/>
    <col min="8453" max="8453" width="3.625" style="3232" customWidth="1"/>
    <col min="8454" max="8454" width="5.25" style="3232" bestFit="1" customWidth="1"/>
    <col min="8455" max="8455" width="7" style="3232" customWidth="1"/>
    <col min="8456" max="8456" width="12.625" style="3232" bestFit="1" customWidth="1"/>
    <col min="8457" max="8457" width="3.5" style="3232" customWidth="1"/>
    <col min="8458" max="8458" width="5.5" style="3232" customWidth="1"/>
    <col min="8459" max="8459" width="3.5" style="3232" customWidth="1"/>
    <col min="8460" max="8460" width="4" style="3232" customWidth="1"/>
    <col min="8461" max="8461" width="4.375" style="3232" customWidth="1"/>
    <col min="8462" max="8462" width="5" style="3232" customWidth="1"/>
    <col min="8463" max="8463" width="4.875" style="3232" customWidth="1"/>
    <col min="8464" max="8464" width="5" style="3232" customWidth="1"/>
    <col min="8465" max="8465" width="6.125" style="3232" customWidth="1"/>
    <col min="8466" max="8466" width="2.875" style="3232" customWidth="1"/>
    <col min="8467" max="8467" width="16.5" style="3232" customWidth="1"/>
    <col min="8468" max="8468" width="31.25" style="3232" customWidth="1"/>
    <col min="8469" max="8704" width="9" style="3232"/>
    <col min="8705" max="8705" width="13" style="3232" bestFit="1" customWidth="1"/>
    <col min="8706" max="8706" width="33.875" style="3232" bestFit="1" customWidth="1"/>
    <col min="8707" max="8707" width="7.125" style="3232" bestFit="1" customWidth="1"/>
    <col min="8708" max="8708" width="4.5" style="3232" bestFit="1" customWidth="1"/>
    <col min="8709" max="8709" width="3.625" style="3232" customWidth="1"/>
    <col min="8710" max="8710" width="5.25" style="3232" bestFit="1" customWidth="1"/>
    <col min="8711" max="8711" width="7" style="3232" customWidth="1"/>
    <col min="8712" max="8712" width="12.625" style="3232" bestFit="1" customWidth="1"/>
    <col min="8713" max="8713" width="3.5" style="3232" customWidth="1"/>
    <col min="8714" max="8714" width="5.5" style="3232" customWidth="1"/>
    <col min="8715" max="8715" width="3.5" style="3232" customWidth="1"/>
    <col min="8716" max="8716" width="4" style="3232" customWidth="1"/>
    <col min="8717" max="8717" width="4.375" style="3232" customWidth="1"/>
    <col min="8718" max="8718" width="5" style="3232" customWidth="1"/>
    <col min="8719" max="8719" width="4.875" style="3232" customWidth="1"/>
    <col min="8720" max="8720" width="5" style="3232" customWidth="1"/>
    <col min="8721" max="8721" width="6.125" style="3232" customWidth="1"/>
    <col min="8722" max="8722" width="2.875" style="3232" customWidth="1"/>
    <col min="8723" max="8723" width="16.5" style="3232" customWidth="1"/>
    <col min="8724" max="8724" width="31.25" style="3232" customWidth="1"/>
    <col min="8725" max="8960" width="9" style="3232"/>
    <col min="8961" max="8961" width="13" style="3232" bestFit="1" customWidth="1"/>
    <col min="8962" max="8962" width="33.875" style="3232" bestFit="1" customWidth="1"/>
    <col min="8963" max="8963" width="7.125" style="3232" bestFit="1" customWidth="1"/>
    <col min="8964" max="8964" width="4.5" style="3232" bestFit="1" customWidth="1"/>
    <col min="8965" max="8965" width="3.625" style="3232" customWidth="1"/>
    <col min="8966" max="8966" width="5.25" style="3232" bestFit="1" customWidth="1"/>
    <col min="8967" max="8967" width="7" style="3232" customWidth="1"/>
    <col min="8968" max="8968" width="12.625" style="3232" bestFit="1" customWidth="1"/>
    <col min="8969" max="8969" width="3.5" style="3232" customWidth="1"/>
    <col min="8970" max="8970" width="5.5" style="3232" customWidth="1"/>
    <col min="8971" max="8971" width="3.5" style="3232" customWidth="1"/>
    <col min="8972" max="8972" width="4" style="3232" customWidth="1"/>
    <col min="8973" max="8973" width="4.375" style="3232" customWidth="1"/>
    <col min="8974" max="8974" width="5" style="3232" customWidth="1"/>
    <col min="8975" max="8975" width="4.875" style="3232" customWidth="1"/>
    <col min="8976" max="8976" width="5" style="3232" customWidth="1"/>
    <col min="8977" max="8977" width="6.125" style="3232" customWidth="1"/>
    <col min="8978" max="8978" width="2.875" style="3232" customWidth="1"/>
    <col min="8979" max="8979" width="16.5" style="3232" customWidth="1"/>
    <col min="8980" max="8980" width="31.25" style="3232" customWidth="1"/>
    <col min="8981" max="9216" width="9" style="3232"/>
    <col min="9217" max="9217" width="13" style="3232" bestFit="1" customWidth="1"/>
    <col min="9218" max="9218" width="33.875" style="3232" bestFit="1" customWidth="1"/>
    <col min="9219" max="9219" width="7.125" style="3232" bestFit="1" customWidth="1"/>
    <col min="9220" max="9220" width="4.5" style="3232" bestFit="1" customWidth="1"/>
    <col min="9221" max="9221" width="3.625" style="3232" customWidth="1"/>
    <col min="9222" max="9222" width="5.25" style="3232" bestFit="1" customWidth="1"/>
    <col min="9223" max="9223" width="7" style="3232" customWidth="1"/>
    <col min="9224" max="9224" width="12.625" style="3232" bestFit="1" customWidth="1"/>
    <col min="9225" max="9225" width="3.5" style="3232" customWidth="1"/>
    <col min="9226" max="9226" width="5.5" style="3232" customWidth="1"/>
    <col min="9227" max="9227" width="3.5" style="3232" customWidth="1"/>
    <col min="9228" max="9228" width="4" style="3232" customWidth="1"/>
    <col min="9229" max="9229" width="4.375" style="3232" customWidth="1"/>
    <col min="9230" max="9230" width="5" style="3232" customWidth="1"/>
    <col min="9231" max="9231" width="4.875" style="3232" customWidth="1"/>
    <col min="9232" max="9232" width="5" style="3232" customWidth="1"/>
    <col min="9233" max="9233" width="6.125" style="3232" customWidth="1"/>
    <col min="9234" max="9234" width="2.875" style="3232" customWidth="1"/>
    <col min="9235" max="9235" width="16.5" style="3232" customWidth="1"/>
    <col min="9236" max="9236" width="31.25" style="3232" customWidth="1"/>
    <col min="9237" max="9472" width="9" style="3232"/>
    <col min="9473" max="9473" width="13" style="3232" bestFit="1" customWidth="1"/>
    <col min="9474" max="9474" width="33.875" style="3232" bestFit="1" customWidth="1"/>
    <col min="9475" max="9475" width="7.125" style="3232" bestFit="1" customWidth="1"/>
    <col min="9476" max="9476" width="4.5" style="3232" bestFit="1" customWidth="1"/>
    <col min="9477" max="9477" width="3.625" style="3232" customWidth="1"/>
    <col min="9478" max="9478" width="5.25" style="3232" bestFit="1" customWidth="1"/>
    <col min="9479" max="9479" width="7" style="3232" customWidth="1"/>
    <col min="9480" max="9480" width="12.625" style="3232" bestFit="1" customWidth="1"/>
    <col min="9481" max="9481" width="3.5" style="3232" customWidth="1"/>
    <col min="9482" max="9482" width="5.5" style="3232" customWidth="1"/>
    <col min="9483" max="9483" width="3.5" style="3232" customWidth="1"/>
    <col min="9484" max="9484" width="4" style="3232" customWidth="1"/>
    <col min="9485" max="9485" width="4.375" style="3232" customWidth="1"/>
    <col min="9486" max="9486" width="5" style="3232" customWidth="1"/>
    <col min="9487" max="9487" width="4.875" style="3232" customWidth="1"/>
    <col min="9488" max="9488" width="5" style="3232" customWidth="1"/>
    <col min="9489" max="9489" width="6.125" style="3232" customWidth="1"/>
    <col min="9490" max="9490" width="2.875" style="3232" customWidth="1"/>
    <col min="9491" max="9491" width="16.5" style="3232" customWidth="1"/>
    <col min="9492" max="9492" width="31.25" style="3232" customWidth="1"/>
    <col min="9493" max="9728" width="9" style="3232"/>
    <col min="9729" max="9729" width="13" style="3232" bestFit="1" customWidth="1"/>
    <col min="9730" max="9730" width="33.875" style="3232" bestFit="1" customWidth="1"/>
    <col min="9731" max="9731" width="7.125" style="3232" bestFit="1" customWidth="1"/>
    <col min="9732" max="9732" width="4.5" style="3232" bestFit="1" customWidth="1"/>
    <col min="9733" max="9733" width="3.625" style="3232" customWidth="1"/>
    <col min="9734" max="9734" width="5.25" style="3232" bestFit="1" customWidth="1"/>
    <col min="9735" max="9735" width="7" style="3232" customWidth="1"/>
    <col min="9736" max="9736" width="12.625" style="3232" bestFit="1" customWidth="1"/>
    <col min="9737" max="9737" width="3.5" style="3232" customWidth="1"/>
    <col min="9738" max="9738" width="5.5" style="3232" customWidth="1"/>
    <col min="9739" max="9739" width="3.5" style="3232" customWidth="1"/>
    <col min="9740" max="9740" width="4" style="3232" customWidth="1"/>
    <col min="9741" max="9741" width="4.375" style="3232" customWidth="1"/>
    <col min="9742" max="9742" width="5" style="3232" customWidth="1"/>
    <col min="9743" max="9743" width="4.875" style="3232" customWidth="1"/>
    <col min="9744" max="9744" width="5" style="3232" customWidth="1"/>
    <col min="9745" max="9745" width="6.125" style="3232" customWidth="1"/>
    <col min="9746" max="9746" width="2.875" style="3232" customWidth="1"/>
    <col min="9747" max="9747" width="16.5" style="3232" customWidth="1"/>
    <col min="9748" max="9748" width="31.25" style="3232" customWidth="1"/>
    <col min="9749" max="9984" width="9" style="3232"/>
    <col min="9985" max="9985" width="13" style="3232" bestFit="1" customWidth="1"/>
    <col min="9986" max="9986" width="33.875" style="3232" bestFit="1" customWidth="1"/>
    <col min="9987" max="9987" width="7.125" style="3232" bestFit="1" customWidth="1"/>
    <col min="9988" max="9988" width="4.5" style="3232" bestFit="1" customWidth="1"/>
    <col min="9989" max="9989" width="3.625" style="3232" customWidth="1"/>
    <col min="9990" max="9990" width="5.25" style="3232" bestFit="1" customWidth="1"/>
    <col min="9991" max="9991" width="7" style="3232" customWidth="1"/>
    <col min="9992" max="9992" width="12.625" style="3232" bestFit="1" customWidth="1"/>
    <col min="9993" max="9993" width="3.5" style="3232" customWidth="1"/>
    <col min="9994" max="9994" width="5.5" style="3232" customWidth="1"/>
    <col min="9995" max="9995" width="3.5" style="3232" customWidth="1"/>
    <col min="9996" max="9996" width="4" style="3232" customWidth="1"/>
    <col min="9997" max="9997" width="4.375" style="3232" customWidth="1"/>
    <col min="9998" max="9998" width="5" style="3232" customWidth="1"/>
    <col min="9999" max="9999" width="4.875" style="3232" customWidth="1"/>
    <col min="10000" max="10000" width="5" style="3232" customWidth="1"/>
    <col min="10001" max="10001" width="6.125" style="3232" customWidth="1"/>
    <col min="10002" max="10002" width="2.875" style="3232" customWidth="1"/>
    <col min="10003" max="10003" width="16.5" style="3232" customWidth="1"/>
    <col min="10004" max="10004" width="31.25" style="3232" customWidth="1"/>
    <col min="10005" max="10240" width="9" style="3232"/>
    <col min="10241" max="10241" width="13" style="3232" bestFit="1" customWidth="1"/>
    <col min="10242" max="10242" width="33.875" style="3232" bestFit="1" customWidth="1"/>
    <col min="10243" max="10243" width="7.125" style="3232" bestFit="1" customWidth="1"/>
    <col min="10244" max="10244" width="4.5" style="3232" bestFit="1" customWidth="1"/>
    <col min="10245" max="10245" width="3.625" style="3232" customWidth="1"/>
    <col min="10246" max="10246" width="5.25" style="3232" bestFit="1" customWidth="1"/>
    <col min="10247" max="10247" width="7" style="3232" customWidth="1"/>
    <col min="10248" max="10248" width="12.625" style="3232" bestFit="1" customWidth="1"/>
    <col min="10249" max="10249" width="3.5" style="3232" customWidth="1"/>
    <col min="10250" max="10250" width="5.5" style="3232" customWidth="1"/>
    <col min="10251" max="10251" width="3.5" style="3232" customWidth="1"/>
    <col min="10252" max="10252" width="4" style="3232" customWidth="1"/>
    <col min="10253" max="10253" width="4.375" style="3232" customWidth="1"/>
    <col min="10254" max="10254" width="5" style="3232" customWidth="1"/>
    <col min="10255" max="10255" width="4.875" style="3232" customWidth="1"/>
    <col min="10256" max="10256" width="5" style="3232" customWidth="1"/>
    <col min="10257" max="10257" width="6.125" style="3232" customWidth="1"/>
    <col min="10258" max="10258" width="2.875" style="3232" customWidth="1"/>
    <col min="10259" max="10259" width="16.5" style="3232" customWidth="1"/>
    <col min="10260" max="10260" width="31.25" style="3232" customWidth="1"/>
    <col min="10261" max="10496" width="9" style="3232"/>
    <col min="10497" max="10497" width="13" style="3232" bestFit="1" customWidth="1"/>
    <col min="10498" max="10498" width="33.875" style="3232" bestFit="1" customWidth="1"/>
    <col min="10499" max="10499" width="7.125" style="3232" bestFit="1" customWidth="1"/>
    <col min="10500" max="10500" width="4.5" style="3232" bestFit="1" customWidth="1"/>
    <col min="10501" max="10501" width="3.625" style="3232" customWidth="1"/>
    <col min="10502" max="10502" width="5.25" style="3232" bestFit="1" customWidth="1"/>
    <col min="10503" max="10503" width="7" style="3232" customWidth="1"/>
    <col min="10504" max="10504" width="12.625" style="3232" bestFit="1" customWidth="1"/>
    <col min="10505" max="10505" width="3.5" style="3232" customWidth="1"/>
    <col min="10506" max="10506" width="5.5" style="3232" customWidth="1"/>
    <col min="10507" max="10507" width="3.5" style="3232" customWidth="1"/>
    <col min="10508" max="10508" width="4" style="3232" customWidth="1"/>
    <col min="10509" max="10509" width="4.375" style="3232" customWidth="1"/>
    <col min="10510" max="10510" width="5" style="3232" customWidth="1"/>
    <col min="10511" max="10511" width="4.875" style="3232" customWidth="1"/>
    <col min="10512" max="10512" width="5" style="3232" customWidth="1"/>
    <col min="10513" max="10513" width="6.125" style="3232" customWidth="1"/>
    <col min="10514" max="10514" width="2.875" style="3232" customWidth="1"/>
    <col min="10515" max="10515" width="16.5" style="3232" customWidth="1"/>
    <col min="10516" max="10516" width="31.25" style="3232" customWidth="1"/>
    <col min="10517" max="10752" width="9" style="3232"/>
    <col min="10753" max="10753" width="13" style="3232" bestFit="1" customWidth="1"/>
    <col min="10754" max="10754" width="33.875" style="3232" bestFit="1" customWidth="1"/>
    <col min="10755" max="10755" width="7.125" style="3232" bestFit="1" customWidth="1"/>
    <col min="10756" max="10756" width="4.5" style="3232" bestFit="1" customWidth="1"/>
    <col min="10757" max="10757" width="3.625" style="3232" customWidth="1"/>
    <col min="10758" max="10758" width="5.25" style="3232" bestFit="1" customWidth="1"/>
    <col min="10759" max="10759" width="7" style="3232" customWidth="1"/>
    <col min="10760" max="10760" width="12.625" style="3232" bestFit="1" customWidth="1"/>
    <col min="10761" max="10761" width="3.5" style="3232" customWidth="1"/>
    <col min="10762" max="10762" width="5.5" style="3232" customWidth="1"/>
    <col min="10763" max="10763" width="3.5" style="3232" customWidth="1"/>
    <col min="10764" max="10764" width="4" style="3232" customWidth="1"/>
    <col min="10765" max="10765" width="4.375" style="3232" customWidth="1"/>
    <col min="10766" max="10766" width="5" style="3232" customWidth="1"/>
    <col min="10767" max="10767" width="4.875" style="3232" customWidth="1"/>
    <col min="10768" max="10768" width="5" style="3232" customWidth="1"/>
    <col min="10769" max="10769" width="6.125" style="3232" customWidth="1"/>
    <col min="10770" max="10770" width="2.875" style="3232" customWidth="1"/>
    <col min="10771" max="10771" width="16.5" style="3232" customWidth="1"/>
    <col min="10772" max="10772" width="31.25" style="3232" customWidth="1"/>
    <col min="10773" max="11008" width="9" style="3232"/>
    <col min="11009" max="11009" width="13" style="3232" bestFit="1" customWidth="1"/>
    <col min="11010" max="11010" width="33.875" style="3232" bestFit="1" customWidth="1"/>
    <col min="11011" max="11011" width="7.125" style="3232" bestFit="1" customWidth="1"/>
    <col min="11012" max="11012" width="4.5" style="3232" bestFit="1" customWidth="1"/>
    <col min="11013" max="11013" width="3.625" style="3232" customWidth="1"/>
    <col min="11014" max="11014" width="5.25" style="3232" bestFit="1" customWidth="1"/>
    <col min="11015" max="11015" width="7" style="3232" customWidth="1"/>
    <col min="11016" max="11016" width="12.625" style="3232" bestFit="1" customWidth="1"/>
    <col min="11017" max="11017" width="3.5" style="3232" customWidth="1"/>
    <col min="11018" max="11018" width="5.5" style="3232" customWidth="1"/>
    <col min="11019" max="11019" width="3.5" style="3232" customWidth="1"/>
    <col min="11020" max="11020" width="4" style="3232" customWidth="1"/>
    <col min="11021" max="11021" width="4.375" style="3232" customWidth="1"/>
    <col min="11022" max="11022" width="5" style="3232" customWidth="1"/>
    <col min="11023" max="11023" width="4.875" style="3232" customWidth="1"/>
    <col min="11024" max="11024" width="5" style="3232" customWidth="1"/>
    <col min="11025" max="11025" width="6.125" style="3232" customWidth="1"/>
    <col min="11026" max="11026" width="2.875" style="3232" customWidth="1"/>
    <col min="11027" max="11027" width="16.5" style="3232" customWidth="1"/>
    <col min="11028" max="11028" width="31.25" style="3232" customWidth="1"/>
    <col min="11029" max="11264" width="9" style="3232"/>
    <col min="11265" max="11265" width="13" style="3232" bestFit="1" customWidth="1"/>
    <col min="11266" max="11266" width="33.875" style="3232" bestFit="1" customWidth="1"/>
    <col min="11267" max="11267" width="7.125" style="3232" bestFit="1" customWidth="1"/>
    <col min="11268" max="11268" width="4.5" style="3232" bestFit="1" customWidth="1"/>
    <col min="11269" max="11269" width="3.625" style="3232" customWidth="1"/>
    <col min="11270" max="11270" width="5.25" style="3232" bestFit="1" customWidth="1"/>
    <col min="11271" max="11271" width="7" style="3232" customWidth="1"/>
    <col min="11272" max="11272" width="12.625" style="3232" bestFit="1" customWidth="1"/>
    <col min="11273" max="11273" width="3.5" style="3232" customWidth="1"/>
    <col min="11274" max="11274" width="5.5" style="3232" customWidth="1"/>
    <col min="11275" max="11275" width="3.5" style="3232" customWidth="1"/>
    <col min="11276" max="11276" width="4" style="3232" customWidth="1"/>
    <col min="11277" max="11277" width="4.375" style="3232" customWidth="1"/>
    <col min="11278" max="11278" width="5" style="3232" customWidth="1"/>
    <col min="11279" max="11279" width="4.875" style="3232" customWidth="1"/>
    <col min="11280" max="11280" width="5" style="3232" customWidth="1"/>
    <col min="11281" max="11281" width="6.125" style="3232" customWidth="1"/>
    <col min="11282" max="11282" width="2.875" style="3232" customWidth="1"/>
    <col min="11283" max="11283" width="16.5" style="3232" customWidth="1"/>
    <col min="11284" max="11284" width="31.25" style="3232" customWidth="1"/>
    <col min="11285" max="11520" width="9" style="3232"/>
    <col min="11521" max="11521" width="13" style="3232" bestFit="1" customWidth="1"/>
    <col min="11522" max="11522" width="33.875" style="3232" bestFit="1" customWidth="1"/>
    <col min="11523" max="11523" width="7.125" style="3232" bestFit="1" customWidth="1"/>
    <col min="11524" max="11524" width="4.5" style="3232" bestFit="1" customWidth="1"/>
    <col min="11525" max="11525" width="3.625" style="3232" customWidth="1"/>
    <col min="11526" max="11526" width="5.25" style="3232" bestFit="1" customWidth="1"/>
    <col min="11527" max="11527" width="7" style="3232" customWidth="1"/>
    <col min="11528" max="11528" width="12.625" style="3232" bestFit="1" customWidth="1"/>
    <col min="11529" max="11529" width="3.5" style="3232" customWidth="1"/>
    <col min="11530" max="11530" width="5.5" style="3232" customWidth="1"/>
    <col min="11531" max="11531" width="3.5" style="3232" customWidth="1"/>
    <col min="11532" max="11532" width="4" style="3232" customWidth="1"/>
    <col min="11533" max="11533" width="4.375" style="3232" customWidth="1"/>
    <col min="11534" max="11534" width="5" style="3232" customWidth="1"/>
    <col min="11535" max="11535" width="4.875" style="3232" customWidth="1"/>
    <col min="11536" max="11536" width="5" style="3232" customWidth="1"/>
    <col min="11537" max="11537" width="6.125" style="3232" customWidth="1"/>
    <col min="11538" max="11538" width="2.875" style="3232" customWidth="1"/>
    <col min="11539" max="11539" width="16.5" style="3232" customWidth="1"/>
    <col min="11540" max="11540" width="31.25" style="3232" customWidth="1"/>
    <col min="11541" max="11776" width="9" style="3232"/>
    <col min="11777" max="11777" width="13" style="3232" bestFit="1" customWidth="1"/>
    <col min="11778" max="11778" width="33.875" style="3232" bestFit="1" customWidth="1"/>
    <col min="11779" max="11779" width="7.125" style="3232" bestFit="1" customWidth="1"/>
    <col min="11780" max="11780" width="4.5" style="3232" bestFit="1" customWidth="1"/>
    <col min="11781" max="11781" width="3.625" style="3232" customWidth="1"/>
    <col min="11782" max="11782" width="5.25" style="3232" bestFit="1" customWidth="1"/>
    <col min="11783" max="11783" width="7" style="3232" customWidth="1"/>
    <col min="11784" max="11784" width="12.625" style="3232" bestFit="1" customWidth="1"/>
    <col min="11785" max="11785" width="3.5" style="3232" customWidth="1"/>
    <col min="11786" max="11786" width="5.5" style="3232" customWidth="1"/>
    <col min="11787" max="11787" width="3.5" style="3232" customWidth="1"/>
    <col min="11788" max="11788" width="4" style="3232" customWidth="1"/>
    <col min="11789" max="11789" width="4.375" style="3232" customWidth="1"/>
    <col min="11790" max="11790" width="5" style="3232" customWidth="1"/>
    <col min="11791" max="11791" width="4.875" style="3232" customWidth="1"/>
    <col min="11792" max="11792" width="5" style="3232" customWidth="1"/>
    <col min="11793" max="11793" width="6.125" style="3232" customWidth="1"/>
    <col min="11794" max="11794" width="2.875" style="3232" customWidth="1"/>
    <col min="11795" max="11795" width="16.5" style="3232" customWidth="1"/>
    <col min="11796" max="11796" width="31.25" style="3232" customWidth="1"/>
    <col min="11797" max="12032" width="9" style="3232"/>
    <col min="12033" max="12033" width="13" style="3232" bestFit="1" customWidth="1"/>
    <col min="12034" max="12034" width="33.875" style="3232" bestFit="1" customWidth="1"/>
    <col min="12035" max="12035" width="7.125" style="3232" bestFit="1" customWidth="1"/>
    <col min="12036" max="12036" width="4.5" style="3232" bestFit="1" customWidth="1"/>
    <col min="12037" max="12037" width="3.625" style="3232" customWidth="1"/>
    <col min="12038" max="12038" width="5.25" style="3232" bestFit="1" customWidth="1"/>
    <col min="12039" max="12039" width="7" style="3232" customWidth="1"/>
    <col min="12040" max="12040" width="12.625" style="3232" bestFit="1" customWidth="1"/>
    <col min="12041" max="12041" width="3.5" style="3232" customWidth="1"/>
    <col min="12042" max="12042" width="5.5" style="3232" customWidth="1"/>
    <col min="12043" max="12043" width="3.5" style="3232" customWidth="1"/>
    <col min="12044" max="12044" width="4" style="3232" customWidth="1"/>
    <col min="12045" max="12045" width="4.375" style="3232" customWidth="1"/>
    <col min="12046" max="12046" width="5" style="3232" customWidth="1"/>
    <col min="12047" max="12047" width="4.875" style="3232" customWidth="1"/>
    <col min="12048" max="12048" width="5" style="3232" customWidth="1"/>
    <col min="12049" max="12049" width="6.125" style="3232" customWidth="1"/>
    <col min="12050" max="12050" width="2.875" style="3232" customWidth="1"/>
    <col min="12051" max="12051" width="16.5" style="3232" customWidth="1"/>
    <col min="12052" max="12052" width="31.25" style="3232" customWidth="1"/>
    <col min="12053" max="12288" width="9" style="3232"/>
    <col min="12289" max="12289" width="13" style="3232" bestFit="1" customWidth="1"/>
    <col min="12290" max="12290" width="33.875" style="3232" bestFit="1" customWidth="1"/>
    <col min="12291" max="12291" width="7.125" style="3232" bestFit="1" customWidth="1"/>
    <col min="12292" max="12292" width="4.5" style="3232" bestFit="1" customWidth="1"/>
    <col min="12293" max="12293" width="3.625" style="3232" customWidth="1"/>
    <col min="12294" max="12294" width="5.25" style="3232" bestFit="1" customWidth="1"/>
    <col min="12295" max="12295" width="7" style="3232" customWidth="1"/>
    <col min="12296" max="12296" width="12.625" style="3232" bestFit="1" customWidth="1"/>
    <col min="12297" max="12297" width="3.5" style="3232" customWidth="1"/>
    <col min="12298" max="12298" width="5.5" style="3232" customWidth="1"/>
    <col min="12299" max="12299" width="3.5" style="3232" customWidth="1"/>
    <col min="12300" max="12300" width="4" style="3232" customWidth="1"/>
    <col min="12301" max="12301" width="4.375" style="3232" customWidth="1"/>
    <col min="12302" max="12302" width="5" style="3232" customWidth="1"/>
    <col min="12303" max="12303" width="4.875" style="3232" customWidth="1"/>
    <col min="12304" max="12304" width="5" style="3232" customWidth="1"/>
    <col min="12305" max="12305" width="6.125" style="3232" customWidth="1"/>
    <col min="12306" max="12306" width="2.875" style="3232" customWidth="1"/>
    <col min="12307" max="12307" width="16.5" style="3232" customWidth="1"/>
    <col min="12308" max="12308" width="31.25" style="3232" customWidth="1"/>
    <col min="12309" max="12544" width="9" style="3232"/>
    <col min="12545" max="12545" width="13" style="3232" bestFit="1" customWidth="1"/>
    <col min="12546" max="12546" width="33.875" style="3232" bestFit="1" customWidth="1"/>
    <col min="12547" max="12547" width="7.125" style="3232" bestFit="1" customWidth="1"/>
    <col min="12548" max="12548" width="4.5" style="3232" bestFit="1" customWidth="1"/>
    <col min="12549" max="12549" width="3.625" style="3232" customWidth="1"/>
    <col min="12550" max="12550" width="5.25" style="3232" bestFit="1" customWidth="1"/>
    <col min="12551" max="12551" width="7" style="3232" customWidth="1"/>
    <col min="12552" max="12552" width="12.625" style="3232" bestFit="1" customWidth="1"/>
    <col min="12553" max="12553" width="3.5" style="3232" customWidth="1"/>
    <col min="12554" max="12554" width="5.5" style="3232" customWidth="1"/>
    <col min="12555" max="12555" width="3.5" style="3232" customWidth="1"/>
    <col min="12556" max="12556" width="4" style="3232" customWidth="1"/>
    <col min="12557" max="12557" width="4.375" style="3232" customWidth="1"/>
    <col min="12558" max="12558" width="5" style="3232" customWidth="1"/>
    <col min="12559" max="12559" width="4.875" style="3232" customWidth="1"/>
    <col min="12560" max="12560" width="5" style="3232" customWidth="1"/>
    <col min="12561" max="12561" width="6.125" style="3232" customWidth="1"/>
    <col min="12562" max="12562" width="2.875" style="3232" customWidth="1"/>
    <col min="12563" max="12563" width="16.5" style="3232" customWidth="1"/>
    <col min="12564" max="12564" width="31.25" style="3232" customWidth="1"/>
    <col min="12565" max="12800" width="9" style="3232"/>
    <col min="12801" max="12801" width="13" style="3232" bestFit="1" customWidth="1"/>
    <col min="12802" max="12802" width="33.875" style="3232" bestFit="1" customWidth="1"/>
    <col min="12803" max="12803" width="7.125" style="3232" bestFit="1" customWidth="1"/>
    <col min="12804" max="12804" width="4.5" style="3232" bestFit="1" customWidth="1"/>
    <col min="12805" max="12805" width="3.625" style="3232" customWidth="1"/>
    <col min="12806" max="12806" width="5.25" style="3232" bestFit="1" customWidth="1"/>
    <col min="12807" max="12807" width="7" style="3232" customWidth="1"/>
    <col min="12808" max="12808" width="12.625" style="3232" bestFit="1" customWidth="1"/>
    <col min="12809" max="12809" width="3.5" style="3232" customWidth="1"/>
    <col min="12810" max="12810" width="5.5" style="3232" customWidth="1"/>
    <col min="12811" max="12811" width="3.5" style="3232" customWidth="1"/>
    <col min="12812" max="12812" width="4" style="3232" customWidth="1"/>
    <col min="12813" max="12813" width="4.375" style="3232" customWidth="1"/>
    <col min="12814" max="12814" width="5" style="3232" customWidth="1"/>
    <col min="12815" max="12815" width="4.875" style="3232" customWidth="1"/>
    <col min="12816" max="12816" width="5" style="3232" customWidth="1"/>
    <col min="12817" max="12817" width="6.125" style="3232" customWidth="1"/>
    <col min="12818" max="12818" width="2.875" style="3232" customWidth="1"/>
    <col min="12819" max="12819" width="16.5" style="3232" customWidth="1"/>
    <col min="12820" max="12820" width="31.25" style="3232" customWidth="1"/>
    <col min="12821" max="13056" width="9" style="3232"/>
    <col min="13057" max="13057" width="13" style="3232" bestFit="1" customWidth="1"/>
    <col min="13058" max="13058" width="33.875" style="3232" bestFit="1" customWidth="1"/>
    <col min="13059" max="13059" width="7.125" style="3232" bestFit="1" customWidth="1"/>
    <col min="13060" max="13060" width="4.5" style="3232" bestFit="1" customWidth="1"/>
    <col min="13061" max="13061" width="3.625" style="3232" customWidth="1"/>
    <col min="13062" max="13062" width="5.25" style="3232" bestFit="1" customWidth="1"/>
    <col min="13063" max="13063" width="7" style="3232" customWidth="1"/>
    <col min="13064" max="13064" width="12.625" style="3232" bestFit="1" customWidth="1"/>
    <col min="13065" max="13065" width="3.5" style="3232" customWidth="1"/>
    <col min="13066" max="13066" width="5.5" style="3232" customWidth="1"/>
    <col min="13067" max="13067" width="3.5" style="3232" customWidth="1"/>
    <col min="13068" max="13068" width="4" style="3232" customWidth="1"/>
    <col min="13069" max="13069" width="4.375" style="3232" customWidth="1"/>
    <col min="13070" max="13070" width="5" style="3232" customWidth="1"/>
    <col min="13071" max="13071" width="4.875" style="3232" customWidth="1"/>
    <col min="13072" max="13072" width="5" style="3232" customWidth="1"/>
    <col min="13073" max="13073" width="6.125" style="3232" customWidth="1"/>
    <col min="13074" max="13074" width="2.875" style="3232" customWidth="1"/>
    <col min="13075" max="13075" width="16.5" style="3232" customWidth="1"/>
    <col min="13076" max="13076" width="31.25" style="3232" customWidth="1"/>
    <col min="13077" max="13312" width="9" style="3232"/>
    <col min="13313" max="13313" width="13" style="3232" bestFit="1" customWidth="1"/>
    <col min="13314" max="13314" width="33.875" style="3232" bestFit="1" customWidth="1"/>
    <col min="13315" max="13315" width="7.125" style="3232" bestFit="1" customWidth="1"/>
    <col min="13316" max="13316" width="4.5" style="3232" bestFit="1" customWidth="1"/>
    <col min="13317" max="13317" width="3.625" style="3232" customWidth="1"/>
    <col min="13318" max="13318" width="5.25" style="3232" bestFit="1" customWidth="1"/>
    <col min="13319" max="13319" width="7" style="3232" customWidth="1"/>
    <col min="13320" max="13320" width="12.625" style="3232" bestFit="1" customWidth="1"/>
    <col min="13321" max="13321" width="3.5" style="3232" customWidth="1"/>
    <col min="13322" max="13322" width="5.5" style="3232" customWidth="1"/>
    <col min="13323" max="13323" width="3.5" style="3232" customWidth="1"/>
    <col min="13324" max="13324" width="4" style="3232" customWidth="1"/>
    <col min="13325" max="13325" width="4.375" style="3232" customWidth="1"/>
    <col min="13326" max="13326" width="5" style="3232" customWidth="1"/>
    <col min="13327" max="13327" width="4.875" style="3232" customWidth="1"/>
    <col min="13328" max="13328" width="5" style="3232" customWidth="1"/>
    <col min="13329" max="13329" width="6.125" style="3232" customWidth="1"/>
    <col min="13330" max="13330" width="2.875" style="3232" customWidth="1"/>
    <col min="13331" max="13331" width="16.5" style="3232" customWidth="1"/>
    <col min="13332" max="13332" width="31.25" style="3232" customWidth="1"/>
    <col min="13333" max="13568" width="9" style="3232"/>
    <col min="13569" max="13569" width="13" style="3232" bestFit="1" customWidth="1"/>
    <col min="13570" max="13570" width="33.875" style="3232" bestFit="1" customWidth="1"/>
    <col min="13571" max="13571" width="7.125" style="3232" bestFit="1" customWidth="1"/>
    <col min="13572" max="13572" width="4.5" style="3232" bestFit="1" customWidth="1"/>
    <col min="13573" max="13573" width="3.625" style="3232" customWidth="1"/>
    <col min="13574" max="13574" width="5.25" style="3232" bestFit="1" customWidth="1"/>
    <col min="13575" max="13575" width="7" style="3232" customWidth="1"/>
    <col min="13576" max="13576" width="12.625" style="3232" bestFit="1" customWidth="1"/>
    <col min="13577" max="13577" width="3.5" style="3232" customWidth="1"/>
    <col min="13578" max="13578" width="5.5" style="3232" customWidth="1"/>
    <col min="13579" max="13579" width="3.5" style="3232" customWidth="1"/>
    <col min="13580" max="13580" width="4" style="3232" customWidth="1"/>
    <col min="13581" max="13581" width="4.375" style="3232" customWidth="1"/>
    <col min="13582" max="13582" width="5" style="3232" customWidth="1"/>
    <col min="13583" max="13583" width="4.875" style="3232" customWidth="1"/>
    <col min="13584" max="13584" width="5" style="3232" customWidth="1"/>
    <col min="13585" max="13585" width="6.125" style="3232" customWidth="1"/>
    <col min="13586" max="13586" width="2.875" style="3232" customWidth="1"/>
    <col min="13587" max="13587" width="16.5" style="3232" customWidth="1"/>
    <col min="13588" max="13588" width="31.25" style="3232" customWidth="1"/>
    <col min="13589" max="13824" width="9" style="3232"/>
    <col min="13825" max="13825" width="13" style="3232" bestFit="1" customWidth="1"/>
    <col min="13826" max="13826" width="33.875" style="3232" bestFit="1" customWidth="1"/>
    <col min="13827" max="13827" width="7.125" style="3232" bestFit="1" customWidth="1"/>
    <col min="13828" max="13828" width="4.5" style="3232" bestFit="1" customWidth="1"/>
    <col min="13829" max="13829" width="3.625" style="3232" customWidth="1"/>
    <col min="13830" max="13830" width="5.25" style="3232" bestFit="1" customWidth="1"/>
    <col min="13831" max="13831" width="7" style="3232" customWidth="1"/>
    <col min="13832" max="13832" width="12.625" style="3232" bestFit="1" customWidth="1"/>
    <col min="13833" max="13833" width="3.5" style="3232" customWidth="1"/>
    <col min="13834" max="13834" width="5.5" style="3232" customWidth="1"/>
    <col min="13835" max="13835" width="3.5" style="3232" customWidth="1"/>
    <col min="13836" max="13836" width="4" style="3232" customWidth="1"/>
    <col min="13837" max="13837" width="4.375" style="3232" customWidth="1"/>
    <col min="13838" max="13838" width="5" style="3232" customWidth="1"/>
    <col min="13839" max="13839" width="4.875" style="3232" customWidth="1"/>
    <col min="13840" max="13840" width="5" style="3232" customWidth="1"/>
    <col min="13841" max="13841" width="6.125" style="3232" customWidth="1"/>
    <col min="13842" max="13842" width="2.875" style="3232" customWidth="1"/>
    <col min="13843" max="13843" width="16.5" style="3232" customWidth="1"/>
    <col min="13844" max="13844" width="31.25" style="3232" customWidth="1"/>
    <col min="13845" max="14080" width="9" style="3232"/>
    <col min="14081" max="14081" width="13" style="3232" bestFit="1" customWidth="1"/>
    <col min="14082" max="14082" width="33.875" style="3232" bestFit="1" customWidth="1"/>
    <col min="14083" max="14083" width="7.125" style="3232" bestFit="1" customWidth="1"/>
    <col min="14084" max="14084" width="4.5" style="3232" bestFit="1" customWidth="1"/>
    <col min="14085" max="14085" width="3.625" style="3232" customWidth="1"/>
    <col min="14086" max="14086" width="5.25" style="3232" bestFit="1" customWidth="1"/>
    <col min="14087" max="14087" width="7" style="3232" customWidth="1"/>
    <col min="14088" max="14088" width="12.625" style="3232" bestFit="1" customWidth="1"/>
    <col min="14089" max="14089" width="3.5" style="3232" customWidth="1"/>
    <col min="14090" max="14090" width="5.5" style="3232" customWidth="1"/>
    <col min="14091" max="14091" width="3.5" style="3232" customWidth="1"/>
    <col min="14092" max="14092" width="4" style="3232" customWidth="1"/>
    <col min="14093" max="14093" width="4.375" style="3232" customWidth="1"/>
    <col min="14094" max="14094" width="5" style="3232" customWidth="1"/>
    <col min="14095" max="14095" width="4.875" style="3232" customWidth="1"/>
    <col min="14096" max="14096" width="5" style="3232" customWidth="1"/>
    <col min="14097" max="14097" width="6.125" style="3232" customWidth="1"/>
    <col min="14098" max="14098" width="2.875" style="3232" customWidth="1"/>
    <col min="14099" max="14099" width="16.5" style="3232" customWidth="1"/>
    <col min="14100" max="14100" width="31.25" style="3232" customWidth="1"/>
    <col min="14101" max="14336" width="9" style="3232"/>
    <col min="14337" max="14337" width="13" style="3232" bestFit="1" customWidth="1"/>
    <col min="14338" max="14338" width="33.875" style="3232" bestFit="1" customWidth="1"/>
    <col min="14339" max="14339" width="7.125" style="3232" bestFit="1" customWidth="1"/>
    <col min="14340" max="14340" width="4.5" style="3232" bestFit="1" customWidth="1"/>
    <col min="14341" max="14341" width="3.625" style="3232" customWidth="1"/>
    <col min="14342" max="14342" width="5.25" style="3232" bestFit="1" customWidth="1"/>
    <col min="14343" max="14343" width="7" style="3232" customWidth="1"/>
    <col min="14344" max="14344" width="12.625" style="3232" bestFit="1" customWidth="1"/>
    <col min="14345" max="14345" width="3.5" style="3232" customWidth="1"/>
    <col min="14346" max="14346" width="5.5" style="3232" customWidth="1"/>
    <col min="14347" max="14347" width="3.5" style="3232" customWidth="1"/>
    <col min="14348" max="14348" width="4" style="3232" customWidth="1"/>
    <col min="14349" max="14349" width="4.375" style="3232" customWidth="1"/>
    <col min="14350" max="14350" width="5" style="3232" customWidth="1"/>
    <col min="14351" max="14351" width="4.875" style="3232" customWidth="1"/>
    <col min="14352" max="14352" width="5" style="3232" customWidth="1"/>
    <col min="14353" max="14353" width="6.125" style="3232" customWidth="1"/>
    <col min="14354" max="14354" width="2.875" style="3232" customWidth="1"/>
    <col min="14355" max="14355" width="16.5" style="3232" customWidth="1"/>
    <col min="14356" max="14356" width="31.25" style="3232" customWidth="1"/>
    <col min="14357" max="14592" width="9" style="3232"/>
    <col min="14593" max="14593" width="13" style="3232" bestFit="1" customWidth="1"/>
    <col min="14594" max="14594" width="33.875" style="3232" bestFit="1" customWidth="1"/>
    <col min="14595" max="14595" width="7.125" style="3232" bestFit="1" customWidth="1"/>
    <col min="14596" max="14596" width="4.5" style="3232" bestFit="1" customWidth="1"/>
    <col min="14597" max="14597" width="3.625" style="3232" customWidth="1"/>
    <col min="14598" max="14598" width="5.25" style="3232" bestFit="1" customWidth="1"/>
    <col min="14599" max="14599" width="7" style="3232" customWidth="1"/>
    <col min="14600" max="14600" width="12.625" style="3232" bestFit="1" customWidth="1"/>
    <col min="14601" max="14601" width="3.5" style="3232" customWidth="1"/>
    <col min="14602" max="14602" width="5.5" style="3232" customWidth="1"/>
    <col min="14603" max="14603" width="3.5" style="3232" customWidth="1"/>
    <col min="14604" max="14604" width="4" style="3232" customWidth="1"/>
    <col min="14605" max="14605" width="4.375" style="3232" customWidth="1"/>
    <col min="14606" max="14606" width="5" style="3232" customWidth="1"/>
    <col min="14607" max="14607" width="4.875" style="3232" customWidth="1"/>
    <col min="14608" max="14608" width="5" style="3232" customWidth="1"/>
    <col min="14609" max="14609" width="6.125" style="3232" customWidth="1"/>
    <col min="14610" max="14610" width="2.875" style="3232" customWidth="1"/>
    <col min="14611" max="14611" width="16.5" style="3232" customWidth="1"/>
    <col min="14612" max="14612" width="31.25" style="3232" customWidth="1"/>
    <col min="14613" max="14848" width="9" style="3232"/>
    <col min="14849" max="14849" width="13" style="3232" bestFit="1" customWidth="1"/>
    <col min="14850" max="14850" width="33.875" style="3232" bestFit="1" customWidth="1"/>
    <col min="14851" max="14851" width="7.125" style="3232" bestFit="1" customWidth="1"/>
    <col min="14852" max="14852" width="4.5" style="3232" bestFit="1" customWidth="1"/>
    <col min="14853" max="14853" width="3.625" style="3232" customWidth="1"/>
    <col min="14854" max="14854" width="5.25" style="3232" bestFit="1" customWidth="1"/>
    <col min="14855" max="14855" width="7" style="3232" customWidth="1"/>
    <col min="14856" max="14856" width="12.625" style="3232" bestFit="1" customWidth="1"/>
    <col min="14857" max="14857" width="3.5" style="3232" customWidth="1"/>
    <col min="14858" max="14858" width="5.5" style="3232" customWidth="1"/>
    <col min="14859" max="14859" width="3.5" style="3232" customWidth="1"/>
    <col min="14860" max="14860" width="4" style="3232" customWidth="1"/>
    <col min="14861" max="14861" width="4.375" style="3232" customWidth="1"/>
    <col min="14862" max="14862" width="5" style="3232" customWidth="1"/>
    <col min="14863" max="14863" width="4.875" style="3232" customWidth="1"/>
    <col min="14864" max="14864" width="5" style="3232" customWidth="1"/>
    <col min="14865" max="14865" width="6.125" style="3232" customWidth="1"/>
    <col min="14866" max="14866" width="2.875" style="3232" customWidth="1"/>
    <col min="14867" max="14867" width="16.5" style="3232" customWidth="1"/>
    <col min="14868" max="14868" width="31.25" style="3232" customWidth="1"/>
    <col min="14869" max="15104" width="9" style="3232"/>
    <col min="15105" max="15105" width="13" style="3232" bestFit="1" customWidth="1"/>
    <col min="15106" max="15106" width="33.875" style="3232" bestFit="1" customWidth="1"/>
    <col min="15107" max="15107" width="7.125" style="3232" bestFit="1" customWidth="1"/>
    <col min="15108" max="15108" width="4.5" style="3232" bestFit="1" customWidth="1"/>
    <col min="15109" max="15109" width="3.625" style="3232" customWidth="1"/>
    <col min="15110" max="15110" width="5.25" style="3232" bestFit="1" customWidth="1"/>
    <col min="15111" max="15111" width="7" style="3232" customWidth="1"/>
    <col min="15112" max="15112" width="12.625" style="3232" bestFit="1" customWidth="1"/>
    <col min="15113" max="15113" width="3.5" style="3232" customWidth="1"/>
    <col min="15114" max="15114" width="5.5" style="3232" customWidth="1"/>
    <col min="15115" max="15115" width="3.5" style="3232" customWidth="1"/>
    <col min="15116" max="15116" width="4" style="3232" customWidth="1"/>
    <col min="15117" max="15117" width="4.375" style="3232" customWidth="1"/>
    <col min="15118" max="15118" width="5" style="3232" customWidth="1"/>
    <col min="15119" max="15119" width="4.875" style="3232" customWidth="1"/>
    <col min="15120" max="15120" width="5" style="3232" customWidth="1"/>
    <col min="15121" max="15121" width="6.125" style="3232" customWidth="1"/>
    <col min="15122" max="15122" width="2.875" style="3232" customWidth="1"/>
    <col min="15123" max="15123" width="16.5" style="3232" customWidth="1"/>
    <col min="15124" max="15124" width="31.25" style="3232" customWidth="1"/>
    <col min="15125" max="15360" width="9" style="3232"/>
    <col min="15361" max="15361" width="13" style="3232" bestFit="1" customWidth="1"/>
    <col min="15362" max="15362" width="33.875" style="3232" bestFit="1" customWidth="1"/>
    <col min="15363" max="15363" width="7.125" style="3232" bestFit="1" customWidth="1"/>
    <col min="15364" max="15364" width="4.5" style="3232" bestFit="1" customWidth="1"/>
    <col min="15365" max="15365" width="3.625" style="3232" customWidth="1"/>
    <col min="15366" max="15366" width="5.25" style="3232" bestFit="1" customWidth="1"/>
    <col min="15367" max="15367" width="7" style="3232" customWidth="1"/>
    <col min="15368" max="15368" width="12.625" style="3232" bestFit="1" customWidth="1"/>
    <col min="15369" max="15369" width="3.5" style="3232" customWidth="1"/>
    <col min="15370" max="15370" width="5.5" style="3232" customWidth="1"/>
    <col min="15371" max="15371" width="3.5" style="3232" customWidth="1"/>
    <col min="15372" max="15372" width="4" style="3232" customWidth="1"/>
    <col min="15373" max="15373" width="4.375" style="3232" customWidth="1"/>
    <col min="15374" max="15374" width="5" style="3232" customWidth="1"/>
    <col min="15375" max="15375" width="4.875" style="3232" customWidth="1"/>
    <col min="15376" max="15376" width="5" style="3232" customWidth="1"/>
    <col min="15377" max="15377" width="6.125" style="3232" customWidth="1"/>
    <col min="15378" max="15378" width="2.875" style="3232" customWidth="1"/>
    <col min="15379" max="15379" width="16.5" style="3232" customWidth="1"/>
    <col min="15380" max="15380" width="31.25" style="3232" customWidth="1"/>
    <col min="15381" max="15616" width="9" style="3232"/>
    <col min="15617" max="15617" width="13" style="3232" bestFit="1" customWidth="1"/>
    <col min="15618" max="15618" width="33.875" style="3232" bestFit="1" customWidth="1"/>
    <col min="15619" max="15619" width="7.125" style="3232" bestFit="1" customWidth="1"/>
    <col min="15620" max="15620" width="4.5" style="3232" bestFit="1" customWidth="1"/>
    <col min="15621" max="15621" width="3.625" style="3232" customWidth="1"/>
    <col min="15622" max="15622" width="5.25" style="3232" bestFit="1" customWidth="1"/>
    <col min="15623" max="15623" width="7" style="3232" customWidth="1"/>
    <col min="15624" max="15624" width="12.625" style="3232" bestFit="1" customWidth="1"/>
    <col min="15625" max="15625" width="3.5" style="3232" customWidth="1"/>
    <col min="15626" max="15626" width="5.5" style="3232" customWidth="1"/>
    <col min="15627" max="15627" width="3.5" style="3232" customWidth="1"/>
    <col min="15628" max="15628" width="4" style="3232" customWidth="1"/>
    <col min="15629" max="15629" width="4.375" style="3232" customWidth="1"/>
    <col min="15630" max="15630" width="5" style="3232" customWidth="1"/>
    <col min="15631" max="15631" width="4.875" style="3232" customWidth="1"/>
    <col min="15632" max="15632" width="5" style="3232" customWidth="1"/>
    <col min="15633" max="15633" width="6.125" style="3232" customWidth="1"/>
    <col min="15634" max="15634" width="2.875" style="3232" customWidth="1"/>
    <col min="15635" max="15635" width="16.5" style="3232" customWidth="1"/>
    <col min="15636" max="15636" width="31.25" style="3232" customWidth="1"/>
    <col min="15637" max="15872" width="9" style="3232"/>
    <col min="15873" max="15873" width="13" style="3232" bestFit="1" customWidth="1"/>
    <col min="15874" max="15874" width="33.875" style="3232" bestFit="1" customWidth="1"/>
    <col min="15875" max="15875" width="7.125" style="3232" bestFit="1" customWidth="1"/>
    <col min="15876" max="15876" width="4.5" style="3232" bestFit="1" customWidth="1"/>
    <col min="15877" max="15877" width="3.625" style="3232" customWidth="1"/>
    <col min="15878" max="15878" width="5.25" style="3232" bestFit="1" customWidth="1"/>
    <col min="15879" max="15879" width="7" style="3232" customWidth="1"/>
    <col min="15880" max="15880" width="12.625" style="3232" bestFit="1" customWidth="1"/>
    <col min="15881" max="15881" width="3.5" style="3232" customWidth="1"/>
    <col min="15882" max="15882" width="5.5" style="3232" customWidth="1"/>
    <col min="15883" max="15883" width="3.5" style="3232" customWidth="1"/>
    <col min="15884" max="15884" width="4" style="3232" customWidth="1"/>
    <col min="15885" max="15885" width="4.375" style="3232" customWidth="1"/>
    <col min="15886" max="15886" width="5" style="3232" customWidth="1"/>
    <col min="15887" max="15887" width="4.875" style="3232" customWidth="1"/>
    <col min="15888" max="15888" width="5" style="3232" customWidth="1"/>
    <col min="15889" max="15889" width="6.125" style="3232" customWidth="1"/>
    <col min="15890" max="15890" width="2.875" style="3232" customWidth="1"/>
    <col min="15891" max="15891" width="16.5" style="3232" customWidth="1"/>
    <col min="15892" max="15892" width="31.25" style="3232" customWidth="1"/>
    <col min="15893" max="16128" width="9" style="3232"/>
    <col min="16129" max="16129" width="13" style="3232" bestFit="1" customWidth="1"/>
    <col min="16130" max="16130" width="33.875" style="3232" bestFit="1" customWidth="1"/>
    <col min="16131" max="16131" width="7.125" style="3232" bestFit="1" customWidth="1"/>
    <col min="16132" max="16132" width="4.5" style="3232" bestFit="1" customWidth="1"/>
    <col min="16133" max="16133" width="3.625" style="3232" customWidth="1"/>
    <col min="16134" max="16134" width="5.25" style="3232" bestFit="1" customWidth="1"/>
    <col min="16135" max="16135" width="7" style="3232" customWidth="1"/>
    <col min="16136" max="16136" width="12.625" style="3232" bestFit="1" customWidth="1"/>
    <col min="16137" max="16137" width="3.5" style="3232" customWidth="1"/>
    <col min="16138" max="16138" width="5.5" style="3232" customWidth="1"/>
    <col min="16139" max="16139" width="3.5" style="3232" customWidth="1"/>
    <col min="16140" max="16140" width="4" style="3232" customWidth="1"/>
    <col min="16141" max="16141" width="4.375" style="3232" customWidth="1"/>
    <col min="16142" max="16142" width="5" style="3232" customWidth="1"/>
    <col min="16143" max="16143" width="4.875" style="3232" customWidth="1"/>
    <col min="16144" max="16144" width="5" style="3232" customWidth="1"/>
    <col min="16145" max="16145" width="6.125" style="3232" customWidth="1"/>
    <col min="16146" max="16146" width="2.875" style="3232" customWidth="1"/>
    <col min="16147" max="16147" width="16.5" style="3232" customWidth="1"/>
    <col min="16148" max="16148" width="31.25" style="3232" customWidth="1"/>
    <col min="16149" max="16384" width="9" style="3232"/>
  </cols>
  <sheetData>
    <row r="2" spans="1:8" ht="25.5">
      <c r="A2" s="4018" t="s">
        <v>3554</v>
      </c>
      <c r="B2" s="4019"/>
      <c r="C2" s="4019"/>
      <c r="D2" s="4019"/>
      <c r="E2" s="4019"/>
      <c r="F2" s="4019"/>
      <c r="G2" s="4019"/>
      <c r="H2" s="4020"/>
    </row>
    <row r="3" spans="1:8">
      <c r="A3" s="3233" t="s">
        <v>3555</v>
      </c>
      <c r="B3" s="4000" t="s">
        <v>3556</v>
      </c>
      <c r="C3" s="4001"/>
      <c r="D3" s="4001"/>
      <c r="E3" s="4001"/>
      <c r="F3" s="4001"/>
      <c r="G3" s="4002"/>
      <c r="H3" s="3234">
        <v>147792.29</v>
      </c>
    </row>
    <row r="4" spans="1:8">
      <c r="A4" s="3233" t="s">
        <v>3557</v>
      </c>
      <c r="B4" s="3235" t="s">
        <v>3558</v>
      </c>
      <c r="C4" s="4021"/>
      <c r="D4" s="4022"/>
      <c r="E4" s="4022"/>
      <c r="F4" s="4022"/>
      <c r="G4" s="4023"/>
      <c r="H4" s="3234">
        <v>118699.76000000002</v>
      </c>
    </row>
    <row r="5" spans="1:8">
      <c r="A5" s="3233" t="s">
        <v>3559</v>
      </c>
      <c r="B5" s="4000" t="s">
        <v>3560</v>
      </c>
      <c r="C5" s="4001"/>
      <c r="D5" s="4001"/>
      <c r="E5" s="4001"/>
      <c r="F5" s="4001"/>
      <c r="G5" s="4002"/>
      <c r="H5" s="3234">
        <v>81601.720000000016</v>
      </c>
    </row>
    <row r="6" spans="1:8">
      <c r="A6" s="3233">
        <v>1</v>
      </c>
      <c r="B6" s="4000" t="s">
        <v>3561</v>
      </c>
      <c r="C6" s="4001"/>
      <c r="D6" s="4001"/>
      <c r="E6" s="4001"/>
      <c r="F6" s="4001"/>
      <c r="G6" s="4002"/>
      <c r="H6" s="3234">
        <v>79000.510000000009</v>
      </c>
    </row>
    <row r="7" spans="1:8">
      <c r="A7" s="3236" t="s">
        <v>3562</v>
      </c>
      <c r="B7" s="3235" t="s">
        <v>922</v>
      </c>
      <c r="C7" s="4024"/>
      <c r="D7" s="4025"/>
      <c r="E7" s="4026"/>
      <c r="F7" s="4000" t="s">
        <v>3563</v>
      </c>
      <c r="G7" s="4002"/>
      <c r="H7" s="3237">
        <v>0</v>
      </c>
    </row>
    <row r="8" spans="1:8">
      <c r="A8" s="3236" t="s">
        <v>3564</v>
      </c>
      <c r="B8" s="3235" t="s">
        <v>4415</v>
      </c>
      <c r="C8" s="4024">
        <v>79000.510000000009</v>
      </c>
      <c r="D8" s="4025"/>
      <c r="E8" s="4026"/>
      <c r="F8" s="4000" t="s">
        <v>3563</v>
      </c>
      <c r="G8" s="4002"/>
      <c r="H8" s="3237">
        <v>1</v>
      </c>
    </row>
    <row r="9" spans="1:8">
      <c r="A9" s="3233" t="s">
        <v>3565</v>
      </c>
      <c r="B9" s="4000" t="s">
        <v>3566</v>
      </c>
      <c r="C9" s="4001"/>
      <c r="D9" s="4001"/>
      <c r="E9" s="4001"/>
      <c r="F9" s="4001"/>
      <c r="G9" s="4002"/>
      <c r="H9" s="3234">
        <v>9119.18</v>
      </c>
    </row>
    <row r="10" spans="1:8">
      <c r="A10" s="3233" t="s">
        <v>3567</v>
      </c>
      <c r="B10" s="3235" t="s">
        <v>3568</v>
      </c>
      <c r="C10" s="3235" t="s">
        <v>3569</v>
      </c>
      <c r="D10" s="3235">
        <v>386</v>
      </c>
      <c r="E10" s="4021"/>
      <c r="F10" s="4022"/>
      <c r="G10" s="4023"/>
      <c r="H10" s="3234">
        <v>45690.69</v>
      </c>
    </row>
    <row r="11" spans="1:8">
      <c r="A11" s="3233" t="s">
        <v>3570</v>
      </c>
      <c r="B11" s="4000" t="s">
        <v>3571</v>
      </c>
      <c r="C11" s="4001"/>
      <c r="D11" s="4001"/>
      <c r="E11" s="4001"/>
      <c r="F11" s="4001"/>
      <c r="G11" s="4002"/>
      <c r="H11" s="3234">
        <v>23814.84</v>
      </c>
    </row>
    <row r="12" spans="1:8">
      <c r="A12" s="3233" t="s">
        <v>3572</v>
      </c>
      <c r="B12" s="4000" t="s">
        <v>3573</v>
      </c>
      <c r="C12" s="4001"/>
      <c r="D12" s="4001"/>
      <c r="E12" s="4001"/>
      <c r="F12" s="4001"/>
      <c r="G12" s="4002"/>
      <c r="H12" s="3234">
        <v>375.8</v>
      </c>
    </row>
    <row r="13" spans="1:8">
      <c r="A13" s="3233" t="s">
        <v>2379</v>
      </c>
      <c r="B13" s="4000" t="s">
        <v>3574</v>
      </c>
      <c r="C13" s="4001"/>
      <c r="D13" s="4001"/>
      <c r="E13" s="4001"/>
      <c r="F13" s="4001"/>
      <c r="G13" s="4002"/>
      <c r="H13" s="3234">
        <v>235.54</v>
      </c>
    </row>
    <row r="14" spans="1:8">
      <c r="A14" s="3233" t="s">
        <v>2381</v>
      </c>
      <c r="B14" s="4000" t="s">
        <v>3550</v>
      </c>
      <c r="C14" s="4001"/>
      <c r="D14" s="4001"/>
      <c r="E14" s="4001"/>
      <c r="F14" s="4001"/>
      <c r="G14" s="4002"/>
      <c r="H14" s="3234">
        <v>48.71</v>
      </c>
    </row>
    <row r="15" spans="1:8">
      <c r="A15" s="3238" t="s">
        <v>3575</v>
      </c>
      <c r="B15" s="4006" t="s">
        <v>3576</v>
      </c>
      <c r="C15" s="4007"/>
      <c r="D15" s="4007"/>
      <c r="E15" s="4007"/>
      <c r="F15" s="4007"/>
      <c r="G15" s="4008"/>
      <c r="H15" s="3239">
        <v>91.55</v>
      </c>
    </row>
    <row r="16" spans="1:8">
      <c r="A16" s="3233">
        <v>2</v>
      </c>
      <c r="B16" s="4000" t="s">
        <v>3577</v>
      </c>
      <c r="C16" s="4001"/>
      <c r="D16" s="4001"/>
      <c r="E16" s="4001"/>
      <c r="F16" s="4001"/>
      <c r="G16" s="4002"/>
      <c r="H16" s="3234">
        <v>2601.21</v>
      </c>
    </row>
    <row r="17" spans="1:8">
      <c r="A17" s="3236" t="s">
        <v>3578</v>
      </c>
      <c r="B17" s="4000" t="s">
        <v>3579</v>
      </c>
      <c r="C17" s="4001"/>
      <c r="D17" s="4001"/>
      <c r="E17" s="4001"/>
      <c r="F17" s="4001"/>
      <c r="G17" s="4002"/>
      <c r="H17" s="3239">
        <v>1665.49</v>
      </c>
    </row>
    <row r="18" spans="1:8">
      <c r="A18" s="3236" t="s">
        <v>3564</v>
      </c>
      <c r="B18" s="4000" t="s">
        <v>3580</v>
      </c>
      <c r="C18" s="4001"/>
      <c r="D18" s="4001"/>
      <c r="E18" s="4001"/>
      <c r="F18" s="4001"/>
      <c r="G18" s="4002"/>
      <c r="H18" s="3234">
        <v>935.71999999999991</v>
      </c>
    </row>
    <row r="19" spans="1:8">
      <c r="A19" s="3233" t="s">
        <v>3581</v>
      </c>
      <c r="B19" s="3235" t="s">
        <v>3582</v>
      </c>
      <c r="C19" s="4015">
        <v>37098.040000000008</v>
      </c>
      <c r="D19" s="4016"/>
      <c r="E19" s="4016"/>
      <c r="F19" s="4016"/>
      <c r="G19" s="4017"/>
      <c r="H19" s="3240">
        <v>1</v>
      </c>
    </row>
    <row r="20" spans="1:8">
      <c r="A20" s="3241">
        <v>1</v>
      </c>
      <c r="B20" s="4000" t="s">
        <v>3583</v>
      </c>
      <c r="C20" s="4001"/>
      <c r="D20" s="4001"/>
      <c r="E20" s="4001"/>
      <c r="F20" s="4001"/>
      <c r="G20" s="4002"/>
      <c r="H20" s="3239">
        <v>32072.97</v>
      </c>
    </row>
    <row r="21" spans="1:8">
      <c r="A21" s="3241">
        <v>2</v>
      </c>
      <c r="B21" s="4000" t="s">
        <v>3584</v>
      </c>
      <c r="C21" s="4001"/>
      <c r="D21" s="4001"/>
      <c r="E21" s="4001"/>
      <c r="F21" s="4001"/>
      <c r="G21" s="4002"/>
      <c r="H21" s="3234">
        <v>910.23</v>
      </c>
    </row>
    <row r="22" spans="1:8">
      <c r="A22" s="3233">
        <v>3</v>
      </c>
      <c r="B22" s="4000" t="s">
        <v>3585</v>
      </c>
      <c r="C22" s="4001"/>
      <c r="D22" s="4001"/>
      <c r="E22" s="4001"/>
      <c r="F22" s="4001"/>
      <c r="G22" s="4002"/>
      <c r="H22" s="3234">
        <v>4114.84</v>
      </c>
    </row>
    <row r="23" spans="1:8">
      <c r="A23" s="3233" t="s">
        <v>2379</v>
      </c>
      <c r="B23" s="4000" t="s">
        <v>3586</v>
      </c>
      <c r="C23" s="4001"/>
      <c r="D23" s="4001"/>
      <c r="E23" s="4001"/>
      <c r="F23" s="4001"/>
      <c r="G23" s="4002"/>
      <c r="H23" s="3234">
        <v>232.78</v>
      </c>
    </row>
    <row r="24" spans="1:8">
      <c r="A24" s="3233" t="s">
        <v>2381</v>
      </c>
      <c r="B24" s="4000" t="s">
        <v>3587</v>
      </c>
      <c r="C24" s="4001"/>
      <c r="D24" s="4001"/>
      <c r="E24" s="4001"/>
      <c r="F24" s="4001"/>
      <c r="G24" s="4002"/>
      <c r="H24" s="3234">
        <v>144.4</v>
      </c>
    </row>
    <row r="25" spans="1:8">
      <c r="A25" s="3233" t="s">
        <v>2391</v>
      </c>
      <c r="B25" s="4000" t="s">
        <v>3588</v>
      </c>
      <c r="C25" s="4001"/>
      <c r="D25" s="4001"/>
      <c r="E25" s="4001"/>
      <c r="F25" s="4001"/>
      <c r="G25" s="4002"/>
      <c r="H25" s="3239">
        <v>2587.19</v>
      </c>
    </row>
    <row r="26" spans="1:8">
      <c r="A26" s="3233" t="s">
        <v>3589</v>
      </c>
      <c r="B26" s="4000" t="s">
        <v>3590</v>
      </c>
      <c r="C26" s="4001"/>
      <c r="D26" s="4001"/>
      <c r="E26" s="4001"/>
      <c r="F26" s="4001"/>
      <c r="G26" s="4002"/>
      <c r="H26" s="3234">
        <v>1074.45</v>
      </c>
    </row>
    <row r="27" spans="1:8">
      <c r="A27" s="3233" t="s">
        <v>3591</v>
      </c>
      <c r="B27" s="4012" t="s">
        <v>3592</v>
      </c>
      <c r="C27" s="4013"/>
      <c r="D27" s="4013"/>
      <c r="E27" s="4013"/>
      <c r="F27" s="4013"/>
      <c r="G27" s="4014"/>
      <c r="H27" s="3234">
        <v>76.02</v>
      </c>
    </row>
    <row r="28" spans="1:8">
      <c r="A28" s="3241" t="s">
        <v>3593</v>
      </c>
      <c r="B28" s="3242" t="s">
        <v>2034</v>
      </c>
      <c r="C28" s="4000" t="s">
        <v>3594</v>
      </c>
      <c r="D28" s="4001"/>
      <c r="E28" s="4001"/>
      <c r="F28" s="4001"/>
      <c r="G28" s="4002"/>
      <c r="H28" s="3243">
        <v>0.53453742411055416</v>
      </c>
    </row>
    <row r="29" spans="1:8">
      <c r="A29" s="3241" t="s">
        <v>3595</v>
      </c>
      <c r="B29" s="3242" t="s">
        <v>3596</v>
      </c>
      <c r="C29" s="4000" t="s">
        <v>3597</v>
      </c>
      <c r="D29" s="4001"/>
      <c r="E29" s="4001"/>
      <c r="F29" s="4001"/>
      <c r="G29" s="4002"/>
      <c r="H29" s="3234">
        <v>30758.97</v>
      </c>
    </row>
    <row r="30" spans="1:8">
      <c r="A30" s="3241" t="s">
        <v>3598</v>
      </c>
      <c r="B30" s="3242" t="s">
        <v>3599</v>
      </c>
      <c r="C30" s="4000" t="s">
        <v>3600</v>
      </c>
      <c r="D30" s="4001"/>
      <c r="E30" s="4001"/>
      <c r="F30" s="4001"/>
      <c r="G30" s="4002"/>
      <c r="H30" s="3237">
        <v>0.20812296771367436</v>
      </c>
    </row>
    <row r="31" spans="1:8">
      <c r="A31" s="3233" t="s">
        <v>3601</v>
      </c>
      <c r="B31" s="4000" t="s">
        <v>3602</v>
      </c>
      <c r="C31" s="4001"/>
      <c r="D31" s="4001"/>
      <c r="E31" s="4001"/>
      <c r="F31" s="4001"/>
      <c r="G31" s="4002"/>
      <c r="H31" s="3234">
        <v>44653.59</v>
      </c>
    </row>
    <row r="32" spans="1:8">
      <c r="A32" s="3233" t="s">
        <v>3559</v>
      </c>
      <c r="B32" s="4000" t="s">
        <v>3603</v>
      </c>
      <c r="C32" s="4001"/>
      <c r="D32" s="4001"/>
      <c r="E32" s="4001"/>
      <c r="F32" s="4001"/>
      <c r="G32" s="4002"/>
      <c r="H32" s="3234">
        <v>10273.200000000001</v>
      </c>
    </row>
    <row r="33" spans="1:14">
      <c r="A33" s="3233" t="s">
        <v>3604</v>
      </c>
      <c r="B33" s="4000" t="s">
        <v>3605</v>
      </c>
      <c r="C33" s="4001"/>
      <c r="D33" s="4001"/>
      <c r="E33" s="4001"/>
      <c r="F33" s="4001"/>
      <c r="G33" s="4002"/>
      <c r="H33" s="3234">
        <v>10273.200000000001</v>
      </c>
    </row>
    <row r="34" spans="1:14">
      <c r="A34" s="3233" t="s">
        <v>3606</v>
      </c>
      <c r="B34" s="4000" t="s">
        <v>3607</v>
      </c>
      <c r="C34" s="4001"/>
      <c r="D34" s="4001"/>
      <c r="E34" s="4001"/>
      <c r="F34" s="4001"/>
      <c r="G34" s="4002"/>
      <c r="H34" s="3237">
        <v>0.30213747956676218</v>
      </c>
      <c r="N34" s="3232">
        <f>H20/913</f>
        <v>35.129211391018622</v>
      </c>
    </row>
    <row r="35" spans="1:14">
      <c r="A35" s="3233" t="s">
        <v>3608</v>
      </c>
      <c r="B35" s="4006" t="s">
        <v>3609</v>
      </c>
      <c r="C35" s="4007"/>
      <c r="D35" s="4007"/>
      <c r="E35" s="4007"/>
      <c r="F35" s="4007"/>
      <c r="G35" s="4008"/>
      <c r="H35" s="3244">
        <v>916</v>
      </c>
    </row>
    <row r="36" spans="1:14">
      <c r="A36" s="3233" t="s">
        <v>3559</v>
      </c>
      <c r="B36" s="4006" t="s">
        <v>3610</v>
      </c>
      <c r="C36" s="4007"/>
      <c r="D36" s="4007"/>
      <c r="E36" s="4007"/>
      <c r="F36" s="4007"/>
      <c r="G36" s="4008"/>
      <c r="H36" s="3244">
        <v>3</v>
      </c>
    </row>
    <row r="37" spans="1:14">
      <c r="A37" s="4009" t="s">
        <v>3611</v>
      </c>
      <c r="B37" s="4006" t="s">
        <v>3612</v>
      </c>
      <c r="C37" s="4007"/>
      <c r="D37" s="4007"/>
      <c r="E37" s="4007"/>
      <c r="F37" s="4007"/>
      <c r="G37" s="4008"/>
      <c r="H37" s="3244">
        <v>3</v>
      </c>
    </row>
    <row r="38" spans="1:14">
      <c r="A38" s="4010"/>
      <c r="B38" s="4006" t="s">
        <v>3613</v>
      </c>
      <c r="C38" s="4007"/>
      <c r="D38" s="4007"/>
      <c r="E38" s="4007"/>
      <c r="F38" s="4007"/>
      <c r="G38" s="4008"/>
      <c r="H38" s="3244">
        <v>0</v>
      </c>
    </row>
    <row r="39" spans="1:14">
      <c r="A39" s="4011"/>
      <c r="B39" s="4006" t="s">
        <v>3614</v>
      </c>
      <c r="C39" s="4007"/>
      <c r="D39" s="4007"/>
      <c r="E39" s="4007"/>
      <c r="F39" s="4007"/>
      <c r="G39" s="4008"/>
      <c r="H39" s="3245">
        <v>3.2751091703056767E-3</v>
      </c>
    </row>
    <row r="40" spans="1:14">
      <c r="A40" s="4009" t="s">
        <v>3615</v>
      </c>
      <c r="B40" s="4006" t="s">
        <v>3616</v>
      </c>
      <c r="C40" s="4007"/>
      <c r="D40" s="4007"/>
      <c r="E40" s="4007"/>
      <c r="F40" s="4007"/>
      <c r="G40" s="4008"/>
      <c r="H40" s="3244">
        <v>0</v>
      </c>
    </row>
    <row r="41" spans="1:14">
      <c r="A41" s="4010"/>
      <c r="B41" s="4006" t="s">
        <v>3617</v>
      </c>
      <c r="C41" s="4007"/>
      <c r="D41" s="4007"/>
      <c r="E41" s="4007"/>
      <c r="F41" s="4007"/>
      <c r="G41" s="4008"/>
      <c r="H41" s="3244">
        <v>0</v>
      </c>
    </row>
    <row r="42" spans="1:14">
      <c r="A42" s="4010"/>
      <c r="B42" s="4006" t="s">
        <v>3618</v>
      </c>
      <c r="C42" s="4007"/>
      <c r="D42" s="4007"/>
      <c r="E42" s="4007"/>
      <c r="F42" s="4007"/>
      <c r="G42" s="4008"/>
      <c r="H42" s="3244">
        <v>0</v>
      </c>
    </row>
    <row r="43" spans="1:14">
      <c r="A43" s="4010"/>
      <c r="B43" s="4006" t="s">
        <v>3619</v>
      </c>
      <c r="C43" s="4007"/>
      <c r="D43" s="4007"/>
      <c r="E43" s="4007"/>
      <c r="F43" s="4007"/>
      <c r="G43" s="4008"/>
      <c r="H43" s="3244">
        <v>0</v>
      </c>
    </row>
    <row r="44" spans="1:14">
      <c r="A44" s="4010"/>
      <c r="B44" s="4006" t="s">
        <v>3620</v>
      </c>
      <c r="C44" s="4007"/>
      <c r="D44" s="4007"/>
      <c r="E44" s="4007"/>
      <c r="F44" s="4007"/>
      <c r="G44" s="4008"/>
      <c r="H44" s="3244">
        <v>3</v>
      </c>
    </row>
    <row r="45" spans="1:14">
      <c r="A45" s="4011"/>
      <c r="B45" s="4006" t="s">
        <v>3621</v>
      </c>
      <c r="C45" s="4007"/>
      <c r="D45" s="4007"/>
      <c r="E45" s="4007"/>
      <c r="F45" s="4007"/>
      <c r="G45" s="4008"/>
      <c r="H45" s="3244">
        <v>0</v>
      </c>
    </row>
    <row r="46" spans="1:14">
      <c r="A46" s="3233" t="s">
        <v>3581</v>
      </c>
      <c r="B46" s="4006" t="s">
        <v>3622</v>
      </c>
      <c r="C46" s="4007"/>
      <c r="D46" s="4007"/>
      <c r="E46" s="4007"/>
      <c r="F46" s="4007"/>
      <c r="G46" s="4008"/>
      <c r="H46" s="3244">
        <v>913</v>
      </c>
    </row>
    <row r="47" spans="1:14">
      <c r="A47" s="3233">
        <v>1</v>
      </c>
      <c r="B47" s="4006" t="s">
        <v>3623</v>
      </c>
      <c r="C47" s="4007"/>
      <c r="D47" s="4007"/>
      <c r="E47" s="4007"/>
      <c r="F47" s="4007"/>
      <c r="G47" s="4008"/>
      <c r="H47" s="3244">
        <v>0</v>
      </c>
    </row>
    <row r="48" spans="1:14">
      <c r="A48" s="3233">
        <v>2</v>
      </c>
      <c r="B48" s="4006" t="s">
        <v>3624</v>
      </c>
      <c r="C48" s="4007"/>
      <c r="D48" s="4007"/>
      <c r="E48" s="4007"/>
      <c r="F48" s="4007"/>
      <c r="G48" s="4008"/>
      <c r="H48" s="3244">
        <v>913</v>
      </c>
    </row>
    <row r="49" spans="1:8">
      <c r="A49" s="3236" t="s">
        <v>2399</v>
      </c>
      <c r="B49" s="4006" t="s">
        <v>3625</v>
      </c>
      <c r="C49" s="4007"/>
      <c r="D49" s="4007"/>
      <c r="E49" s="4007"/>
      <c r="F49" s="4007"/>
      <c r="G49" s="4008"/>
      <c r="H49" s="3244">
        <v>92</v>
      </c>
    </row>
    <row r="50" spans="1:8">
      <c r="A50" s="3233" t="s">
        <v>2401</v>
      </c>
      <c r="B50" s="4006" t="s">
        <v>3626</v>
      </c>
      <c r="C50" s="4007"/>
      <c r="D50" s="4007"/>
      <c r="E50" s="4007"/>
      <c r="F50" s="4007"/>
      <c r="G50" s="4008"/>
      <c r="H50" s="3244">
        <v>318</v>
      </c>
    </row>
    <row r="51" spans="1:8">
      <c r="A51" s="3233" t="s">
        <v>2403</v>
      </c>
      <c r="B51" s="4003" t="s">
        <v>3627</v>
      </c>
      <c r="C51" s="4004"/>
      <c r="D51" s="4004"/>
      <c r="E51" s="4004"/>
      <c r="F51" s="4004"/>
      <c r="G51" s="4005"/>
      <c r="H51" s="3244">
        <v>499</v>
      </c>
    </row>
    <row r="52" spans="1:8">
      <c r="A52" s="3233" t="s">
        <v>3628</v>
      </c>
      <c r="B52" s="4006" t="s">
        <v>3629</v>
      </c>
      <c r="C52" s="4007"/>
      <c r="D52" s="4007"/>
      <c r="E52" s="4007"/>
      <c r="F52" s="4007"/>
      <c r="G52" s="4008"/>
      <c r="H52" s="3244">
        <v>4</v>
      </c>
    </row>
    <row r="53" spans="1:8">
      <c r="A53" s="3233" t="s">
        <v>3630</v>
      </c>
      <c r="B53" s="4006" t="s">
        <v>3631</v>
      </c>
      <c r="C53" s="4007"/>
      <c r="D53" s="4007"/>
      <c r="E53" s="4007"/>
      <c r="F53" s="4007"/>
      <c r="G53" s="4008"/>
      <c r="H53" s="3244">
        <v>605</v>
      </c>
    </row>
    <row r="54" spans="1:8">
      <c r="A54" s="3233" t="s">
        <v>3559</v>
      </c>
      <c r="B54" s="4006" t="s">
        <v>3632</v>
      </c>
      <c r="C54" s="4007"/>
      <c r="D54" s="4007"/>
      <c r="E54" s="4007"/>
      <c r="F54" s="4007"/>
      <c r="G54" s="4008"/>
      <c r="H54" s="3244">
        <v>605</v>
      </c>
    </row>
    <row r="55" spans="1:8">
      <c r="A55" s="3246"/>
      <c r="B55" s="4006" t="s">
        <v>3624</v>
      </c>
      <c r="C55" s="4007"/>
      <c r="D55" s="4007"/>
      <c r="E55" s="4007"/>
      <c r="F55" s="4007"/>
      <c r="G55" s="4008"/>
      <c r="H55" s="3244">
        <v>605</v>
      </c>
    </row>
    <row r="56" spans="1:8">
      <c r="A56" s="3233" t="s">
        <v>3633</v>
      </c>
      <c r="B56" s="4000" t="s">
        <v>3634</v>
      </c>
      <c r="C56" s="4001"/>
      <c r="D56" s="4001"/>
      <c r="E56" s="4001"/>
      <c r="F56" s="4001"/>
      <c r="G56" s="4001"/>
      <c r="H56" s="4002"/>
    </row>
    <row r="57" spans="1:8" ht="81">
      <c r="A57" s="3233"/>
      <c r="B57" s="3235" t="s">
        <v>3635</v>
      </c>
      <c r="C57" s="3997" t="s">
        <v>3636</v>
      </c>
      <c r="D57" s="3998"/>
      <c r="E57" s="3999"/>
      <c r="F57" s="3247" t="s">
        <v>3637</v>
      </c>
      <c r="G57" s="3997" t="s">
        <v>3638</v>
      </c>
      <c r="H57" s="3999"/>
    </row>
    <row r="58" spans="1:8" ht="42.75" customHeight="1">
      <c r="A58" s="3233"/>
      <c r="B58" s="3235" t="s">
        <v>3639</v>
      </c>
      <c r="C58" s="3997" t="s">
        <v>3640</v>
      </c>
      <c r="D58" s="3998"/>
      <c r="E58" s="3998"/>
      <c r="F58" s="3998"/>
      <c r="G58" s="3998"/>
      <c r="H58" s="3999"/>
    </row>
    <row r="59" spans="1:8">
      <c r="A59" s="3233" t="s">
        <v>3489</v>
      </c>
      <c r="B59" s="4000" t="s">
        <v>3641</v>
      </c>
      <c r="C59" s="4001"/>
      <c r="D59" s="4001"/>
      <c r="E59" s="4001"/>
      <c r="F59" s="4001"/>
      <c r="G59" s="4001"/>
      <c r="H59" s="4002"/>
    </row>
    <row r="60" spans="1:8">
      <c r="A60" s="3235"/>
      <c r="B60" s="4003" t="s">
        <v>3642</v>
      </c>
      <c r="C60" s="4004"/>
      <c r="D60" s="4004"/>
      <c r="E60" s="4004"/>
      <c r="F60" s="4004"/>
      <c r="G60" s="4004"/>
      <c r="H60" s="4005"/>
    </row>
    <row r="117" ht="13.5" customHeight="1"/>
    <row r="121" ht="54" customHeight="1"/>
    <row r="122" ht="13.5" customHeight="1"/>
  </sheetData>
  <mergeCells count="64">
    <mergeCell ref="B12:G12"/>
    <mergeCell ref="A2:H2"/>
    <mergeCell ref="B3:G3"/>
    <mergeCell ref="C4:G4"/>
    <mergeCell ref="B5:G5"/>
    <mergeCell ref="B6:G6"/>
    <mergeCell ref="C7:E7"/>
    <mergeCell ref="F7:G7"/>
    <mergeCell ref="C8:E8"/>
    <mergeCell ref="F8:G8"/>
    <mergeCell ref="B9:G9"/>
    <mergeCell ref="E10:G10"/>
    <mergeCell ref="B11:G11"/>
    <mergeCell ref="B24:G24"/>
    <mergeCell ref="B13:G13"/>
    <mergeCell ref="B14:G14"/>
    <mergeCell ref="B15:G15"/>
    <mergeCell ref="B16:G16"/>
    <mergeCell ref="B17:G17"/>
    <mergeCell ref="B18:G18"/>
    <mergeCell ref="C19:G19"/>
    <mergeCell ref="B20:G20"/>
    <mergeCell ref="B21:G21"/>
    <mergeCell ref="B22:G22"/>
    <mergeCell ref="B23:G23"/>
    <mergeCell ref="B36:G36"/>
    <mergeCell ref="B25:G25"/>
    <mergeCell ref="B26:G26"/>
    <mergeCell ref="B27:G27"/>
    <mergeCell ref="C28:G28"/>
    <mergeCell ref="C29:G29"/>
    <mergeCell ref="C30:G30"/>
    <mergeCell ref="B31:G31"/>
    <mergeCell ref="B32:G32"/>
    <mergeCell ref="B33:G33"/>
    <mergeCell ref="B34:G34"/>
    <mergeCell ref="B35:G35"/>
    <mergeCell ref="A37:A39"/>
    <mergeCell ref="B37:G37"/>
    <mergeCell ref="B38:G38"/>
    <mergeCell ref="B39:G39"/>
    <mergeCell ref="A40:A45"/>
    <mergeCell ref="B40:G40"/>
    <mergeCell ref="B41:G41"/>
    <mergeCell ref="B42:G42"/>
    <mergeCell ref="B43:G43"/>
    <mergeCell ref="B44:G44"/>
    <mergeCell ref="B56:H56"/>
    <mergeCell ref="B45:G45"/>
    <mergeCell ref="B46:G46"/>
    <mergeCell ref="B47:G47"/>
    <mergeCell ref="B48:G48"/>
    <mergeCell ref="B49:G49"/>
    <mergeCell ref="B50:G50"/>
    <mergeCell ref="B51:G51"/>
    <mergeCell ref="B52:G52"/>
    <mergeCell ref="B53:G53"/>
    <mergeCell ref="B54:G54"/>
    <mergeCell ref="B55:G55"/>
    <mergeCell ref="C57:E57"/>
    <mergeCell ref="G57:H57"/>
    <mergeCell ref="C58:H58"/>
    <mergeCell ref="B59:H59"/>
    <mergeCell ref="B60:H60"/>
  </mergeCells>
  <phoneticPr fontId="234"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AA51"/>
  <sheetViews>
    <sheetView workbookViewId="0">
      <selection activeCell="H43" sqref="H43"/>
    </sheetView>
  </sheetViews>
  <sheetFormatPr defaultRowHeight="13.5"/>
  <cols>
    <col min="1" max="1" width="17.125" style="3210" customWidth="1"/>
    <col min="2" max="5" width="9" style="3210" bestFit="1" customWidth="1"/>
    <col min="6" max="6" width="18.5" style="3210" customWidth="1"/>
    <col min="7" max="7" width="10.5" style="3210" customWidth="1"/>
    <col min="8" max="9" width="9" style="3210" bestFit="1" customWidth="1"/>
    <col min="10" max="10" width="9.5" style="3210" customWidth="1"/>
    <col min="11" max="11" width="23.875" style="3210" bestFit="1" customWidth="1"/>
    <col min="12" max="12" width="9.75" style="3210" customWidth="1"/>
    <col min="13" max="13" width="9.25" style="3210" customWidth="1"/>
    <col min="14" max="14" width="10.5" style="3210" bestFit="1" customWidth="1"/>
    <col min="15" max="16" width="9" style="3210" bestFit="1" customWidth="1"/>
    <col min="17" max="17" width="9" style="3210" customWidth="1"/>
    <col min="18" max="26" width="9" style="3210" bestFit="1" customWidth="1"/>
    <col min="27" max="27" width="9" style="3210" hidden="1" customWidth="1"/>
    <col min="28" max="256" width="9" style="3210"/>
    <col min="257" max="257" width="17.125" style="3210" customWidth="1"/>
    <col min="258" max="261" width="9" style="3210" bestFit="1" customWidth="1"/>
    <col min="262" max="262" width="18.5" style="3210" customWidth="1"/>
    <col min="263" max="263" width="10.5" style="3210" customWidth="1"/>
    <col min="264" max="265" width="9" style="3210" bestFit="1" customWidth="1"/>
    <col min="266" max="266" width="9.5" style="3210" customWidth="1"/>
    <col min="267" max="267" width="23.875" style="3210" bestFit="1" customWidth="1"/>
    <col min="268" max="268" width="9.75" style="3210" customWidth="1"/>
    <col min="269" max="269" width="9.25" style="3210" customWidth="1"/>
    <col min="270" max="270" width="10.5" style="3210" bestFit="1" customWidth="1"/>
    <col min="271" max="272" width="9" style="3210" bestFit="1" customWidth="1"/>
    <col min="273" max="273" width="9" style="3210" customWidth="1"/>
    <col min="274" max="282" width="9" style="3210" bestFit="1" customWidth="1"/>
    <col min="283" max="283" width="0" style="3210" hidden="1" customWidth="1"/>
    <col min="284" max="512" width="9" style="3210"/>
    <col min="513" max="513" width="17.125" style="3210" customWidth="1"/>
    <col min="514" max="517" width="9" style="3210" bestFit="1" customWidth="1"/>
    <col min="518" max="518" width="18.5" style="3210" customWidth="1"/>
    <col min="519" max="519" width="10.5" style="3210" customWidth="1"/>
    <col min="520" max="521" width="9" style="3210" bestFit="1" customWidth="1"/>
    <col min="522" max="522" width="9.5" style="3210" customWidth="1"/>
    <col min="523" max="523" width="23.875" style="3210" bestFit="1" customWidth="1"/>
    <col min="524" max="524" width="9.75" style="3210" customWidth="1"/>
    <col min="525" max="525" width="9.25" style="3210" customWidth="1"/>
    <col min="526" max="526" width="10.5" style="3210" bestFit="1" customWidth="1"/>
    <col min="527" max="528" width="9" style="3210" bestFit="1" customWidth="1"/>
    <col min="529" max="529" width="9" style="3210" customWidth="1"/>
    <col min="530" max="538" width="9" style="3210" bestFit="1" customWidth="1"/>
    <col min="539" max="539" width="0" style="3210" hidden="1" customWidth="1"/>
    <col min="540" max="768" width="9" style="3210"/>
    <col min="769" max="769" width="17.125" style="3210" customWidth="1"/>
    <col min="770" max="773" width="9" style="3210" bestFit="1" customWidth="1"/>
    <col min="774" max="774" width="18.5" style="3210" customWidth="1"/>
    <col min="775" max="775" width="10.5" style="3210" customWidth="1"/>
    <col min="776" max="777" width="9" style="3210" bestFit="1" customWidth="1"/>
    <col min="778" max="778" width="9.5" style="3210" customWidth="1"/>
    <col min="779" max="779" width="23.875" style="3210" bestFit="1" customWidth="1"/>
    <col min="780" max="780" width="9.75" style="3210" customWidth="1"/>
    <col min="781" max="781" width="9.25" style="3210" customWidth="1"/>
    <col min="782" max="782" width="10.5" style="3210" bestFit="1" customWidth="1"/>
    <col min="783" max="784" width="9" style="3210" bestFit="1" customWidth="1"/>
    <col min="785" max="785" width="9" style="3210" customWidth="1"/>
    <col min="786" max="794" width="9" style="3210" bestFit="1" customWidth="1"/>
    <col min="795" max="795" width="0" style="3210" hidden="1" customWidth="1"/>
    <col min="796" max="1024" width="9" style="3210"/>
    <col min="1025" max="1025" width="17.125" style="3210" customWidth="1"/>
    <col min="1026" max="1029" width="9" style="3210" bestFit="1" customWidth="1"/>
    <col min="1030" max="1030" width="18.5" style="3210" customWidth="1"/>
    <col min="1031" max="1031" width="10.5" style="3210" customWidth="1"/>
    <col min="1032" max="1033" width="9" style="3210" bestFit="1" customWidth="1"/>
    <col min="1034" max="1034" width="9.5" style="3210" customWidth="1"/>
    <col min="1035" max="1035" width="23.875" style="3210" bestFit="1" customWidth="1"/>
    <col min="1036" max="1036" width="9.75" style="3210" customWidth="1"/>
    <col min="1037" max="1037" width="9.25" style="3210" customWidth="1"/>
    <col min="1038" max="1038" width="10.5" style="3210" bestFit="1" customWidth="1"/>
    <col min="1039" max="1040" width="9" style="3210" bestFit="1" customWidth="1"/>
    <col min="1041" max="1041" width="9" style="3210" customWidth="1"/>
    <col min="1042" max="1050" width="9" style="3210" bestFit="1" customWidth="1"/>
    <col min="1051" max="1051" width="0" style="3210" hidden="1" customWidth="1"/>
    <col min="1052" max="1280" width="9" style="3210"/>
    <col min="1281" max="1281" width="17.125" style="3210" customWidth="1"/>
    <col min="1282" max="1285" width="9" style="3210" bestFit="1" customWidth="1"/>
    <col min="1286" max="1286" width="18.5" style="3210" customWidth="1"/>
    <col min="1287" max="1287" width="10.5" style="3210" customWidth="1"/>
    <col min="1288" max="1289" width="9" style="3210" bestFit="1" customWidth="1"/>
    <col min="1290" max="1290" width="9.5" style="3210" customWidth="1"/>
    <col min="1291" max="1291" width="23.875" style="3210" bestFit="1" customWidth="1"/>
    <col min="1292" max="1292" width="9.75" style="3210" customWidth="1"/>
    <col min="1293" max="1293" width="9.25" style="3210" customWidth="1"/>
    <col min="1294" max="1294" width="10.5" style="3210" bestFit="1" customWidth="1"/>
    <col min="1295" max="1296" width="9" style="3210" bestFit="1" customWidth="1"/>
    <col min="1297" max="1297" width="9" style="3210" customWidth="1"/>
    <col min="1298" max="1306" width="9" style="3210" bestFit="1" customWidth="1"/>
    <col min="1307" max="1307" width="0" style="3210" hidden="1" customWidth="1"/>
    <col min="1308" max="1536" width="9" style="3210"/>
    <col min="1537" max="1537" width="17.125" style="3210" customWidth="1"/>
    <col min="1538" max="1541" width="9" style="3210" bestFit="1" customWidth="1"/>
    <col min="1542" max="1542" width="18.5" style="3210" customWidth="1"/>
    <col min="1543" max="1543" width="10.5" style="3210" customWidth="1"/>
    <col min="1544" max="1545" width="9" style="3210" bestFit="1" customWidth="1"/>
    <col min="1546" max="1546" width="9.5" style="3210" customWidth="1"/>
    <col min="1547" max="1547" width="23.875" style="3210" bestFit="1" customWidth="1"/>
    <col min="1548" max="1548" width="9.75" style="3210" customWidth="1"/>
    <col min="1549" max="1549" width="9.25" style="3210" customWidth="1"/>
    <col min="1550" max="1550" width="10.5" style="3210" bestFit="1" customWidth="1"/>
    <col min="1551" max="1552" width="9" style="3210" bestFit="1" customWidth="1"/>
    <col min="1553" max="1553" width="9" style="3210" customWidth="1"/>
    <col min="1554" max="1562" width="9" style="3210" bestFit="1" customWidth="1"/>
    <col min="1563" max="1563" width="0" style="3210" hidden="1" customWidth="1"/>
    <col min="1564" max="1792" width="9" style="3210"/>
    <col min="1793" max="1793" width="17.125" style="3210" customWidth="1"/>
    <col min="1794" max="1797" width="9" style="3210" bestFit="1" customWidth="1"/>
    <col min="1798" max="1798" width="18.5" style="3210" customWidth="1"/>
    <col min="1799" max="1799" width="10.5" style="3210" customWidth="1"/>
    <col min="1800" max="1801" width="9" style="3210" bestFit="1" customWidth="1"/>
    <col min="1802" max="1802" width="9.5" style="3210" customWidth="1"/>
    <col min="1803" max="1803" width="23.875" style="3210" bestFit="1" customWidth="1"/>
    <col min="1804" max="1804" width="9.75" style="3210" customWidth="1"/>
    <col min="1805" max="1805" width="9.25" style="3210" customWidth="1"/>
    <col min="1806" max="1806" width="10.5" style="3210" bestFit="1" customWidth="1"/>
    <col min="1807" max="1808" width="9" style="3210" bestFit="1" customWidth="1"/>
    <col min="1809" max="1809" width="9" style="3210" customWidth="1"/>
    <col min="1810" max="1818" width="9" style="3210" bestFit="1" customWidth="1"/>
    <col min="1819" max="1819" width="0" style="3210" hidden="1" customWidth="1"/>
    <col min="1820" max="2048" width="9" style="3210"/>
    <col min="2049" max="2049" width="17.125" style="3210" customWidth="1"/>
    <col min="2050" max="2053" width="9" style="3210" bestFit="1" customWidth="1"/>
    <col min="2054" max="2054" width="18.5" style="3210" customWidth="1"/>
    <col min="2055" max="2055" width="10.5" style="3210" customWidth="1"/>
    <col min="2056" max="2057" width="9" style="3210" bestFit="1" customWidth="1"/>
    <col min="2058" max="2058" width="9.5" style="3210" customWidth="1"/>
    <col min="2059" max="2059" width="23.875" style="3210" bestFit="1" customWidth="1"/>
    <col min="2060" max="2060" width="9.75" style="3210" customWidth="1"/>
    <col min="2061" max="2061" width="9.25" style="3210" customWidth="1"/>
    <col min="2062" max="2062" width="10.5" style="3210" bestFit="1" customWidth="1"/>
    <col min="2063" max="2064" width="9" style="3210" bestFit="1" customWidth="1"/>
    <col min="2065" max="2065" width="9" style="3210" customWidth="1"/>
    <col min="2066" max="2074" width="9" style="3210" bestFit="1" customWidth="1"/>
    <col min="2075" max="2075" width="0" style="3210" hidden="1" customWidth="1"/>
    <col min="2076" max="2304" width="9" style="3210"/>
    <col min="2305" max="2305" width="17.125" style="3210" customWidth="1"/>
    <col min="2306" max="2309" width="9" style="3210" bestFit="1" customWidth="1"/>
    <col min="2310" max="2310" width="18.5" style="3210" customWidth="1"/>
    <col min="2311" max="2311" width="10.5" style="3210" customWidth="1"/>
    <col min="2312" max="2313" width="9" style="3210" bestFit="1" customWidth="1"/>
    <col min="2314" max="2314" width="9.5" style="3210" customWidth="1"/>
    <col min="2315" max="2315" width="23.875" style="3210" bestFit="1" customWidth="1"/>
    <col min="2316" max="2316" width="9.75" style="3210" customWidth="1"/>
    <col min="2317" max="2317" width="9.25" style="3210" customWidth="1"/>
    <col min="2318" max="2318" width="10.5" style="3210" bestFit="1" customWidth="1"/>
    <col min="2319" max="2320" width="9" style="3210" bestFit="1" customWidth="1"/>
    <col min="2321" max="2321" width="9" style="3210" customWidth="1"/>
    <col min="2322" max="2330" width="9" style="3210" bestFit="1" customWidth="1"/>
    <col min="2331" max="2331" width="0" style="3210" hidden="1" customWidth="1"/>
    <col min="2332" max="2560" width="9" style="3210"/>
    <col min="2561" max="2561" width="17.125" style="3210" customWidth="1"/>
    <col min="2562" max="2565" width="9" style="3210" bestFit="1" customWidth="1"/>
    <col min="2566" max="2566" width="18.5" style="3210" customWidth="1"/>
    <col min="2567" max="2567" width="10.5" style="3210" customWidth="1"/>
    <col min="2568" max="2569" width="9" style="3210" bestFit="1" customWidth="1"/>
    <col min="2570" max="2570" width="9.5" style="3210" customWidth="1"/>
    <col min="2571" max="2571" width="23.875" style="3210" bestFit="1" customWidth="1"/>
    <col min="2572" max="2572" width="9.75" style="3210" customWidth="1"/>
    <col min="2573" max="2573" width="9.25" style="3210" customWidth="1"/>
    <col min="2574" max="2574" width="10.5" style="3210" bestFit="1" customWidth="1"/>
    <col min="2575" max="2576" width="9" style="3210" bestFit="1" customWidth="1"/>
    <col min="2577" max="2577" width="9" style="3210" customWidth="1"/>
    <col min="2578" max="2586" width="9" style="3210" bestFit="1" customWidth="1"/>
    <col min="2587" max="2587" width="0" style="3210" hidden="1" customWidth="1"/>
    <col min="2588" max="2816" width="9" style="3210"/>
    <col min="2817" max="2817" width="17.125" style="3210" customWidth="1"/>
    <col min="2818" max="2821" width="9" style="3210" bestFit="1" customWidth="1"/>
    <col min="2822" max="2822" width="18.5" style="3210" customWidth="1"/>
    <col min="2823" max="2823" width="10.5" style="3210" customWidth="1"/>
    <col min="2824" max="2825" width="9" style="3210" bestFit="1" customWidth="1"/>
    <col min="2826" max="2826" width="9.5" style="3210" customWidth="1"/>
    <col min="2827" max="2827" width="23.875" style="3210" bestFit="1" customWidth="1"/>
    <col min="2828" max="2828" width="9.75" style="3210" customWidth="1"/>
    <col min="2829" max="2829" width="9.25" style="3210" customWidth="1"/>
    <col min="2830" max="2830" width="10.5" style="3210" bestFit="1" customWidth="1"/>
    <col min="2831" max="2832" width="9" style="3210" bestFit="1" customWidth="1"/>
    <col min="2833" max="2833" width="9" style="3210" customWidth="1"/>
    <col min="2834" max="2842" width="9" style="3210" bestFit="1" customWidth="1"/>
    <col min="2843" max="2843" width="0" style="3210" hidden="1" customWidth="1"/>
    <col min="2844" max="3072" width="9" style="3210"/>
    <col min="3073" max="3073" width="17.125" style="3210" customWidth="1"/>
    <col min="3074" max="3077" width="9" style="3210" bestFit="1" customWidth="1"/>
    <col min="3078" max="3078" width="18.5" style="3210" customWidth="1"/>
    <col min="3079" max="3079" width="10.5" style="3210" customWidth="1"/>
    <col min="3080" max="3081" width="9" style="3210" bestFit="1" customWidth="1"/>
    <col min="3082" max="3082" width="9.5" style="3210" customWidth="1"/>
    <col min="3083" max="3083" width="23.875" style="3210" bestFit="1" customWidth="1"/>
    <col min="3084" max="3084" width="9.75" style="3210" customWidth="1"/>
    <col min="3085" max="3085" width="9.25" style="3210" customWidth="1"/>
    <col min="3086" max="3086" width="10.5" style="3210" bestFit="1" customWidth="1"/>
    <col min="3087" max="3088" width="9" style="3210" bestFit="1" customWidth="1"/>
    <col min="3089" max="3089" width="9" style="3210" customWidth="1"/>
    <col min="3090" max="3098" width="9" style="3210" bestFit="1" customWidth="1"/>
    <col min="3099" max="3099" width="0" style="3210" hidden="1" customWidth="1"/>
    <col min="3100" max="3328" width="9" style="3210"/>
    <col min="3329" max="3329" width="17.125" style="3210" customWidth="1"/>
    <col min="3330" max="3333" width="9" style="3210" bestFit="1" customWidth="1"/>
    <col min="3334" max="3334" width="18.5" style="3210" customWidth="1"/>
    <col min="3335" max="3335" width="10.5" style="3210" customWidth="1"/>
    <col min="3336" max="3337" width="9" style="3210" bestFit="1" customWidth="1"/>
    <col min="3338" max="3338" width="9.5" style="3210" customWidth="1"/>
    <col min="3339" max="3339" width="23.875" style="3210" bestFit="1" customWidth="1"/>
    <col min="3340" max="3340" width="9.75" style="3210" customWidth="1"/>
    <col min="3341" max="3341" width="9.25" style="3210" customWidth="1"/>
    <col min="3342" max="3342" width="10.5" style="3210" bestFit="1" customWidth="1"/>
    <col min="3343" max="3344" width="9" style="3210" bestFit="1" customWidth="1"/>
    <col min="3345" max="3345" width="9" style="3210" customWidth="1"/>
    <col min="3346" max="3354" width="9" style="3210" bestFit="1" customWidth="1"/>
    <col min="3355" max="3355" width="0" style="3210" hidden="1" customWidth="1"/>
    <col min="3356" max="3584" width="9" style="3210"/>
    <col min="3585" max="3585" width="17.125" style="3210" customWidth="1"/>
    <col min="3586" max="3589" width="9" style="3210" bestFit="1" customWidth="1"/>
    <col min="3590" max="3590" width="18.5" style="3210" customWidth="1"/>
    <col min="3591" max="3591" width="10.5" style="3210" customWidth="1"/>
    <col min="3592" max="3593" width="9" style="3210" bestFit="1" customWidth="1"/>
    <col min="3594" max="3594" width="9.5" style="3210" customWidth="1"/>
    <col min="3595" max="3595" width="23.875" style="3210" bestFit="1" customWidth="1"/>
    <col min="3596" max="3596" width="9.75" style="3210" customWidth="1"/>
    <col min="3597" max="3597" width="9.25" style="3210" customWidth="1"/>
    <col min="3598" max="3598" width="10.5" style="3210" bestFit="1" customWidth="1"/>
    <col min="3599" max="3600" width="9" style="3210" bestFit="1" customWidth="1"/>
    <col min="3601" max="3601" width="9" style="3210" customWidth="1"/>
    <col min="3602" max="3610" width="9" style="3210" bestFit="1" customWidth="1"/>
    <col min="3611" max="3611" width="0" style="3210" hidden="1" customWidth="1"/>
    <col min="3612" max="3840" width="9" style="3210"/>
    <col min="3841" max="3841" width="17.125" style="3210" customWidth="1"/>
    <col min="3842" max="3845" width="9" style="3210" bestFit="1" customWidth="1"/>
    <col min="3846" max="3846" width="18.5" style="3210" customWidth="1"/>
    <col min="3847" max="3847" width="10.5" style="3210" customWidth="1"/>
    <col min="3848" max="3849" width="9" style="3210" bestFit="1" customWidth="1"/>
    <col min="3850" max="3850" width="9.5" style="3210" customWidth="1"/>
    <col min="3851" max="3851" width="23.875" style="3210" bestFit="1" customWidth="1"/>
    <col min="3852" max="3852" width="9.75" style="3210" customWidth="1"/>
    <col min="3853" max="3853" width="9.25" style="3210" customWidth="1"/>
    <col min="3854" max="3854" width="10.5" style="3210" bestFit="1" customWidth="1"/>
    <col min="3855" max="3856" width="9" style="3210" bestFit="1" customWidth="1"/>
    <col min="3857" max="3857" width="9" style="3210" customWidth="1"/>
    <col min="3858" max="3866" width="9" style="3210" bestFit="1" customWidth="1"/>
    <col min="3867" max="3867" width="0" style="3210" hidden="1" customWidth="1"/>
    <col min="3868" max="4096" width="9" style="3210"/>
    <col min="4097" max="4097" width="17.125" style="3210" customWidth="1"/>
    <col min="4098" max="4101" width="9" style="3210" bestFit="1" customWidth="1"/>
    <col min="4102" max="4102" width="18.5" style="3210" customWidth="1"/>
    <col min="4103" max="4103" width="10.5" style="3210" customWidth="1"/>
    <col min="4104" max="4105" width="9" style="3210" bestFit="1" customWidth="1"/>
    <col min="4106" max="4106" width="9.5" style="3210" customWidth="1"/>
    <col min="4107" max="4107" width="23.875" style="3210" bestFit="1" customWidth="1"/>
    <col min="4108" max="4108" width="9.75" style="3210" customWidth="1"/>
    <col min="4109" max="4109" width="9.25" style="3210" customWidth="1"/>
    <col min="4110" max="4110" width="10.5" style="3210" bestFit="1" customWidth="1"/>
    <col min="4111" max="4112" width="9" style="3210" bestFit="1" customWidth="1"/>
    <col min="4113" max="4113" width="9" style="3210" customWidth="1"/>
    <col min="4114" max="4122" width="9" style="3210" bestFit="1" customWidth="1"/>
    <col min="4123" max="4123" width="0" style="3210" hidden="1" customWidth="1"/>
    <col min="4124" max="4352" width="9" style="3210"/>
    <col min="4353" max="4353" width="17.125" style="3210" customWidth="1"/>
    <col min="4354" max="4357" width="9" style="3210" bestFit="1" customWidth="1"/>
    <col min="4358" max="4358" width="18.5" style="3210" customWidth="1"/>
    <col min="4359" max="4359" width="10.5" style="3210" customWidth="1"/>
    <col min="4360" max="4361" width="9" style="3210" bestFit="1" customWidth="1"/>
    <col min="4362" max="4362" width="9.5" style="3210" customWidth="1"/>
    <col min="4363" max="4363" width="23.875" style="3210" bestFit="1" customWidth="1"/>
    <col min="4364" max="4364" width="9.75" style="3210" customWidth="1"/>
    <col min="4365" max="4365" width="9.25" style="3210" customWidth="1"/>
    <col min="4366" max="4366" width="10.5" style="3210" bestFit="1" customWidth="1"/>
    <col min="4367" max="4368" width="9" style="3210" bestFit="1" customWidth="1"/>
    <col min="4369" max="4369" width="9" style="3210" customWidth="1"/>
    <col min="4370" max="4378" width="9" style="3210" bestFit="1" customWidth="1"/>
    <col min="4379" max="4379" width="0" style="3210" hidden="1" customWidth="1"/>
    <col min="4380" max="4608" width="9" style="3210"/>
    <col min="4609" max="4609" width="17.125" style="3210" customWidth="1"/>
    <col min="4610" max="4613" width="9" style="3210" bestFit="1" customWidth="1"/>
    <col min="4614" max="4614" width="18.5" style="3210" customWidth="1"/>
    <col min="4615" max="4615" width="10.5" style="3210" customWidth="1"/>
    <col min="4616" max="4617" width="9" style="3210" bestFit="1" customWidth="1"/>
    <col min="4618" max="4618" width="9.5" style="3210" customWidth="1"/>
    <col min="4619" max="4619" width="23.875" style="3210" bestFit="1" customWidth="1"/>
    <col min="4620" max="4620" width="9.75" style="3210" customWidth="1"/>
    <col min="4621" max="4621" width="9.25" style="3210" customWidth="1"/>
    <col min="4622" max="4622" width="10.5" style="3210" bestFit="1" customWidth="1"/>
    <col min="4623" max="4624" width="9" style="3210" bestFit="1" customWidth="1"/>
    <col min="4625" max="4625" width="9" style="3210" customWidth="1"/>
    <col min="4626" max="4634" width="9" style="3210" bestFit="1" customWidth="1"/>
    <col min="4635" max="4635" width="0" style="3210" hidden="1" customWidth="1"/>
    <col min="4636" max="4864" width="9" style="3210"/>
    <col min="4865" max="4865" width="17.125" style="3210" customWidth="1"/>
    <col min="4866" max="4869" width="9" style="3210" bestFit="1" customWidth="1"/>
    <col min="4870" max="4870" width="18.5" style="3210" customWidth="1"/>
    <col min="4871" max="4871" width="10.5" style="3210" customWidth="1"/>
    <col min="4872" max="4873" width="9" style="3210" bestFit="1" customWidth="1"/>
    <col min="4874" max="4874" width="9.5" style="3210" customWidth="1"/>
    <col min="4875" max="4875" width="23.875" style="3210" bestFit="1" customWidth="1"/>
    <col min="4876" max="4876" width="9.75" style="3210" customWidth="1"/>
    <col min="4877" max="4877" width="9.25" style="3210" customWidth="1"/>
    <col min="4878" max="4878" width="10.5" style="3210" bestFit="1" customWidth="1"/>
    <col min="4879" max="4880" width="9" style="3210" bestFit="1" customWidth="1"/>
    <col min="4881" max="4881" width="9" style="3210" customWidth="1"/>
    <col min="4882" max="4890" width="9" style="3210" bestFit="1" customWidth="1"/>
    <col min="4891" max="4891" width="0" style="3210" hidden="1" customWidth="1"/>
    <col min="4892" max="5120" width="9" style="3210"/>
    <col min="5121" max="5121" width="17.125" style="3210" customWidth="1"/>
    <col min="5122" max="5125" width="9" style="3210" bestFit="1" customWidth="1"/>
    <col min="5126" max="5126" width="18.5" style="3210" customWidth="1"/>
    <col min="5127" max="5127" width="10.5" style="3210" customWidth="1"/>
    <col min="5128" max="5129" width="9" style="3210" bestFit="1" customWidth="1"/>
    <col min="5130" max="5130" width="9.5" style="3210" customWidth="1"/>
    <col min="5131" max="5131" width="23.875" style="3210" bestFit="1" customWidth="1"/>
    <col min="5132" max="5132" width="9.75" style="3210" customWidth="1"/>
    <col min="5133" max="5133" width="9.25" style="3210" customWidth="1"/>
    <col min="5134" max="5134" width="10.5" style="3210" bestFit="1" customWidth="1"/>
    <col min="5135" max="5136" width="9" style="3210" bestFit="1" customWidth="1"/>
    <col min="5137" max="5137" width="9" style="3210" customWidth="1"/>
    <col min="5138" max="5146" width="9" style="3210" bestFit="1" customWidth="1"/>
    <col min="5147" max="5147" width="0" style="3210" hidden="1" customWidth="1"/>
    <col min="5148" max="5376" width="9" style="3210"/>
    <col min="5377" max="5377" width="17.125" style="3210" customWidth="1"/>
    <col min="5378" max="5381" width="9" style="3210" bestFit="1" customWidth="1"/>
    <col min="5382" max="5382" width="18.5" style="3210" customWidth="1"/>
    <col min="5383" max="5383" width="10.5" style="3210" customWidth="1"/>
    <col min="5384" max="5385" width="9" style="3210" bestFit="1" customWidth="1"/>
    <col min="5386" max="5386" width="9.5" style="3210" customWidth="1"/>
    <col min="5387" max="5387" width="23.875" style="3210" bestFit="1" customWidth="1"/>
    <col min="5388" max="5388" width="9.75" style="3210" customWidth="1"/>
    <col min="5389" max="5389" width="9.25" style="3210" customWidth="1"/>
    <col min="5390" max="5390" width="10.5" style="3210" bestFit="1" customWidth="1"/>
    <col min="5391" max="5392" width="9" style="3210" bestFit="1" customWidth="1"/>
    <col min="5393" max="5393" width="9" style="3210" customWidth="1"/>
    <col min="5394" max="5402" width="9" style="3210" bestFit="1" customWidth="1"/>
    <col min="5403" max="5403" width="0" style="3210" hidden="1" customWidth="1"/>
    <col min="5404" max="5632" width="9" style="3210"/>
    <col min="5633" max="5633" width="17.125" style="3210" customWidth="1"/>
    <col min="5634" max="5637" width="9" style="3210" bestFit="1" customWidth="1"/>
    <col min="5638" max="5638" width="18.5" style="3210" customWidth="1"/>
    <col min="5639" max="5639" width="10.5" style="3210" customWidth="1"/>
    <col min="5640" max="5641" width="9" style="3210" bestFit="1" customWidth="1"/>
    <col min="5642" max="5642" width="9.5" style="3210" customWidth="1"/>
    <col min="5643" max="5643" width="23.875" style="3210" bestFit="1" customWidth="1"/>
    <col min="5644" max="5644" width="9.75" style="3210" customWidth="1"/>
    <col min="5645" max="5645" width="9.25" style="3210" customWidth="1"/>
    <col min="5646" max="5646" width="10.5" style="3210" bestFit="1" customWidth="1"/>
    <col min="5647" max="5648" width="9" style="3210" bestFit="1" customWidth="1"/>
    <col min="5649" max="5649" width="9" style="3210" customWidth="1"/>
    <col min="5650" max="5658" width="9" style="3210" bestFit="1" customWidth="1"/>
    <col min="5659" max="5659" width="0" style="3210" hidden="1" customWidth="1"/>
    <col min="5660" max="5888" width="9" style="3210"/>
    <col min="5889" max="5889" width="17.125" style="3210" customWidth="1"/>
    <col min="5890" max="5893" width="9" style="3210" bestFit="1" customWidth="1"/>
    <col min="5894" max="5894" width="18.5" style="3210" customWidth="1"/>
    <col min="5895" max="5895" width="10.5" style="3210" customWidth="1"/>
    <col min="5896" max="5897" width="9" style="3210" bestFit="1" customWidth="1"/>
    <col min="5898" max="5898" width="9.5" style="3210" customWidth="1"/>
    <col min="5899" max="5899" width="23.875" style="3210" bestFit="1" customWidth="1"/>
    <col min="5900" max="5900" width="9.75" style="3210" customWidth="1"/>
    <col min="5901" max="5901" width="9.25" style="3210" customWidth="1"/>
    <col min="5902" max="5902" width="10.5" style="3210" bestFit="1" customWidth="1"/>
    <col min="5903" max="5904" width="9" style="3210" bestFit="1" customWidth="1"/>
    <col min="5905" max="5905" width="9" style="3210" customWidth="1"/>
    <col min="5906" max="5914" width="9" style="3210" bestFit="1" customWidth="1"/>
    <col min="5915" max="5915" width="0" style="3210" hidden="1" customWidth="1"/>
    <col min="5916" max="6144" width="9" style="3210"/>
    <col min="6145" max="6145" width="17.125" style="3210" customWidth="1"/>
    <col min="6146" max="6149" width="9" style="3210" bestFit="1" customWidth="1"/>
    <col min="6150" max="6150" width="18.5" style="3210" customWidth="1"/>
    <col min="6151" max="6151" width="10.5" style="3210" customWidth="1"/>
    <col min="6152" max="6153" width="9" style="3210" bestFit="1" customWidth="1"/>
    <col min="6154" max="6154" width="9.5" style="3210" customWidth="1"/>
    <col min="6155" max="6155" width="23.875" style="3210" bestFit="1" customWidth="1"/>
    <col min="6156" max="6156" width="9.75" style="3210" customWidth="1"/>
    <col min="6157" max="6157" width="9.25" style="3210" customWidth="1"/>
    <col min="6158" max="6158" width="10.5" style="3210" bestFit="1" customWidth="1"/>
    <col min="6159" max="6160" width="9" style="3210" bestFit="1" customWidth="1"/>
    <col min="6161" max="6161" width="9" style="3210" customWidth="1"/>
    <col min="6162" max="6170" width="9" style="3210" bestFit="1" customWidth="1"/>
    <col min="6171" max="6171" width="0" style="3210" hidden="1" customWidth="1"/>
    <col min="6172" max="6400" width="9" style="3210"/>
    <col min="6401" max="6401" width="17.125" style="3210" customWidth="1"/>
    <col min="6402" max="6405" width="9" style="3210" bestFit="1" customWidth="1"/>
    <col min="6406" max="6406" width="18.5" style="3210" customWidth="1"/>
    <col min="6407" max="6407" width="10.5" style="3210" customWidth="1"/>
    <col min="6408" max="6409" width="9" style="3210" bestFit="1" customWidth="1"/>
    <col min="6410" max="6410" width="9.5" style="3210" customWidth="1"/>
    <col min="6411" max="6411" width="23.875" style="3210" bestFit="1" customWidth="1"/>
    <col min="6412" max="6412" width="9.75" style="3210" customWidth="1"/>
    <col min="6413" max="6413" width="9.25" style="3210" customWidth="1"/>
    <col min="6414" max="6414" width="10.5" style="3210" bestFit="1" customWidth="1"/>
    <col min="6415" max="6416" width="9" style="3210" bestFit="1" customWidth="1"/>
    <col min="6417" max="6417" width="9" style="3210" customWidth="1"/>
    <col min="6418" max="6426" width="9" style="3210" bestFit="1" customWidth="1"/>
    <col min="6427" max="6427" width="0" style="3210" hidden="1" customWidth="1"/>
    <col min="6428" max="6656" width="9" style="3210"/>
    <col min="6657" max="6657" width="17.125" style="3210" customWidth="1"/>
    <col min="6658" max="6661" width="9" style="3210" bestFit="1" customWidth="1"/>
    <col min="6662" max="6662" width="18.5" style="3210" customWidth="1"/>
    <col min="6663" max="6663" width="10.5" style="3210" customWidth="1"/>
    <col min="6664" max="6665" width="9" style="3210" bestFit="1" customWidth="1"/>
    <col min="6666" max="6666" width="9.5" style="3210" customWidth="1"/>
    <col min="6667" max="6667" width="23.875" style="3210" bestFit="1" customWidth="1"/>
    <col min="6668" max="6668" width="9.75" style="3210" customWidth="1"/>
    <col min="6669" max="6669" width="9.25" style="3210" customWidth="1"/>
    <col min="6670" max="6670" width="10.5" style="3210" bestFit="1" customWidth="1"/>
    <col min="6671" max="6672" width="9" style="3210" bestFit="1" customWidth="1"/>
    <col min="6673" max="6673" width="9" style="3210" customWidth="1"/>
    <col min="6674" max="6682" width="9" style="3210" bestFit="1" customWidth="1"/>
    <col min="6683" max="6683" width="0" style="3210" hidden="1" customWidth="1"/>
    <col min="6684" max="6912" width="9" style="3210"/>
    <col min="6913" max="6913" width="17.125" style="3210" customWidth="1"/>
    <col min="6914" max="6917" width="9" style="3210" bestFit="1" customWidth="1"/>
    <col min="6918" max="6918" width="18.5" style="3210" customWidth="1"/>
    <col min="6919" max="6919" width="10.5" style="3210" customWidth="1"/>
    <col min="6920" max="6921" width="9" style="3210" bestFit="1" customWidth="1"/>
    <col min="6922" max="6922" width="9.5" style="3210" customWidth="1"/>
    <col min="6923" max="6923" width="23.875" style="3210" bestFit="1" customWidth="1"/>
    <col min="6924" max="6924" width="9.75" style="3210" customWidth="1"/>
    <col min="6925" max="6925" width="9.25" style="3210" customWidth="1"/>
    <col min="6926" max="6926" width="10.5" style="3210" bestFit="1" customWidth="1"/>
    <col min="6927" max="6928" width="9" style="3210" bestFit="1" customWidth="1"/>
    <col min="6929" max="6929" width="9" style="3210" customWidth="1"/>
    <col min="6930" max="6938" width="9" style="3210" bestFit="1" customWidth="1"/>
    <col min="6939" max="6939" width="0" style="3210" hidden="1" customWidth="1"/>
    <col min="6940" max="7168" width="9" style="3210"/>
    <col min="7169" max="7169" width="17.125" style="3210" customWidth="1"/>
    <col min="7170" max="7173" width="9" style="3210" bestFit="1" customWidth="1"/>
    <col min="7174" max="7174" width="18.5" style="3210" customWidth="1"/>
    <col min="7175" max="7175" width="10.5" style="3210" customWidth="1"/>
    <col min="7176" max="7177" width="9" style="3210" bestFit="1" customWidth="1"/>
    <col min="7178" max="7178" width="9.5" style="3210" customWidth="1"/>
    <col min="7179" max="7179" width="23.875" style="3210" bestFit="1" customWidth="1"/>
    <col min="7180" max="7180" width="9.75" style="3210" customWidth="1"/>
    <col min="7181" max="7181" width="9.25" style="3210" customWidth="1"/>
    <col min="7182" max="7182" width="10.5" style="3210" bestFit="1" customWidth="1"/>
    <col min="7183" max="7184" width="9" style="3210" bestFit="1" customWidth="1"/>
    <col min="7185" max="7185" width="9" style="3210" customWidth="1"/>
    <col min="7186" max="7194" width="9" style="3210" bestFit="1" customWidth="1"/>
    <col min="7195" max="7195" width="0" style="3210" hidden="1" customWidth="1"/>
    <col min="7196" max="7424" width="9" style="3210"/>
    <col min="7425" max="7425" width="17.125" style="3210" customWidth="1"/>
    <col min="7426" max="7429" width="9" style="3210" bestFit="1" customWidth="1"/>
    <col min="7430" max="7430" width="18.5" style="3210" customWidth="1"/>
    <col min="7431" max="7431" width="10.5" style="3210" customWidth="1"/>
    <col min="7432" max="7433" width="9" style="3210" bestFit="1" customWidth="1"/>
    <col min="7434" max="7434" width="9.5" style="3210" customWidth="1"/>
    <col min="7435" max="7435" width="23.875" style="3210" bestFit="1" customWidth="1"/>
    <col min="7436" max="7436" width="9.75" style="3210" customWidth="1"/>
    <col min="7437" max="7437" width="9.25" style="3210" customWidth="1"/>
    <col min="7438" max="7438" width="10.5" style="3210" bestFit="1" customWidth="1"/>
    <col min="7439" max="7440" width="9" style="3210" bestFit="1" customWidth="1"/>
    <col min="7441" max="7441" width="9" style="3210" customWidth="1"/>
    <col min="7442" max="7450" width="9" style="3210" bestFit="1" customWidth="1"/>
    <col min="7451" max="7451" width="0" style="3210" hidden="1" customWidth="1"/>
    <col min="7452" max="7680" width="9" style="3210"/>
    <col min="7681" max="7681" width="17.125" style="3210" customWidth="1"/>
    <col min="7682" max="7685" width="9" style="3210" bestFit="1" customWidth="1"/>
    <col min="7686" max="7686" width="18.5" style="3210" customWidth="1"/>
    <col min="7687" max="7687" width="10.5" style="3210" customWidth="1"/>
    <col min="7688" max="7689" width="9" style="3210" bestFit="1" customWidth="1"/>
    <col min="7690" max="7690" width="9.5" style="3210" customWidth="1"/>
    <col min="7691" max="7691" width="23.875" style="3210" bestFit="1" customWidth="1"/>
    <col min="7692" max="7692" width="9.75" style="3210" customWidth="1"/>
    <col min="7693" max="7693" width="9.25" style="3210" customWidth="1"/>
    <col min="7694" max="7694" width="10.5" style="3210" bestFit="1" customWidth="1"/>
    <col min="7695" max="7696" width="9" style="3210" bestFit="1" customWidth="1"/>
    <col min="7697" max="7697" width="9" style="3210" customWidth="1"/>
    <col min="7698" max="7706" width="9" style="3210" bestFit="1" customWidth="1"/>
    <col min="7707" max="7707" width="0" style="3210" hidden="1" customWidth="1"/>
    <col min="7708" max="7936" width="9" style="3210"/>
    <col min="7937" max="7937" width="17.125" style="3210" customWidth="1"/>
    <col min="7938" max="7941" width="9" style="3210" bestFit="1" customWidth="1"/>
    <col min="7942" max="7942" width="18.5" style="3210" customWidth="1"/>
    <col min="7943" max="7943" width="10.5" style="3210" customWidth="1"/>
    <col min="7944" max="7945" width="9" style="3210" bestFit="1" customWidth="1"/>
    <col min="7946" max="7946" width="9.5" style="3210" customWidth="1"/>
    <col min="7947" max="7947" width="23.875" style="3210" bestFit="1" customWidth="1"/>
    <col min="7948" max="7948" width="9.75" style="3210" customWidth="1"/>
    <col min="7949" max="7949" width="9.25" style="3210" customWidth="1"/>
    <col min="7950" max="7950" width="10.5" style="3210" bestFit="1" customWidth="1"/>
    <col min="7951" max="7952" width="9" style="3210" bestFit="1" customWidth="1"/>
    <col min="7953" max="7953" width="9" style="3210" customWidth="1"/>
    <col min="7954" max="7962" width="9" style="3210" bestFit="1" customWidth="1"/>
    <col min="7963" max="7963" width="0" style="3210" hidden="1" customWidth="1"/>
    <col min="7964" max="8192" width="9" style="3210"/>
    <col min="8193" max="8193" width="17.125" style="3210" customWidth="1"/>
    <col min="8194" max="8197" width="9" style="3210" bestFit="1" customWidth="1"/>
    <col min="8198" max="8198" width="18.5" style="3210" customWidth="1"/>
    <col min="8199" max="8199" width="10.5" style="3210" customWidth="1"/>
    <col min="8200" max="8201" width="9" style="3210" bestFit="1" customWidth="1"/>
    <col min="8202" max="8202" width="9.5" style="3210" customWidth="1"/>
    <col min="8203" max="8203" width="23.875" style="3210" bestFit="1" customWidth="1"/>
    <col min="8204" max="8204" width="9.75" style="3210" customWidth="1"/>
    <col min="8205" max="8205" width="9.25" style="3210" customWidth="1"/>
    <col min="8206" max="8206" width="10.5" style="3210" bestFit="1" customWidth="1"/>
    <col min="8207" max="8208" width="9" style="3210" bestFit="1" customWidth="1"/>
    <col min="8209" max="8209" width="9" style="3210" customWidth="1"/>
    <col min="8210" max="8218" width="9" style="3210" bestFit="1" customWidth="1"/>
    <col min="8219" max="8219" width="0" style="3210" hidden="1" customWidth="1"/>
    <col min="8220" max="8448" width="9" style="3210"/>
    <col min="8449" max="8449" width="17.125" style="3210" customWidth="1"/>
    <col min="8450" max="8453" width="9" style="3210" bestFit="1" customWidth="1"/>
    <col min="8454" max="8454" width="18.5" style="3210" customWidth="1"/>
    <col min="8455" max="8455" width="10.5" style="3210" customWidth="1"/>
    <col min="8456" max="8457" width="9" style="3210" bestFit="1" customWidth="1"/>
    <col min="8458" max="8458" width="9.5" style="3210" customWidth="1"/>
    <col min="8459" max="8459" width="23.875" style="3210" bestFit="1" customWidth="1"/>
    <col min="8460" max="8460" width="9.75" style="3210" customWidth="1"/>
    <col min="8461" max="8461" width="9.25" style="3210" customWidth="1"/>
    <col min="8462" max="8462" width="10.5" style="3210" bestFit="1" customWidth="1"/>
    <col min="8463" max="8464" width="9" style="3210" bestFit="1" customWidth="1"/>
    <col min="8465" max="8465" width="9" style="3210" customWidth="1"/>
    <col min="8466" max="8474" width="9" style="3210" bestFit="1" customWidth="1"/>
    <col min="8475" max="8475" width="0" style="3210" hidden="1" customWidth="1"/>
    <col min="8476" max="8704" width="9" style="3210"/>
    <col min="8705" max="8705" width="17.125" style="3210" customWidth="1"/>
    <col min="8706" max="8709" width="9" style="3210" bestFit="1" customWidth="1"/>
    <col min="8710" max="8710" width="18.5" style="3210" customWidth="1"/>
    <col min="8711" max="8711" width="10.5" style="3210" customWidth="1"/>
    <col min="8712" max="8713" width="9" style="3210" bestFit="1" customWidth="1"/>
    <col min="8714" max="8714" width="9.5" style="3210" customWidth="1"/>
    <col min="8715" max="8715" width="23.875" style="3210" bestFit="1" customWidth="1"/>
    <col min="8716" max="8716" width="9.75" style="3210" customWidth="1"/>
    <col min="8717" max="8717" width="9.25" style="3210" customWidth="1"/>
    <col min="8718" max="8718" width="10.5" style="3210" bestFit="1" customWidth="1"/>
    <col min="8719" max="8720" width="9" style="3210" bestFit="1" customWidth="1"/>
    <col min="8721" max="8721" width="9" style="3210" customWidth="1"/>
    <col min="8722" max="8730" width="9" style="3210" bestFit="1" customWidth="1"/>
    <col min="8731" max="8731" width="0" style="3210" hidden="1" customWidth="1"/>
    <col min="8732" max="8960" width="9" style="3210"/>
    <col min="8961" max="8961" width="17.125" style="3210" customWidth="1"/>
    <col min="8962" max="8965" width="9" style="3210" bestFit="1" customWidth="1"/>
    <col min="8966" max="8966" width="18.5" style="3210" customWidth="1"/>
    <col min="8967" max="8967" width="10.5" style="3210" customWidth="1"/>
    <col min="8968" max="8969" width="9" style="3210" bestFit="1" customWidth="1"/>
    <col min="8970" max="8970" width="9.5" style="3210" customWidth="1"/>
    <col min="8971" max="8971" width="23.875" style="3210" bestFit="1" customWidth="1"/>
    <col min="8972" max="8972" width="9.75" style="3210" customWidth="1"/>
    <col min="8973" max="8973" width="9.25" style="3210" customWidth="1"/>
    <col min="8974" max="8974" width="10.5" style="3210" bestFit="1" customWidth="1"/>
    <col min="8975" max="8976" width="9" style="3210" bestFit="1" customWidth="1"/>
    <col min="8977" max="8977" width="9" style="3210" customWidth="1"/>
    <col min="8978" max="8986" width="9" style="3210" bestFit="1" customWidth="1"/>
    <col min="8987" max="8987" width="0" style="3210" hidden="1" customWidth="1"/>
    <col min="8988" max="9216" width="9" style="3210"/>
    <col min="9217" max="9217" width="17.125" style="3210" customWidth="1"/>
    <col min="9218" max="9221" width="9" style="3210" bestFit="1" customWidth="1"/>
    <col min="9222" max="9222" width="18.5" style="3210" customWidth="1"/>
    <col min="9223" max="9223" width="10.5" style="3210" customWidth="1"/>
    <col min="9224" max="9225" width="9" style="3210" bestFit="1" customWidth="1"/>
    <col min="9226" max="9226" width="9.5" style="3210" customWidth="1"/>
    <col min="9227" max="9227" width="23.875" style="3210" bestFit="1" customWidth="1"/>
    <col min="9228" max="9228" width="9.75" style="3210" customWidth="1"/>
    <col min="9229" max="9229" width="9.25" style="3210" customWidth="1"/>
    <col min="9230" max="9230" width="10.5" style="3210" bestFit="1" customWidth="1"/>
    <col min="9231" max="9232" width="9" style="3210" bestFit="1" customWidth="1"/>
    <col min="9233" max="9233" width="9" style="3210" customWidth="1"/>
    <col min="9234" max="9242" width="9" style="3210" bestFit="1" customWidth="1"/>
    <col min="9243" max="9243" width="0" style="3210" hidden="1" customWidth="1"/>
    <col min="9244" max="9472" width="9" style="3210"/>
    <col min="9473" max="9473" width="17.125" style="3210" customWidth="1"/>
    <col min="9474" max="9477" width="9" style="3210" bestFit="1" customWidth="1"/>
    <col min="9478" max="9478" width="18.5" style="3210" customWidth="1"/>
    <col min="9479" max="9479" width="10.5" style="3210" customWidth="1"/>
    <col min="9480" max="9481" width="9" style="3210" bestFit="1" customWidth="1"/>
    <col min="9482" max="9482" width="9.5" style="3210" customWidth="1"/>
    <col min="9483" max="9483" width="23.875" style="3210" bestFit="1" customWidth="1"/>
    <col min="9484" max="9484" width="9.75" style="3210" customWidth="1"/>
    <col min="9485" max="9485" width="9.25" style="3210" customWidth="1"/>
    <col min="9486" max="9486" width="10.5" style="3210" bestFit="1" customWidth="1"/>
    <col min="9487" max="9488" width="9" style="3210" bestFit="1" customWidth="1"/>
    <col min="9489" max="9489" width="9" style="3210" customWidth="1"/>
    <col min="9490" max="9498" width="9" style="3210" bestFit="1" customWidth="1"/>
    <col min="9499" max="9499" width="0" style="3210" hidden="1" customWidth="1"/>
    <col min="9500" max="9728" width="9" style="3210"/>
    <col min="9729" max="9729" width="17.125" style="3210" customWidth="1"/>
    <col min="9730" max="9733" width="9" style="3210" bestFit="1" customWidth="1"/>
    <col min="9734" max="9734" width="18.5" style="3210" customWidth="1"/>
    <col min="9735" max="9735" width="10.5" style="3210" customWidth="1"/>
    <col min="9736" max="9737" width="9" style="3210" bestFit="1" customWidth="1"/>
    <col min="9738" max="9738" width="9.5" style="3210" customWidth="1"/>
    <col min="9739" max="9739" width="23.875" style="3210" bestFit="1" customWidth="1"/>
    <col min="9740" max="9740" width="9.75" style="3210" customWidth="1"/>
    <col min="9741" max="9741" width="9.25" style="3210" customWidth="1"/>
    <col min="9742" max="9742" width="10.5" style="3210" bestFit="1" customWidth="1"/>
    <col min="9743" max="9744" width="9" style="3210" bestFit="1" customWidth="1"/>
    <col min="9745" max="9745" width="9" style="3210" customWidth="1"/>
    <col min="9746" max="9754" width="9" style="3210" bestFit="1" customWidth="1"/>
    <col min="9755" max="9755" width="0" style="3210" hidden="1" customWidth="1"/>
    <col min="9756" max="9984" width="9" style="3210"/>
    <col min="9985" max="9985" width="17.125" style="3210" customWidth="1"/>
    <col min="9986" max="9989" width="9" style="3210" bestFit="1" customWidth="1"/>
    <col min="9990" max="9990" width="18.5" style="3210" customWidth="1"/>
    <col min="9991" max="9991" width="10.5" style="3210" customWidth="1"/>
    <col min="9992" max="9993" width="9" style="3210" bestFit="1" customWidth="1"/>
    <col min="9994" max="9994" width="9.5" style="3210" customWidth="1"/>
    <col min="9995" max="9995" width="23.875" style="3210" bestFit="1" customWidth="1"/>
    <col min="9996" max="9996" width="9.75" style="3210" customWidth="1"/>
    <col min="9997" max="9997" width="9.25" style="3210" customWidth="1"/>
    <col min="9998" max="9998" width="10.5" style="3210" bestFit="1" customWidth="1"/>
    <col min="9999" max="10000" width="9" style="3210" bestFit="1" customWidth="1"/>
    <col min="10001" max="10001" width="9" style="3210" customWidth="1"/>
    <col min="10002" max="10010" width="9" style="3210" bestFit="1" customWidth="1"/>
    <col min="10011" max="10011" width="0" style="3210" hidden="1" customWidth="1"/>
    <col min="10012" max="10240" width="9" style="3210"/>
    <col min="10241" max="10241" width="17.125" style="3210" customWidth="1"/>
    <col min="10242" max="10245" width="9" style="3210" bestFit="1" customWidth="1"/>
    <col min="10246" max="10246" width="18.5" style="3210" customWidth="1"/>
    <col min="10247" max="10247" width="10.5" style="3210" customWidth="1"/>
    <col min="10248" max="10249" width="9" style="3210" bestFit="1" customWidth="1"/>
    <col min="10250" max="10250" width="9.5" style="3210" customWidth="1"/>
    <col min="10251" max="10251" width="23.875" style="3210" bestFit="1" customWidth="1"/>
    <col min="10252" max="10252" width="9.75" style="3210" customWidth="1"/>
    <col min="10253" max="10253" width="9.25" style="3210" customWidth="1"/>
    <col min="10254" max="10254" width="10.5" style="3210" bestFit="1" customWidth="1"/>
    <col min="10255" max="10256" width="9" style="3210" bestFit="1" customWidth="1"/>
    <col min="10257" max="10257" width="9" style="3210" customWidth="1"/>
    <col min="10258" max="10266" width="9" style="3210" bestFit="1" customWidth="1"/>
    <col min="10267" max="10267" width="0" style="3210" hidden="1" customWidth="1"/>
    <col min="10268" max="10496" width="9" style="3210"/>
    <col min="10497" max="10497" width="17.125" style="3210" customWidth="1"/>
    <col min="10498" max="10501" width="9" style="3210" bestFit="1" customWidth="1"/>
    <col min="10502" max="10502" width="18.5" style="3210" customWidth="1"/>
    <col min="10503" max="10503" width="10.5" style="3210" customWidth="1"/>
    <col min="10504" max="10505" width="9" style="3210" bestFit="1" customWidth="1"/>
    <col min="10506" max="10506" width="9.5" style="3210" customWidth="1"/>
    <col min="10507" max="10507" width="23.875" style="3210" bestFit="1" customWidth="1"/>
    <col min="10508" max="10508" width="9.75" style="3210" customWidth="1"/>
    <col min="10509" max="10509" width="9.25" style="3210" customWidth="1"/>
    <col min="10510" max="10510" width="10.5" style="3210" bestFit="1" customWidth="1"/>
    <col min="10511" max="10512" width="9" style="3210" bestFit="1" customWidth="1"/>
    <col min="10513" max="10513" width="9" style="3210" customWidth="1"/>
    <col min="10514" max="10522" width="9" style="3210" bestFit="1" customWidth="1"/>
    <col min="10523" max="10523" width="0" style="3210" hidden="1" customWidth="1"/>
    <col min="10524" max="10752" width="9" style="3210"/>
    <col min="10753" max="10753" width="17.125" style="3210" customWidth="1"/>
    <col min="10754" max="10757" width="9" style="3210" bestFit="1" customWidth="1"/>
    <col min="10758" max="10758" width="18.5" style="3210" customWidth="1"/>
    <col min="10759" max="10759" width="10.5" style="3210" customWidth="1"/>
    <col min="10760" max="10761" width="9" style="3210" bestFit="1" customWidth="1"/>
    <col min="10762" max="10762" width="9.5" style="3210" customWidth="1"/>
    <col min="10763" max="10763" width="23.875" style="3210" bestFit="1" customWidth="1"/>
    <col min="10764" max="10764" width="9.75" style="3210" customWidth="1"/>
    <col min="10765" max="10765" width="9.25" style="3210" customWidth="1"/>
    <col min="10766" max="10766" width="10.5" style="3210" bestFit="1" customWidth="1"/>
    <col min="10767" max="10768" width="9" style="3210" bestFit="1" customWidth="1"/>
    <col min="10769" max="10769" width="9" style="3210" customWidth="1"/>
    <col min="10770" max="10778" width="9" style="3210" bestFit="1" customWidth="1"/>
    <col min="10779" max="10779" width="0" style="3210" hidden="1" customWidth="1"/>
    <col min="10780" max="11008" width="9" style="3210"/>
    <col min="11009" max="11009" width="17.125" style="3210" customWidth="1"/>
    <col min="11010" max="11013" width="9" style="3210" bestFit="1" customWidth="1"/>
    <col min="11014" max="11014" width="18.5" style="3210" customWidth="1"/>
    <col min="11015" max="11015" width="10.5" style="3210" customWidth="1"/>
    <col min="11016" max="11017" width="9" style="3210" bestFit="1" customWidth="1"/>
    <col min="11018" max="11018" width="9.5" style="3210" customWidth="1"/>
    <col min="11019" max="11019" width="23.875" style="3210" bestFit="1" customWidth="1"/>
    <col min="11020" max="11020" width="9.75" style="3210" customWidth="1"/>
    <col min="11021" max="11021" width="9.25" style="3210" customWidth="1"/>
    <col min="11022" max="11022" width="10.5" style="3210" bestFit="1" customWidth="1"/>
    <col min="11023" max="11024" width="9" style="3210" bestFit="1" customWidth="1"/>
    <col min="11025" max="11025" width="9" style="3210" customWidth="1"/>
    <col min="11026" max="11034" width="9" style="3210" bestFit="1" customWidth="1"/>
    <col min="11035" max="11035" width="0" style="3210" hidden="1" customWidth="1"/>
    <col min="11036" max="11264" width="9" style="3210"/>
    <col min="11265" max="11265" width="17.125" style="3210" customWidth="1"/>
    <col min="11266" max="11269" width="9" style="3210" bestFit="1" customWidth="1"/>
    <col min="11270" max="11270" width="18.5" style="3210" customWidth="1"/>
    <col min="11271" max="11271" width="10.5" style="3210" customWidth="1"/>
    <col min="11272" max="11273" width="9" style="3210" bestFit="1" customWidth="1"/>
    <col min="11274" max="11274" width="9.5" style="3210" customWidth="1"/>
    <col min="11275" max="11275" width="23.875" style="3210" bestFit="1" customWidth="1"/>
    <col min="11276" max="11276" width="9.75" style="3210" customWidth="1"/>
    <col min="11277" max="11277" width="9.25" style="3210" customWidth="1"/>
    <col min="11278" max="11278" width="10.5" style="3210" bestFit="1" customWidth="1"/>
    <col min="11279" max="11280" width="9" style="3210" bestFit="1" customWidth="1"/>
    <col min="11281" max="11281" width="9" style="3210" customWidth="1"/>
    <col min="11282" max="11290" width="9" style="3210" bestFit="1" customWidth="1"/>
    <col min="11291" max="11291" width="0" style="3210" hidden="1" customWidth="1"/>
    <col min="11292" max="11520" width="9" style="3210"/>
    <col min="11521" max="11521" width="17.125" style="3210" customWidth="1"/>
    <col min="11522" max="11525" width="9" style="3210" bestFit="1" customWidth="1"/>
    <col min="11526" max="11526" width="18.5" style="3210" customWidth="1"/>
    <col min="11527" max="11527" width="10.5" style="3210" customWidth="1"/>
    <col min="11528" max="11529" width="9" style="3210" bestFit="1" customWidth="1"/>
    <col min="11530" max="11530" width="9.5" style="3210" customWidth="1"/>
    <col min="11531" max="11531" width="23.875" style="3210" bestFit="1" customWidth="1"/>
    <col min="11532" max="11532" width="9.75" style="3210" customWidth="1"/>
    <col min="11533" max="11533" width="9.25" style="3210" customWidth="1"/>
    <col min="11534" max="11534" width="10.5" style="3210" bestFit="1" customWidth="1"/>
    <col min="11535" max="11536" width="9" style="3210" bestFit="1" customWidth="1"/>
    <col min="11537" max="11537" width="9" style="3210" customWidth="1"/>
    <col min="11538" max="11546" width="9" style="3210" bestFit="1" customWidth="1"/>
    <col min="11547" max="11547" width="0" style="3210" hidden="1" customWidth="1"/>
    <col min="11548" max="11776" width="9" style="3210"/>
    <col min="11777" max="11777" width="17.125" style="3210" customWidth="1"/>
    <col min="11778" max="11781" width="9" style="3210" bestFit="1" customWidth="1"/>
    <col min="11782" max="11782" width="18.5" style="3210" customWidth="1"/>
    <col min="11783" max="11783" width="10.5" style="3210" customWidth="1"/>
    <col min="11784" max="11785" width="9" style="3210" bestFit="1" customWidth="1"/>
    <col min="11786" max="11786" width="9.5" style="3210" customWidth="1"/>
    <col min="11787" max="11787" width="23.875" style="3210" bestFit="1" customWidth="1"/>
    <col min="11788" max="11788" width="9.75" style="3210" customWidth="1"/>
    <col min="11789" max="11789" width="9.25" style="3210" customWidth="1"/>
    <col min="11790" max="11790" width="10.5" style="3210" bestFit="1" customWidth="1"/>
    <col min="11791" max="11792" width="9" style="3210" bestFit="1" customWidth="1"/>
    <col min="11793" max="11793" width="9" style="3210" customWidth="1"/>
    <col min="11794" max="11802" width="9" style="3210" bestFit="1" customWidth="1"/>
    <col min="11803" max="11803" width="0" style="3210" hidden="1" customWidth="1"/>
    <col min="11804" max="12032" width="9" style="3210"/>
    <col min="12033" max="12033" width="17.125" style="3210" customWidth="1"/>
    <col min="12034" max="12037" width="9" style="3210" bestFit="1" customWidth="1"/>
    <col min="12038" max="12038" width="18.5" style="3210" customWidth="1"/>
    <col min="12039" max="12039" width="10.5" style="3210" customWidth="1"/>
    <col min="12040" max="12041" width="9" style="3210" bestFit="1" customWidth="1"/>
    <col min="12042" max="12042" width="9.5" style="3210" customWidth="1"/>
    <col min="12043" max="12043" width="23.875" style="3210" bestFit="1" customWidth="1"/>
    <col min="12044" max="12044" width="9.75" style="3210" customWidth="1"/>
    <col min="12045" max="12045" width="9.25" style="3210" customWidth="1"/>
    <col min="12046" max="12046" width="10.5" style="3210" bestFit="1" customWidth="1"/>
    <col min="12047" max="12048" width="9" style="3210" bestFit="1" customWidth="1"/>
    <col min="12049" max="12049" width="9" style="3210" customWidth="1"/>
    <col min="12050" max="12058" width="9" style="3210" bestFit="1" customWidth="1"/>
    <col min="12059" max="12059" width="0" style="3210" hidden="1" customWidth="1"/>
    <col min="12060" max="12288" width="9" style="3210"/>
    <col min="12289" max="12289" width="17.125" style="3210" customWidth="1"/>
    <col min="12290" max="12293" width="9" style="3210" bestFit="1" customWidth="1"/>
    <col min="12294" max="12294" width="18.5" style="3210" customWidth="1"/>
    <col min="12295" max="12295" width="10.5" style="3210" customWidth="1"/>
    <col min="12296" max="12297" width="9" style="3210" bestFit="1" customWidth="1"/>
    <col min="12298" max="12298" width="9.5" style="3210" customWidth="1"/>
    <col min="12299" max="12299" width="23.875" style="3210" bestFit="1" customWidth="1"/>
    <col min="12300" max="12300" width="9.75" style="3210" customWidth="1"/>
    <col min="12301" max="12301" width="9.25" style="3210" customWidth="1"/>
    <col min="12302" max="12302" width="10.5" style="3210" bestFit="1" customWidth="1"/>
    <col min="12303" max="12304" width="9" style="3210" bestFit="1" customWidth="1"/>
    <col min="12305" max="12305" width="9" style="3210" customWidth="1"/>
    <col min="12306" max="12314" width="9" style="3210" bestFit="1" customWidth="1"/>
    <col min="12315" max="12315" width="0" style="3210" hidden="1" customWidth="1"/>
    <col min="12316" max="12544" width="9" style="3210"/>
    <col min="12545" max="12545" width="17.125" style="3210" customWidth="1"/>
    <col min="12546" max="12549" width="9" style="3210" bestFit="1" customWidth="1"/>
    <col min="12550" max="12550" width="18.5" style="3210" customWidth="1"/>
    <col min="12551" max="12551" width="10.5" style="3210" customWidth="1"/>
    <col min="12552" max="12553" width="9" style="3210" bestFit="1" customWidth="1"/>
    <col min="12554" max="12554" width="9.5" style="3210" customWidth="1"/>
    <col min="12555" max="12555" width="23.875" style="3210" bestFit="1" customWidth="1"/>
    <col min="12556" max="12556" width="9.75" style="3210" customWidth="1"/>
    <col min="12557" max="12557" width="9.25" style="3210" customWidth="1"/>
    <col min="12558" max="12558" width="10.5" style="3210" bestFit="1" customWidth="1"/>
    <col min="12559" max="12560" width="9" style="3210" bestFit="1" customWidth="1"/>
    <col min="12561" max="12561" width="9" style="3210" customWidth="1"/>
    <col min="12562" max="12570" width="9" style="3210" bestFit="1" customWidth="1"/>
    <col min="12571" max="12571" width="0" style="3210" hidden="1" customWidth="1"/>
    <col min="12572" max="12800" width="9" style="3210"/>
    <col min="12801" max="12801" width="17.125" style="3210" customWidth="1"/>
    <col min="12802" max="12805" width="9" style="3210" bestFit="1" customWidth="1"/>
    <col min="12806" max="12806" width="18.5" style="3210" customWidth="1"/>
    <col min="12807" max="12807" width="10.5" style="3210" customWidth="1"/>
    <col min="12808" max="12809" width="9" style="3210" bestFit="1" customWidth="1"/>
    <col min="12810" max="12810" width="9.5" style="3210" customWidth="1"/>
    <col min="12811" max="12811" width="23.875" style="3210" bestFit="1" customWidth="1"/>
    <col min="12812" max="12812" width="9.75" style="3210" customWidth="1"/>
    <col min="12813" max="12813" width="9.25" style="3210" customWidth="1"/>
    <col min="12814" max="12814" width="10.5" style="3210" bestFit="1" customWidth="1"/>
    <col min="12815" max="12816" width="9" style="3210" bestFit="1" customWidth="1"/>
    <col min="12817" max="12817" width="9" style="3210" customWidth="1"/>
    <col min="12818" max="12826" width="9" style="3210" bestFit="1" customWidth="1"/>
    <col min="12827" max="12827" width="0" style="3210" hidden="1" customWidth="1"/>
    <col min="12828" max="13056" width="9" style="3210"/>
    <col min="13057" max="13057" width="17.125" style="3210" customWidth="1"/>
    <col min="13058" max="13061" width="9" style="3210" bestFit="1" customWidth="1"/>
    <col min="13062" max="13062" width="18.5" style="3210" customWidth="1"/>
    <col min="13063" max="13063" width="10.5" style="3210" customWidth="1"/>
    <col min="13064" max="13065" width="9" style="3210" bestFit="1" customWidth="1"/>
    <col min="13066" max="13066" width="9.5" style="3210" customWidth="1"/>
    <col min="13067" max="13067" width="23.875" style="3210" bestFit="1" customWidth="1"/>
    <col min="13068" max="13068" width="9.75" style="3210" customWidth="1"/>
    <col min="13069" max="13069" width="9.25" style="3210" customWidth="1"/>
    <col min="13070" max="13070" width="10.5" style="3210" bestFit="1" customWidth="1"/>
    <col min="13071" max="13072" width="9" style="3210" bestFit="1" customWidth="1"/>
    <col min="13073" max="13073" width="9" style="3210" customWidth="1"/>
    <col min="13074" max="13082" width="9" style="3210" bestFit="1" customWidth="1"/>
    <col min="13083" max="13083" width="0" style="3210" hidden="1" customWidth="1"/>
    <col min="13084" max="13312" width="9" style="3210"/>
    <col min="13313" max="13313" width="17.125" style="3210" customWidth="1"/>
    <col min="13314" max="13317" width="9" style="3210" bestFit="1" customWidth="1"/>
    <col min="13318" max="13318" width="18.5" style="3210" customWidth="1"/>
    <col min="13319" max="13319" width="10.5" style="3210" customWidth="1"/>
    <col min="13320" max="13321" width="9" style="3210" bestFit="1" customWidth="1"/>
    <col min="13322" max="13322" width="9.5" style="3210" customWidth="1"/>
    <col min="13323" max="13323" width="23.875" style="3210" bestFit="1" customWidth="1"/>
    <col min="13324" max="13324" width="9.75" style="3210" customWidth="1"/>
    <col min="13325" max="13325" width="9.25" style="3210" customWidth="1"/>
    <col min="13326" max="13326" width="10.5" style="3210" bestFit="1" customWidth="1"/>
    <col min="13327" max="13328" width="9" style="3210" bestFit="1" customWidth="1"/>
    <col min="13329" max="13329" width="9" style="3210" customWidth="1"/>
    <col min="13330" max="13338" width="9" style="3210" bestFit="1" customWidth="1"/>
    <col min="13339" max="13339" width="0" style="3210" hidden="1" customWidth="1"/>
    <col min="13340" max="13568" width="9" style="3210"/>
    <col min="13569" max="13569" width="17.125" style="3210" customWidth="1"/>
    <col min="13570" max="13573" width="9" style="3210" bestFit="1" customWidth="1"/>
    <col min="13574" max="13574" width="18.5" style="3210" customWidth="1"/>
    <col min="13575" max="13575" width="10.5" style="3210" customWidth="1"/>
    <col min="13576" max="13577" width="9" style="3210" bestFit="1" customWidth="1"/>
    <col min="13578" max="13578" width="9.5" style="3210" customWidth="1"/>
    <col min="13579" max="13579" width="23.875" style="3210" bestFit="1" customWidth="1"/>
    <col min="13580" max="13580" width="9.75" style="3210" customWidth="1"/>
    <col min="13581" max="13581" width="9.25" style="3210" customWidth="1"/>
    <col min="13582" max="13582" width="10.5" style="3210" bestFit="1" customWidth="1"/>
    <col min="13583" max="13584" width="9" style="3210" bestFit="1" customWidth="1"/>
    <col min="13585" max="13585" width="9" style="3210" customWidth="1"/>
    <col min="13586" max="13594" width="9" style="3210" bestFit="1" customWidth="1"/>
    <col min="13595" max="13595" width="0" style="3210" hidden="1" customWidth="1"/>
    <col min="13596" max="13824" width="9" style="3210"/>
    <col min="13825" max="13825" width="17.125" style="3210" customWidth="1"/>
    <col min="13826" max="13829" width="9" style="3210" bestFit="1" customWidth="1"/>
    <col min="13830" max="13830" width="18.5" style="3210" customWidth="1"/>
    <col min="13831" max="13831" width="10.5" style="3210" customWidth="1"/>
    <col min="13832" max="13833" width="9" style="3210" bestFit="1" customWidth="1"/>
    <col min="13834" max="13834" width="9.5" style="3210" customWidth="1"/>
    <col min="13835" max="13835" width="23.875" style="3210" bestFit="1" customWidth="1"/>
    <col min="13836" max="13836" width="9.75" style="3210" customWidth="1"/>
    <col min="13837" max="13837" width="9.25" style="3210" customWidth="1"/>
    <col min="13838" max="13838" width="10.5" style="3210" bestFit="1" customWidth="1"/>
    <col min="13839" max="13840" width="9" style="3210" bestFit="1" customWidth="1"/>
    <col min="13841" max="13841" width="9" style="3210" customWidth="1"/>
    <col min="13842" max="13850" width="9" style="3210" bestFit="1" customWidth="1"/>
    <col min="13851" max="13851" width="0" style="3210" hidden="1" customWidth="1"/>
    <col min="13852" max="14080" width="9" style="3210"/>
    <col min="14081" max="14081" width="17.125" style="3210" customWidth="1"/>
    <col min="14082" max="14085" width="9" style="3210" bestFit="1" customWidth="1"/>
    <col min="14086" max="14086" width="18.5" style="3210" customWidth="1"/>
    <col min="14087" max="14087" width="10.5" style="3210" customWidth="1"/>
    <col min="14088" max="14089" width="9" style="3210" bestFit="1" customWidth="1"/>
    <col min="14090" max="14090" width="9.5" style="3210" customWidth="1"/>
    <col min="14091" max="14091" width="23.875" style="3210" bestFit="1" customWidth="1"/>
    <col min="14092" max="14092" width="9.75" style="3210" customWidth="1"/>
    <col min="14093" max="14093" width="9.25" style="3210" customWidth="1"/>
    <col min="14094" max="14094" width="10.5" style="3210" bestFit="1" customWidth="1"/>
    <col min="14095" max="14096" width="9" style="3210" bestFit="1" customWidth="1"/>
    <col min="14097" max="14097" width="9" style="3210" customWidth="1"/>
    <col min="14098" max="14106" width="9" style="3210" bestFit="1" customWidth="1"/>
    <col min="14107" max="14107" width="0" style="3210" hidden="1" customWidth="1"/>
    <col min="14108" max="14336" width="9" style="3210"/>
    <col min="14337" max="14337" width="17.125" style="3210" customWidth="1"/>
    <col min="14338" max="14341" width="9" style="3210" bestFit="1" customWidth="1"/>
    <col min="14342" max="14342" width="18.5" style="3210" customWidth="1"/>
    <col min="14343" max="14343" width="10.5" style="3210" customWidth="1"/>
    <col min="14344" max="14345" width="9" style="3210" bestFit="1" customWidth="1"/>
    <col min="14346" max="14346" width="9.5" style="3210" customWidth="1"/>
    <col min="14347" max="14347" width="23.875" style="3210" bestFit="1" customWidth="1"/>
    <col min="14348" max="14348" width="9.75" style="3210" customWidth="1"/>
    <col min="14349" max="14349" width="9.25" style="3210" customWidth="1"/>
    <col min="14350" max="14350" width="10.5" style="3210" bestFit="1" customWidth="1"/>
    <col min="14351" max="14352" width="9" style="3210" bestFit="1" customWidth="1"/>
    <col min="14353" max="14353" width="9" style="3210" customWidth="1"/>
    <col min="14354" max="14362" width="9" style="3210" bestFit="1" customWidth="1"/>
    <col min="14363" max="14363" width="0" style="3210" hidden="1" customWidth="1"/>
    <col min="14364" max="14592" width="9" style="3210"/>
    <col min="14593" max="14593" width="17.125" style="3210" customWidth="1"/>
    <col min="14594" max="14597" width="9" style="3210" bestFit="1" customWidth="1"/>
    <col min="14598" max="14598" width="18.5" style="3210" customWidth="1"/>
    <col min="14599" max="14599" width="10.5" style="3210" customWidth="1"/>
    <col min="14600" max="14601" width="9" style="3210" bestFit="1" customWidth="1"/>
    <col min="14602" max="14602" width="9.5" style="3210" customWidth="1"/>
    <col min="14603" max="14603" width="23.875" style="3210" bestFit="1" customWidth="1"/>
    <col min="14604" max="14604" width="9.75" style="3210" customWidth="1"/>
    <col min="14605" max="14605" width="9.25" style="3210" customWidth="1"/>
    <col min="14606" max="14606" width="10.5" style="3210" bestFit="1" customWidth="1"/>
    <col min="14607" max="14608" width="9" style="3210" bestFit="1" customWidth="1"/>
    <col min="14609" max="14609" width="9" style="3210" customWidth="1"/>
    <col min="14610" max="14618" width="9" style="3210" bestFit="1" customWidth="1"/>
    <col min="14619" max="14619" width="0" style="3210" hidden="1" customWidth="1"/>
    <col min="14620" max="14848" width="9" style="3210"/>
    <col min="14849" max="14849" width="17.125" style="3210" customWidth="1"/>
    <col min="14850" max="14853" width="9" style="3210" bestFit="1" customWidth="1"/>
    <col min="14854" max="14854" width="18.5" style="3210" customWidth="1"/>
    <col min="14855" max="14855" width="10.5" style="3210" customWidth="1"/>
    <col min="14856" max="14857" width="9" style="3210" bestFit="1" customWidth="1"/>
    <col min="14858" max="14858" width="9.5" style="3210" customWidth="1"/>
    <col min="14859" max="14859" width="23.875" style="3210" bestFit="1" customWidth="1"/>
    <col min="14860" max="14860" width="9.75" style="3210" customWidth="1"/>
    <col min="14861" max="14861" width="9.25" style="3210" customWidth="1"/>
    <col min="14862" max="14862" width="10.5" style="3210" bestFit="1" customWidth="1"/>
    <col min="14863" max="14864" width="9" style="3210" bestFit="1" customWidth="1"/>
    <col min="14865" max="14865" width="9" style="3210" customWidth="1"/>
    <col min="14866" max="14874" width="9" style="3210" bestFit="1" customWidth="1"/>
    <col min="14875" max="14875" width="0" style="3210" hidden="1" customWidth="1"/>
    <col min="14876" max="15104" width="9" style="3210"/>
    <col min="15105" max="15105" width="17.125" style="3210" customWidth="1"/>
    <col min="15106" max="15109" width="9" style="3210" bestFit="1" customWidth="1"/>
    <col min="15110" max="15110" width="18.5" style="3210" customWidth="1"/>
    <col min="15111" max="15111" width="10.5" style="3210" customWidth="1"/>
    <col min="15112" max="15113" width="9" style="3210" bestFit="1" customWidth="1"/>
    <col min="15114" max="15114" width="9.5" style="3210" customWidth="1"/>
    <col min="15115" max="15115" width="23.875" style="3210" bestFit="1" customWidth="1"/>
    <col min="15116" max="15116" width="9.75" style="3210" customWidth="1"/>
    <col min="15117" max="15117" width="9.25" style="3210" customWidth="1"/>
    <col min="15118" max="15118" width="10.5" style="3210" bestFit="1" customWidth="1"/>
    <col min="15119" max="15120" width="9" style="3210" bestFit="1" customWidth="1"/>
    <col min="15121" max="15121" width="9" style="3210" customWidth="1"/>
    <col min="15122" max="15130" width="9" style="3210" bestFit="1" customWidth="1"/>
    <col min="15131" max="15131" width="0" style="3210" hidden="1" customWidth="1"/>
    <col min="15132" max="15360" width="9" style="3210"/>
    <col min="15361" max="15361" width="17.125" style="3210" customWidth="1"/>
    <col min="15362" max="15365" width="9" style="3210" bestFit="1" customWidth="1"/>
    <col min="15366" max="15366" width="18.5" style="3210" customWidth="1"/>
    <col min="15367" max="15367" width="10.5" style="3210" customWidth="1"/>
    <col min="15368" max="15369" width="9" style="3210" bestFit="1" customWidth="1"/>
    <col min="15370" max="15370" width="9.5" style="3210" customWidth="1"/>
    <col min="15371" max="15371" width="23.875" style="3210" bestFit="1" customWidth="1"/>
    <col min="15372" max="15372" width="9.75" style="3210" customWidth="1"/>
    <col min="15373" max="15373" width="9.25" style="3210" customWidth="1"/>
    <col min="15374" max="15374" width="10.5" style="3210" bestFit="1" customWidth="1"/>
    <col min="15375" max="15376" width="9" style="3210" bestFit="1" customWidth="1"/>
    <col min="15377" max="15377" width="9" style="3210" customWidth="1"/>
    <col min="15378" max="15386" width="9" style="3210" bestFit="1" customWidth="1"/>
    <col min="15387" max="15387" width="0" style="3210" hidden="1" customWidth="1"/>
    <col min="15388" max="15616" width="9" style="3210"/>
    <col min="15617" max="15617" width="17.125" style="3210" customWidth="1"/>
    <col min="15618" max="15621" width="9" style="3210" bestFit="1" customWidth="1"/>
    <col min="15622" max="15622" width="18.5" style="3210" customWidth="1"/>
    <col min="15623" max="15623" width="10.5" style="3210" customWidth="1"/>
    <col min="15624" max="15625" width="9" style="3210" bestFit="1" customWidth="1"/>
    <col min="15626" max="15626" width="9.5" style="3210" customWidth="1"/>
    <col min="15627" max="15627" width="23.875" style="3210" bestFit="1" customWidth="1"/>
    <col min="15628" max="15628" width="9.75" style="3210" customWidth="1"/>
    <col min="15629" max="15629" width="9.25" style="3210" customWidth="1"/>
    <col min="15630" max="15630" width="10.5" style="3210" bestFit="1" customWidth="1"/>
    <col min="15631" max="15632" width="9" style="3210" bestFit="1" customWidth="1"/>
    <col min="15633" max="15633" width="9" style="3210" customWidth="1"/>
    <col min="15634" max="15642" width="9" style="3210" bestFit="1" customWidth="1"/>
    <col min="15643" max="15643" width="0" style="3210" hidden="1" customWidth="1"/>
    <col min="15644" max="15872" width="9" style="3210"/>
    <col min="15873" max="15873" width="17.125" style="3210" customWidth="1"/>
    <col min="15874" max="15877" width="9" style="3210" bestFit="1" customWidth="1"/>
    <col min="15878" max="15878" width="18.5" style="3210" customWidth="1"/>
    <col min="15879" max="15879" width="10.5" style="3210" customWidth="1"/>
    <col min="15880" max="15881" width="9" style="3210" bestFit="1" customWidth="1"/>
    <col min="15882" max="15882" width="9.5" style="3210" customWidth="1"/>
    <col min="15883" max="15883" width="23.875" style="3210" bestFit="1" customWidth="1"/>
    <col min="15884" max="15884" width="9.75" style="3210" customWidth="1"/>
    <col min="15885" max="15885" width="9.25" style="3210" customWidth="1"/>
    <col min="15886" max="15886" width="10.5" style="3210" bestFit="1" customWidth="1"/>
    <col min="15887" max="15888" width="9" style="3210" bestFit="1" customWidth="1"/>
    <col min="15889" max="15889" width="9" style="3210" customWidth="1"/>
    <col min="15890" max="15898" width="9" style="3210" bestFit="1" customWidth="1"/>
    <col min="15899" max="15899" width="0" style="3210" hidden="1" customWidth="1"/>
    <col min="15900" max="16128" width="9" style="3210"/>
    <col min="16129" max="16129" width="17.125" style="3210" customWidth="1"/>
    <col min="16130" max="16133" width="9" style="3210" bestFit="1" customWidth="1"/>
    <col min="16134" max="16134" width="18.5" style="3210" customWidth="1"/>
    <col min="16135" max="16135" width="10.5" style="3210" customWidth="1"/>
    <col min="16136" max="16137" width="9" style="3210" bestFit="1" customWidth="1"/>
    <col min="16138" max="16138" width="9.5" style="3210" customWidth="1"/>
    <col min="16139" max="16139" width="23.875" style="3210" bestFit="1" customWidth="1"/>
    <col min="16140" max="16140" width="9.75" style="3210" customWidth="1"/>
    <col min="16141" max="16141" width="9.25" style="3210" customWidth="1"/>
    <col min="16142" max="16142" width="10.5" style="3210" bestFit="1" customWidth="1"/>
    <col min="16143" max="16144" width="9" style="3210" bestFit="1" customWidth="1"/>
    <col min="16145" max="16145" width="9" style="3210" customWidth="1"/>
    <col min="16146" max="16154" width="9" style="3210" bestFit="1" customWidth="1"/>
    <col min="16155" max="16155" width="0" style="3210" hidden="1" customWidth="1"/>
    <col min="16156" max="16384" width="9" style="3210"/>
  </cols>
  <sheetData>
    <row r="1" spans="1:26">
      <c r="A1" s="3985" t="s">
        <v>3490</v>
      </c>
      <c r="B1" s="3985" t="s">
        <v>3493</v>
      </c>
      <c r="C1" s="3993" t="s">
        <v>3488</v>
      </c>
      <c r="D1" s="3994"/>
      <c r="E1" s="3985" t="s">
        <v>3494</v>
      </c>
      <c r="F1" s="3995" t="s">
        <v>3495</v>
      </c>
      <c r="G1" s="3985" t="s">
        <v>3496</v>
      </c>
      <c r="H1" s="3984" t="s">
        <v>3497</v>
      </c>
      <c r="I1" s="3984" t="s">
        <v>3498</v>
      </c>
      <c r="J1" s="3984" t="s">
        <v>3499</v>
      </c>
      <c r="K1" s="3986" t="s">
        <v>4437</v>
      </c>
      <c r="L1" s="3430"/>
      <c r="M1" s="3986" t="s">
        <v>4438</v>
      </c>
      <c r="N1" s="3988" t="s">
        <v>3502</v>
      </c>
      <c r="O1" s="3989"/>
      <c r="P1" s="3989"/>
      <c r="Q1" s="3989"/>
      <c r="R1" s="3989"/>
      <c r="S1" s="3989"/>
      <c r="T1" s="3989"/>
      <c r="U1" s="3989"/>
      <c r="V1" s="3989"/>
      <c r="W1" s="3989"/>
      <c r="X1" s="3989"/>
      <c r="Y1" s="3989"/>
      <c r="Z1" s="3990"/>
    </row>
    <row r="2" spans="1:26" ht="40.5">
      <c r="A2" s="3991"/>
      <c r="B2" s="3992"/>
      <c r="C2" s="3432" t="s">
        <v>3010</v>
      </c>
      <c r="D2" s="3212" t="s">
        <v>3491</v>
      </c>
      <c r="E2" s="3992"/>
      <c r="F2" s="3996"/>
      <c r="G2" s="3992"/>
      <c r="H2" s="3985"/>
      <c r="I2" s="3985"/>
      <c r="J2" s="3985"/>
      <c r="K2" s="3987"/>
      <c r="L2" s="3431" t="s">
        <v>4439</v>
      </c>
      <c r="M2" s="3987"/>
      <c r="N2" s="3214" t="s">
        <v>3504</v>
      </c>
      <c r="O2" s="3214" t="s">
        <v>3505</v>
      </c>
      <c r="P2" s="3214" t="s">
        <v>4440</v>
      </c>
      <c r="Q2" s="3214" t="s">
        <v>4441</v>
      </c>
      <c r="R2" s="3214" t="s">
        <v>3509</v>
      </c>
      <c r="S2" s="3214" t="s">
        <v>3510</v>
      </c>
      <c r="T2" s="3214" t="s">
        <v>3511</v>
      </c>
      <c r="U2" s="3215" t="s">
        <v>3512</v>
      </c>
      <c r="V2" s="3215" t="s">
        <v>3513</v>
      </c>
      <c r="W2" s="3215" t="s">
        <v>3514</v>
      </c>
      <c r="X2" s="3215" t="s">
        <v>3515</v>
      </c>
      <c r="Y2" s="3215" t="s">
        <v>3516</v>
      </c>
      <c r="Z2" s="3215" t="s">
        <v>3517</v>
      </c>
    </row>
    <row r="3" spans="1:26">
      <c r="A3" s="3220" t="s">
        <v>4442</v>
      </c>
      <c r="B3" s="3217"/>
      <c r="C3" s="3217">
        <v>3</v>
      </c>
      <c r="D3" s="3217"/>
      <c r="E3" s="3217">
        <v>11.5</v>
      </c>
      <c r="F3" s="3218">
        <f>G3+H3</f>
        <v>561.2399999999999</v>
      </c>
      <c r="G3" s="3223">
        <f t="shared" ref="G3:G23" si="0">SUM(K3:M3)</f>
        <v>541.67999999999995</v>
      </c>
      <c r="H3" s="3219">
        <v>19.559999999999999</v>
      </c>
      <c r="I3" s="3219"/>
      <c r="J3" s="3219"/>
      <c r="K3" s="3219">
        <v>541.67999999999995</v>
      </c>
      <c r="L3" s="3219"/>
      <c r="M3" s="3219"/>
      <c r="N3" s="3219"/>
      <c r="O3" s="3219"/>
      <c r="P3" s="3219"/>
      <c r="Q3" s="3219"/>
      <c r="R3" s="3219"/>
      <c r="S3" s="3219"/>
      <c r="T3" s="3219"/>
      <c r="U3" s="3219"/>
      <c r="V3" s="3219"/>
      <c r="W3" s="3219"/>
      <c r="X3" s="3219"/>
      <c r="Y3" s="3219"/>
      <c r="Z3" s="3219"/>
    </row>
    <row r="4" spans="1:26">
      <c r="A4" s="3216" t="s">
        <v>4443</v>
      </c>
      <c r="B4" s="3217"/>
      <c r="C4" s="3217">
        <v>3</v>
      </c>
      <c r="D4" s="3217"/>
      <c r="E4" s="3217">
        <v>12.74</v>
      </c>
      <c r="F4" s="3218">
        <f t="shared" ref="F4:F23" si="1">G4+H4</f>
        <v>1995.99</v>
      </c>
      <c r="G4" s="3223">
        <f t="shared" si="0"/>
        <v>1951.53</v>
      </c>
      <c r="H4" s="3219">
        <f>'[3]6-1分表'!F11</f>
        <v>44.46</v>
      </c>
      <c r="I4" s="3219"/>
      <c r="J4" s="3219"/>
      <c r="K4" s="3219">
        <f>'[3]6-1分表'!I11</f>
        <v>1951.53</v>
      </c>
      <c r="L4" s="3219"/>
      <c r="M4" s="3219"/>
      <c r="N4" s="3219"/>
      <c r="O4" s="3219"/>
      <c r="P4" s="3219"/>
      <c r="Q4" s="3219"/>
      <c r="R4" s="3219"/>
      <c r="S4" s="3219"/>
      <c r="T4" s="3219"/>
      <c r="U4" s="3219"/>
      <c r="V4" s="3219"/>
      <c r="W4" s="3219"/>
      <c r="X4" s="3219"/>
      <c r="Y4" s="3219"/>
      <c r="Z4" s="3219"/>
    </row>
    <row r="5" spans="1:26">
      <c r="A5" s="3216" t="s">
        <v>4444</v>
      </c>
      <c r="B5" s="3217"/>
      <c r="C5" s="3217">
        <v>3</v>
      </c>
      <c r="D5" s="3217"/>
      <c r="E5" s="3217">
        <v>12.74</v>
      </c>
      <c r="F5" s="3218">
        <f t="shared" si="1"/>
        <v>1333.36</v>
      </c>
      <c r="G5" s="3223">
        <f t="shared" si="0"/>
        <v>1302.78</v>
      </c>
      <c r="H5" s="3219">
        <f>'[3]6-1分表'!F16</f>
        <v>30.58</v>
      </c>
      <c r="I5" s="3219"/>
      <c r="J5" s="3219"/>
      <c r="K5" s="3219">
        <f>'[3]6-1分表'!I16</f>
        <v>1302.78</v>
      </c>
      <c r="L5" s="3219"/>
      <c r="M5" s="3219"/>
      <c r="N5" s="3219"/>
      <c r="O5" s="3219"/>
      <c r="P5" s="3219"/>
      <c r="Q5" s="3219"/>
      <c r="R5" s="3219"/>
      <c r="S5" s="3219"/>
      <c r="T5" s="3219"/>
      <c r="U5" s="3219"/>
      <c r="V5" s="3219"/>
      <c r="W5" s="3219"/>
      <c r="X5" s="3219"/>
      <c r="Y5" s="3219"/>
      <c r="Z5" s="3219"/>
    </row>
    <row r="6" spans="1:26">
      <c r="A6" s="3216" t="s">
        <v>4445</v>
      </c>
      <c r="B6" s="3217"/>
      <c r="C6" s="3217">
        <v>3</v>
      </c>
      <c r="D6" s="3217"/>
      <c r="E6" s="3217">
        <f>E5</f>
        <v>12.74</v>
      </c>
      <c r="F6" s="3218">
        <f t="shared" si="1"/>
        <v>1333.36</v>
      </c>
      <c r="G6" s="3223">
        <f t="shared" si="0"/>
        <v>1302.78</v>
      </c>
      <c r="H6" s="3219">
        <f>'[3]6-1分表'!F21</f>
        <v>30.58</v>
      </c>
      <c r="I6" s="3219"/>
      <c r="J6" s="3219"/>
      <c r="K6" s="3219">
        <f>'[3]6-1分表'!I21</f>
        <v>1302.78</v>
      </c>
      <c r="L6" s="3219"/>
      <c r="M6" s="3219"/>
      <c r="N6" s="3219"/>
      <c r="O6" s="3219"/>
      <c r="P6" s="3219"/>
      <c r="Q6" s="3219"/>
      <c r="R6" s="3219"/>
      <c r="S6" s="3219"/>
      <c r="T6" s="3219"/>
      <c r="U6" s="3219"/>
      <c r="V6" s="3219"/>
      <c r="W6" s="3219"/>
      <c r="X6" s="3219"/>
      <c r="Y6" s="3219"/>
      <c r="Z6" s="3219"/>
    </row>
    <row r="7" spans="1:26">
      <c r="A7" s="3216" t="s">
        <v>4446</v>
      </c>
      <c r="B7" s="3217"/>
      <c r="C7" s="3217">
        <v>3</v>
      </c>
      <c r="D7" s="3217"/>
      <c r="E7" s="3217">
        <f>E5</f>
        <v>12.74</v>
      </c>
      <c r="F7" s="3218">
        <f t="shared" si="1"/>
        <v>1333.36</v>
      </c>
      <c r="G7" s="3223">
        <f t="shared" si="0"/>
        <v>1302.78</v>
      </c>
      <c r="H7" s="3219">
        <f>'[3]6-1分表'!F26</f>
        <v>30.58</v>
      </c>
      <c r="I7" s="3219"/>
      <c r="J7" s="3219"/>
      <c r="K7" s="3219">
        <f>'[3]6-1分表'!I26</f>
        <v>1302.78</v>
      </c>
      <c r="L7" s="3219"/>
      <c r="M7" s="3219"/>
      <c r="N7" s="3219"/>
      <c r="O7" s="3219"/>
      <c r="P7" s="3219"/>
      <c r="Q7" s="3219"/>
      <c r="R7" s="3219"/>
      <c r="S7" s="3219"/>
      <c r="T7" s="3219"/>
      <c r="U7" s="3219"/>
      <c r="V7" s="3219"/>
      <c r="W7" s="3219"/>
      <c r="X7" s="3219"/>
      <c r="Y7" s="3219"/>
      <c r="Z7" s="3219"/>
    </row>
    <row r="8" spans="1:26">
      <c r="A8" s="3216" t="s">
        <v>4447</v>
      </c>
      <c r="B8" s="3217"/>
      <c r="C8" s="3217">
        <v>3</v>
      </c>
      <c r="D8" s="3217"/>
      <c r="E8" s="3217">
        <v>11.81</v>
      </c>
      <c r="F8" s="3218">
        <f t="shared" si="1"/>
        <v>339.17</v>
      </c>
      <c r="G8" s="3223">
        <f t="shared" si="0"/>
        <v>329.53000000000003</v>
      </c>
      <c r="H8" s="3219">
        <f>'[3]6-1分表'!F31</f>
        <v>9.6399999999999988</v>
      </c>
      <c r="I8" s="3219"/>
      <c r="J8" s="3219"/>
      <c r="K8" s="3219">
        <f>'[3]6-1分表'!I31</f>
        <v>329.53000000000003</v>
      </c>
      <c r="L8" s="3219"/>
      <c r="M8" s="3219"/>
      <c r="N8" s="3219"/>
      <c r="O8" s="3219"/>
      <c r="P8" s="3219"/>
      <c r="Q8" s="3219"/>
      <c r="R8" s="3219"/>
      <c r="S8" s="3219"/>
      <c r="T8" s="3219"/>
      <c r="U8" s="3219"/>
      <c r="V8" s="3219"/>
      <c r="W8" s="3219"/>
      <c r="X8" s="3219"/>
      <c r="Y8" s="3219"/>
      <c r="Z8" s="3219"/>
    </row>
    <row r="9" spans="1:26">
      <c r="A9" s="3216" t="s">
        <v>4448</v>
      </c>
      <c r="B9" s="3217"/>
      <c r="C9" s="3217">
        <v>3</v>
      </c>
      <c r="D9" s="3217"/>
      <c r="E9" s="3217">
        <v>12.74</v>
      </c>
      <c r="F9" s="3218">
        <f t="shared" si="1"/>
        <v>1503.05</v>
      </c>
      <c r="G9" s="3223">
        <f t="shared" si="0"/>
        <v>1467.6399999999999</v>
      </c>
      <c r="H9" s="3219">
        <f>'[3]6-1分表'!F36</f>
        <v>35.409999999999997</v>
      </c>
      <c r="I9" s="3219"/>
      <c r="J9" s="3219"/>
      <c r="K9" s="3219">
        <f>'[3]6-1分表'!I36</f>
        <v>1467.6399999999999</v>
      </c>
      <c r="L9" s="3219"/>
      <c r="M9" s="3219"/>
      <c r="N9" s="3219"/>
      <c r="O9" s="3219"/>
      <c r="P9" s="3219"/>
      <c r="Q9" s="3219"/>
      <c r="R9" s="3219"/>
      <c r="S9" s="3219"/>
      <c r="T9" s="3219"/>
      <c r="U9" s="3219"/>
      <c r="V9" s="3219"/>
      <c r="W9" s="3219"/>
      <c r="X9" s="3219"/>
      <c r="Y9" s="3219"/>
      <c r="Z9" s="3219"/>
    </row>
    <row r="10" spans="1:26">
      <c r="A10" s="3216" t="s">
        <v>4449</v>
      </c>
      <c r="B10" s="3217"/>
      <c r="C10" s="3217">
        <v>3</v>
      </c>
      <c r="D10" s="3217"/>
      <c r="E10" s="3217">
        <v>12.74</v>
      </c>
      <c r="F10" s="3218">
        <f t="shared" si="1"/>
        <v>1668.76</v>
      </c>
      <c r="G10" s="3223">
        <f t="shared" si="0"/>
        <v>1629.9</v>
      </c>
      <c r="H10" s="3219">
        <f>'[3]6-1分表'!F41</f>
        <v>38.86</v>
      </c>
      <c r="I10" s="3219"/>
      <c r="J10" s="3219"/>
      <c r="K10" s="3219">
        <f>'[3]6-1分表'!I41</f>
        <v>1629.9</v>
      </c>
      <c r="L10" s="3219"/>
      <c r="M10" s="3219"/>
      <c r="N10" s="3219"/>
      <c r="O10" s="3219"/>
      <c r="P10" s="3219"/>
      <c r="Q10" s="3219"/>
      <c r="R10" s="3219"/>
      <c r="S10" s="3219"/>
      <c r="T10" s="3219"/>
      <c r="U10" s="3219"/>
      <c r="V10" s="3219"/>
      <c r="W10" s="3219"/>
      <c r="X10" s="3219"/>
      <c r="Y10" s="3219"/>
      <c r="Z10" s="3219"/>
    </row>
    <row r="11" spans="1:26">
      <c r="A11" s="3220" t="s">
        <v>4450</v>
      </c>
      <c r="B11" s="3217"/>
      <c r="C11" s="3217">
        <v>3</v>
      </c>
      <c r="D11" s="3217"/>
      <c r="E11" s="3217">
        <v>11.5</v>
      </c>
      <c r="F11" s="3218">
        <f t="shared" si="1"/>
        <v>745.5</v>
      </c>
      <c r="G11" s="3223">
        <f t="shared" si="0"/>
        <v>722.24</v>
      </c>
      <c r="H11" s="3219">
        <v>23.26</v>
      </c>
      <c r="I11" s="3219"/>
      <c r="J11" s="3219"/>
      <c r="K11" s="3219">
        <v>722.24</v>
      </c>
      <c r="L11" s="3219"/>
      <c r="M11" s="3219"/>
      <c r="N11" s="3219"/>
      <c r="O11" s="3219"/>
      <c r="P11" s="3219"/>
      <c r="Q11" s="3219"/>
      <c r="R11" s="3219"/>
      <c r="S11" s="3219"/>
      <c r="T11" s="3219"/>
      <c r="U11" s="3219"/>
      <c r="V11" s="3219"/>
      <c r="W11" s="3219"/>
      <c r="X11" s="3219"/>
      <c r="Y11" s="3219"/>
      <c r="Z11" s="3219"/>
    </row>
    <row r="12" spans="1:26">
      <c r="A12" s="3220" t="s">
        <v>4451</v>
      </c>
      <c r="B12" s="3217"/>
      <c r="C12" s="3217">
        <v>3</v>
      </c>
      <c r="D12" s="3217"/>
      <c r="E12" s="3217">
        <v>11.5</v>
      </c>
      <c r="F12" s="3218">
        <f t="shared" si="1"/>
        <v>935.4</v>
      </c>
      <c r="G12" s="3223">
        <f t="shared" si="0"/>
        <v>902.8</v>
      </c>
      <c r="H12" s="3219">
        <v>32.6</v>
      </c>
      <c r="I12" s="3219"/>
      <c r="J12" s="3219"/>
      <c r="K12" s="3219">
        <v>902.8</v>
      </c>
      <c r="L12" s="3219"/>
      <c r="M12" s="3219"/>
      <c r="N12" s="3219"/>
      <c r="O12" s="3219"/>
      <c r="P12" s="3219"/>
      <c r="Q12" s="3219"/>
      <c r="R12" s="3219"/>
      <c r="S12" s="3219"/>
      <c r="T12" s="3219"/>
      <c r="U12" s="3219"/>
      <c r="V12" s="3219"/>
      <c r="W12" s="3219"/>
      <c r="X12" s="3219"/>
      <c r="Y12" s="3219"/>
      <c r="Z12" s="3219"/>
    </row>
    <row r="13" spans="1:26">
      <c r="A13" s="3216" t="s">
        <v>4452</v>
      </c>
      <c r="B13" s="3217"/>
      <c r="C13" s="3217">
        <v>3</v>
      </c>
      <c r="D13" s="3217"/>
      <c r="E13" s="3217">
        <f>E5</f>
        <v>12.74</v>
      </c>
      <c r="F13" s="3218">
        <f t="shared" si="1"/>
        <v>1333.36</v>
      </c>
      <c r="G13" s="3223">
        <f t="shared" si="0"/>
        <v>1302.78</v>
      </c>
      <c r="H13" s="3219">
        <f>'[3]6-1分表'!F56</f>
        <v>30.58</v>
      </c>
      <c r="I13" s="3219"/>
      <c r="J13" s="3219"/>
      <c r="K13" s="3219">
        <f>'[3]6-1分表'!I56</f>
        <v>1302.78</v>
      </c>
      <c r="L13" s="3219"/>
      <c r="M13" s="3219"/>
      <c r="N13" s="3219"/>
      <c r="O13" s="3219"/>
      <c r="P13" s="3219"/>
      <c r="Q13" s="3219"/>
      <c r="R13" s="3219"/>
      <c r="S13" s="3219"/>
      <c r="T13" s="3219"/>
      <c r="U13" s="3219"/>
      <c r="V13" s="3219"/>
      <c r="W13" s="3219"/>
      <c r="X13" s="3219"/>
      <c r="Y13" s="3219"/>
      <c r="Z13" s="3219"/>
    </row>
    <row r="14" spans="1:26">
      <c r="A14" s="3216" t="s">
        <v>4453</v>
      </c>
      <c r="B14" s="3217"/>
      <c r="C14" s="3217">
        <v>3</v>
      </c>
      <c r="D14" s="3217"/>
      <c r="E14" s="3217">
        <f>E6</f>
        <v>12.74</v>
      </c>
      <c r="F14" s="3218">
        <f t="shared" si="1"/>
        <v>1333.36</v>
      </c>
      <c r="G14" s="3223">
        <f t="shared" si="0"/>
        <v>1302.78</v>
      </c>
      <c r="H14" s="3219">
        <f>'[3]6-1分表'!F61</f>
        <v>30.58</v>
      </c>
      <c r="I14" s="3219"/>
      <c r="J14" s="3219"/>
      <c r="K14" s="3219">
        <f>'[3]6-1分表'!I61</f>
        <v>1302.78</v>
      </c>
      <c r="L14" s="3219"/>
      <c r="M14" s="3219"/>
      <c r="N14" s="3219"/>
      <c r="O14" s="3219"/>
      <c r="P14" s="3219"/>
      <c r="Q14" s="3219"/>
      <c r="R14" s="3219"/>
      <c r="S14" s="3219"/>
      <c r="T14" s="3219"/>
      <c r="U14" s="3219"/>
      <c r="V14" s="3219"/>
      <c r="W14" s="3219"/>
      <c r="X14" s="3219"/>
      <c r="Y14" s="3219"/>
      <c r="Z14" s="3219"/>
    </row>
    <row r="15" spans="1:26">
      <c r="A15" s="3216" t="s">
        <v>4454</v>
      </c>
      <c r="B15" s="3217"/>
      <c r="C15" s="3217">
        <v>3</v>
      </c>
      <c r="D15" s="3217"/>
      <c r="E15" s="3217">
        <f>E7</f>
        <v>12.74</v>
      </c>
      <c r="F15" s="3218">
        <f t="shared" si="1"/>
        <v>1333.36</v>
      </c>
      <c r="G15" s="3223">
        <f t="shared" si="0"/>
        <v>1302.78</v>
      </c>
      <c r="H15" s="3219">
        <f>'[3]6-1分表'!F66</f>
        <v>30.58</v>
      </c>
      <c r="I15" s="3219"/>
      <c r="J15" s="3219"/>
      <c r="K15" s="3219">
        <f>'[3]6-1分表'!I66</f>
        <v>1302.78</v>
      </c>
      <c r="L15" s="3219"/>
      <c r="M15" s="3219"/>
      <c r="N15" s="3219"/>
      <c r="O15" s="3219"/>
      <c r="P15" s="3219"/>
      <c r="Q15" s="3219"/>
      <c r="R15" s="3219"/>
      <c r="S15" s="3219"/>
      <c r="T15" s="3219"/>
      <c r="U15" s="3219"/>
      <c r="V15" s="3219"/>
      <c r="W15" s="3219"/>
      <c r="X15" s="3219"/>
      <c r="Y15" s="3219"/>
      <c r="Z15" s="3219"/>
    </row>
    <row r="16" spans="1:26">
      <c r="A16" s="3216" t="s">
        <v>4455</v>
      </c>
      <c r="B16" s="3217"/>
      <c r="C16" s="3217">
        <v>3</v>
      </c>
      <c r="D16" s="3217"/>
      <c r="E16" s="3217">
        <f>E5</f>
        <v>12.74</v>
      </c>
      <c r="F16" s="3218">
        <f t="shared" si="1"/>
        <v>1995.99</v>
      </c>
      <c r="G16" s="3223">
        <f t="shared" si="0"/>
        <v>1951.53</v>
      </c>
      <c r="H16" s="3219">
        <f>'[3]6-1分表'!F71</f>
        <v>44.46</v>
      </c>
      <c r="I16" s="3219"/>
      <c r="J16" s="3219"/>
      <c r="K16" s="3219">
        <f>'[3]6-1分表'!I76</f>
        <v>1951.53</v>
      </c>
      <c r="L16" s="3219"/>
      <c r="M16" s="3219"/>
      <c r="N16" s="3219"/>
      <c r="O16" s="3219"/>
      <c r="P16" s="3219"/>
      <c r="Q16" s="3219"/>
      <c r="R16" s="3219"/>
      <c r="S16" s="3219"/>
      <c r="T16" s="3219"/>
      <c r="U16" s="3219"/>
      <c r="V16" s="3219"/>
      <c r="W16" s="3219"/>
      <c r="X16" s="3219"/>
      <c r="Y16" s="3219"/>
      <c r="Z16" s="3219"/>
    </row>
    <row r="17" spans="1:26">
      <c r="A17" s="3216" t="s">
        <v>4456</v>
      </c>
      <c r="B17" s="3217"/>
      <c r="C17" s="3217">
        <v>3</v>
      </c>
      <c r="D17" s="3217"/>
      <c r="E17" s="3217">
        <f>E6</f>
        <v>12.74</v>
      </c>
      <c r="F17" s="3218">
        <f t="shared" si="1"/>
        <v>1995.99</v>
      </c>
      <c r="G17" s="3223">
        <f t="shared" si="0"/>
        <v>1951.53</v>
      </c>
      <c r="H17" s="3219">
        <f>'[3]6-1分表'!F81</f>
        <v>44.46</v>
      </c>
      <c r="I17" s="3219"/>
      <c r="J17" s="3219"/>
      <c r="K17" s="3219">
        <f>'[3]6-1分表'!I76</f>
        <v>1951.53</v>
      </c>
      <c r="L17" s="3219"/>
      <c r="M17" s="3219"/>
      <c r="N17" s="3219"/>
      <c r="O17" s="3219"/>
      <c r="P17" s="3219"/>
      <c r="Q17" s="3219"/>
      <c r="R17" s="3219"/>
      <c r="S17" s="3219"/>
      <c r="T17" s="3219"/>
      <c r="U17" s="3219"/>
      <c r="V17" s="3219"/>
      <c r="W17" s="3219"/>
      <c r="X17" s="3219"/>
      <c r="Y17" s="3219"/>
      <c r="Z17" s="3219"/>
    </row>
    <row r="18" spans="1:26">
      <c r="A18" s="3216" t="s">
        <v>4457</v>
      </c>
      <c r="B18" s="3217"/>
      <c r="C18" s="3217">
        <v>3</v>
      </c>
      <c r="D18" s="3217"/>
      <c r="E18" s="3217">
        <f>E7</f>
        <v>12.74</v>
      </c>
      <c r="F18" s="3218">
        <f t="shared" si="1"/>
        <v>1995.99</v>
      </c>
      <c r="G18" s="3223">
        <f t="shared" si="0"/>
        <v>1951.53</v>
      </c>
      <c r="H18" s="3219">
        <f>'[3]6-1分表'!F81</f>
        <v>44.46</v>
      </c>
      <c r="I18" s="3219"/>
      <c r="J18" s="3219"/>
      <c r="K18" s="3219">
        <f>'[3]6-1分表'!I81</f>
        <v>1951.53</v>
      </c>
      <c r="L18" s="3219"/>
      <c r="M18" s="3219"/>
      <c r="N18" s="3219"/>
      <c r="O18" s="3219"/>
      <c r="P18" s="3219"/>
      <c r="Q18" s="3219"/>
      <c r="R18" s="3219"/>
      <c r="S18" s="3219"/>
      <c r="T18" s="3219"/>
      <c r="U18" s="3219"/>
      <c r="V18" s="3219"/>
      <c r="W18" s="3219"/>
      <c r="X18" s="3219"/>
      <c r="Y18" s="3219"/>
      <c r="Z18" s="3219"/>
    </row>
    <row r="19" spans="1:26">
      <c r="A19" s="3220" t="s">
        <v>4458</v>
      </c>
      <c r="B19" s="3217"/>
      <c r="C19" s="3217">
        <v>3</v>
      </c>
      <c r="D19" s="3217"/>
      <c r="E19" s="3217">
        <v>11.5</v>
      </c>
      <c r="F19" s="3218">
        <f t="shared" si="1"/>
        <v>935.4</v>
      </c>
      <c r="G19" s="3223">
        <f t="shared" si="0"/>
        <v>902.8</v>
      </c>
      <c r="H19" s="3219">
        <v>32.6</v>
      </c>
      <c r="I19" s="3219"/>
      <c r="J19" s="3219"/>
      <c r="K19" s="3219">
        <v>902.8</v>
      </c>
      <c r="L19" s="3219"/>
      <c r="M19" s="3219"/>
      <c r="N19" s="3219"/>
      <c r="O19" s="3219"/>
      <c r="P19" s="3219"/>
      <c r="Q19" s="3219"/>
      <c r="R19" s="3219"/>
      <c r="S19" s="3219"/>
      <c r="T19" s="3219"/>
      <c r="U19" s="3219"/>
      <c r="V19" s="3219"/>
      <c r="W19" s="3219"/>
      <c r="X19" s="3219"/>
      <c r="Y19" s="3219"/>
      <c r="Z19" s="3219"/>
    </row>
    <row r="20" spans="1:26">
      <c r="A20" s="3216" t="s">
        <v>4459</v>
      </c>
      <c r="B20" s="3217"/>
      <c r="C20" s="3217">
        <v>3</v>
      </c>
      <c r="D20" s="3217"/>
      <c r="E20" s="3217">
        <f>E5</f>
        <v>12.74</v>
      </c>
      <c r="F20" s="3218">
        <f t="shared" si="1"/>
        <v>1333.36</v>
      </c>
      <c r="G20" s="3223">
        <f t="shared" si="0"/>
        <v>1302.78</v>
      </c>
      <c r="H20" s="3219">
        <f>'[3]6-1分表'!F91</f>
        <v>30.58</v>
      </c>
      <c r="I20" s="3219"/>
      <c r="J20" s="3219"/>
      <c r="K20" s="3219">
        <f>'[3]6-1分表'!I91</f>
        <v>1302.78</v>
      </c>
      <c r="L20" s="3219"/>
      <c r="M20" s="3219"/>
      <c r="N20" s="3219"/>
      <c r="O20" s="3219"/>
      <c r="P20" s="3219"/>
      <c r="Q20" s="3219"/>
      <c r="R20" s="3219"/>
      <c r="S20" s="3219"/>
      <c r="T20" s="3219"/>
      <c r="U20" s="3219"/>
      <c r="V20" s="3219"/>
      <c r="W20" s="3219"/>
      <c r="X20" s="3219"/>
      <c r="Y20" s="3219"/>
      <c r="Z20" s="3219"/>
    </row>
    <row r="21" spans="1:26">
      <c r="A21" s="3216" t="s">
        <v>4460</v>
      </c>
      <c r="B21" s="3217"/>
      <c r="C21" s="3217">
        <v>3</v>
      </c>
      <c r="D21" s="3217"/>
      <c r="E21" s="3217">
        <v>12.74</v>
      </c>
      <c r="F21" s="3218">
        <f t="shared" si="1"/>
        <v>1006.1899999999999</v>
      </c>
      <c r="G21" s="3223">
        <f t="shared" si="0"/>
        <v>981.20999999999992</v>
      </c>
      <c r="H21" s="3219">
        <f>'[3]6-1分表'!F96</f>
        <v>24.980000000000004</v>
      </c>
      <c r="I21" s="3219"/>
      <c r="J21" s="3219"/>
      <c r="K21" s="3219">
        <f>'[3]6-1分表'!I96</f>
        <v>981.20999999999992</v>
      </c>
      <c r="L21" s="3219"/>
      <c r="M21" s="3219"/>
      <c r="N21" s="3219"/>
      <c r="O21" s="3219"/>
      <c r="P21" s="3219"/>
      <c r="Q21" s="3219"/>
      <c r="R21" s="3219"/>
      <c r="S21" s="3219"/>
      <c r="T21" s="3219"/>
      <c r="U21" s="3219"/>
      <c r="V21" s="3219"/>
      <c r="W21" s="3219"/>
      <c r="X21" s="3219"/>
      <c r="Y21" s="3219"/>
      <c r="Z21" s="3219"/>
    </row>
    <row r="22" spans="1:26">
      <c r="A22" s="3216" t="s">
        <v>4461</v>
      </c>
      <c r="B22" s="3217"/>
      <c r="C22" s="3217">
        <v>3</v>
      </c>
      <c r="D22" s="3217"/>
      <c r="E22" s="3217">
        <v>12.74</v>
      </c>
      <c r="F22" s="3218">
        <f t="shared" si="1"/>
        <v>721.1400000000001</v>
      </c>
      <c r="G22" s="3223">
        <f t="shared" si="0"/>
        <v>703.07</v>
      </c>
      <c r="H22" s="3219">
        <f>'[3]6-1分表'!F101</f>
        <v>18.07</v>
      </c>
      <c r="I22" s="3219"/>
      <c r="J22" s="3219"/>
      <c r="K22" s="3219">
        <f>'[3]6-1分表'!I101</f>
        <v>703.07</v>
      </c>
      <c r="L22" s="3219"/>
      <c r="M22" s="3219"/>
      <c r="N22" s="3219"/>
      <c r="O22" s="3219"/>
      <c r="P22" s="3219"/>
      <c r="Q22" s="3219"/>
      <c r="R22" s="3219"/>
      <c r="S22" s="3219"/>
      <c r="T22" s="3219"/>
      <c r="U22" s="3219"/>
      <c r="V22" s="3219"/>
      <c r="W22" s="3219"/>
      <c r="X22" s="3219"/>
      <c r="Y22" s="3219"/>
      <c r="Z22" s="3219"/>
    </row>
    <row r="23" spans="1:26">
      <c r="A23" s="3220" t="s">
        <v>4462</v>
      </c>
      <c r="B23" s="3217"/>
      <c r="C23" s="3217">
        <v>2</v>
      </c>
      <c r="D23" s="3217"/>
      <c r="E23" s="3217">
        <v>9.1</v>
      </c>
      <c r="F23" s="3218">
        <f t="shared" si="1"/>
        <v>235.60999999999999</v>
      </c>
      <c r="G23" s="3223">
        <f t="shared" si="0"/>
        <v>229.44</v>
      </c>
      <c r="H23" s="3219">
        <v>6.17</v>
      </c>
      <c r="I23" s="3219"/>
      <c r="J23" s="3219"/>
      <c r="K23" s="3219">
        <v>229.44</v>
      </c>
      <c r="L23" s="3219"/>
      <c r="M23" s="3219"/>
      <c r="N23" s="3219"/>
      <c r="O23" s="3219"/>
      <c r="P23" s="3219"/>
      <c r="Q23" s="3219"/>
      <c r="R23" s="3219"/>
      <c r="S23" s="3219"/>
      <c r="T23" s="3219"/>
      <c r="U23" s="3219"/>
      <c r="V23" s="3219"/>
      <c r="W23" s="3219"/>
      <c r="X23" s="3219"/>
      <c r="Y23" s="3219"/>
      <c r="Z23" s="3219"/>
    </row>
    <row r="24" spans="1:26">
      <c r="A24" s="3224"/>
      <c r="B24" s="3217"/>
      <c r="C24" s="3217"/>
      <c r="D24" s="3217"/>
      <c r="E24" s="3217"/>
      <c r="F24" s="3218"/>
      <c r="G24" s="3219"/>
      <c r="H24" s="3219"/>
      <c r="I24" s="3219"/>
      <c r="J24" s="3219"/>
      <c r="K24" s="3219"/>
      <c r="L24" s="3219"/>
      <c r="M24" s="3219"/>
      <c r="N24" s="3219"/>
      <c r="O24" s="3219"/>
      <c r="P24" s="3219"/>
      <c r="Q24" s="3219"/>
      <c r="R24" s="3219"/>
      <c r="S24" s="3219"/>
      <c r="T24" s="3219"/>
      <c r="U24" s="3219"/>
      <c r="V24" s="3219"/>
      <c r="W24" s="3219"/>
      <c r="X24" s="3219"/>
      <c r="Y24" s="3219"/>
      <c r="Z24" s="3219"/>
    </row>
    <row r="25" spans="1:26">
      <c r="A25" s="3224"/>
      <c r="B25" s="3217"/>
      <c r="C25" s="3217"/>
      <c r="D25" s="3217"/>
      <c r="E25" s="3217"/>
      <c r="F25" s="3218"/>
      <c r="G25" s="3219"/>
      <c r="H25" s="3219"/>
      <c r="I25" s="3219"/>
      <c r="J25" s="3219"/>
      <c r="K25" s="3219"/>
      <c r="L25" s="3219"/>
      <c r="M25" s="3219"/>
      <c r="N25" s="3219"/>
      <c r="O25" s="3219"/>
      <c r="P25" s="3219"/>
      <c r="Q25" s="3219"/>
      <c r="R25" s="3219"/>
      <c r="S25" s="3219"/>
      <c r="T25" s="3219"/>
      <c r="U25" s="3219"/>
      <c r="V25" s="3219"/>
      <c r="W25" s="3219"/>
      <c r="X25" s="3219"/>
      <c r="Y25" s="3219"/>
      <c r="Z25" s="3219"/>
    </row>
    <row r="26" spans="1:26">
      <c r="A26" s="3224"/>
      <c r="B26" s="3217"/>
      <c r="C26" s="3217"/>
      <c r="D26" s="3217"/>
      <c r="E26" s="3217"/>
      <c r="F26" s="3218"/>
      <c r="G26" s="3219"/>
      <c r="H26" s="3219"/>
      <c r="I26" s="3219"/>
      <c r="J26" s="3219"/>
      <c r="K26" s="3219"/>
      <c r="L26" s="3219"/>
      <c r="M26" s="3219"/>
      <c r="N26" s="3219"/>
      <c r="O26" s="3219"/>
      <c r="P26" s="3219"/>
      <c r="Q26" s="3219"/>
      <c r="R26" s="3219"/>
      <c r="S26" s="3219"/>
      <c r="T26" s="3219"/>
      <c r="U26" s="3219"/>
      <c r="V26" s="3219"/>
      <c r="W26" s="3219"/>
      <c r="X26" s="3219"/>
      <c r="Y26" s="3219"/>
      <c r="Z26" s="3219"/>
    </row>
    <row r="27" spans="1:26">
      <c r="A27" s="3224"/>
      <c r="B27" s="3217"/>
      <c r="C27" s="3217"/>
      <c r="D27" s="3217"/>
      <c r="E27" s="3217"/>
      <c r="F27" s="3218"/>
      <c r="G27" s="3219"/>
      <c r="H27" s="3219"/>
      <c r="I27" s="3219"/>
      <c r="J27" s="3219"/>
      <c r="K27" s="3219"/>
      <c r="L27" s="3219"/>
      <c r="M27" s="3219"/>
      <c r="N27" s="3219"/>
      <c r="O27" s="3219"/>
      <c r="P27" s="3219"/>
      <c r="Q27" s="3219"/>
      <c r="R27" s="3219"/>
      <c r="S27" s="3219"/>
      <c r="T27" s="3219"/>
      <c r="U27" s="3219"/>
      <c r="V27" s="3219"/>
      <c r="W27" s="3219"/>
      <c r="X27" s="3219"/>
      <c r="Y27" s="3219"/>
      <c r="Z27" s="3219"/>
    </row>
    <row r="28" spans="1:26">
      <c r="A28" s="3224"/>
      <c r="B28" s="3217"/>
      <c r="C28" s="3217"/>
      <c r="D28" s="3217"/>
      <c r="E28" s="3217"/>
      <c r="F28" s="3218"/>
      <c r="G28" s="3219"/>
      <c r="H28" s="3219"/>
      <c r="I28" s="3219"/>
      <c r="J28" s="3219"/>
      <c r="K28" s="3219"/>
      <c r="L28" s="3219"/>
      <c r="M28" s="3219"/>
      <c r="N28" s="3219"/>
      <c r="O28" s="3219"/>
      <c r="P28" s="3219"/>
      <c r="Q28" s="3219"/>
      <c r="R28" s="3219"/>
      <c r="S28" s="3219"/>
      <c r="T28" s="3219"/>
      <c r="U28" s="3219"/>
      <c r="V28" s="3219"/>
      <c r="W28" s="3219"/>
      <c r="X28" s="3219"/>
      <c r="Y28" s="3219"/>
      <c r="Z28" s="3219"/>
    </row>
    <row r="29" spans="1:26">
      <c r="A29" s="3224"/>
      <c r="B29" s="3217"/>
      <c r="C29" s="3217"/>
      <c r="D29" s="3217"/>
      <c r="E29" s="3217"/>
      <c r="F29" s="3218"/>
      <c r="G29" s="3219"/>
      <c r="H29" s="3219"/>
      <c r="I29" s="3219"/>
      <c r="J29" s="3219"/>
      <c r="K29" s="3219"/>
      <c r="L29" s="3219"/>
      <c r="M29" s="3219"/>
      <c r="N29" s="3219"/>
      <c r="O29" s="3219"/>
      <c r="P29" s="3219"/>
      <c r="Q29" s="3219"/>
      <c r="R29" s="3219"/>
      <c r="S29" s="3219"/>
      <c r="T29" s="3219"/>
      <c r="U29" s="3219"/>
      <c r="V29" s="3219"/>
      <c r="W29" s="3219"/>
      <c r="X29" s="3219"/>
      <c r="Y29" s="3219"/>
      <c r="Z29" s="3219"/>
    </row>
    <row r="30" spans="1:26">
      <c r="A30" s="3224"/>
      <c r="B30" s="3217"/>
      <c r="C30" s="3217"/>
      <c r="D30" s="3217"/>
      <c r="E30" s="3217"/>
      <c r="F30" s="3218"/>
      <c r="G30" s="3219"/>
      <c r="H30" s="3219"/>
      <c r="I30" s="3219"/>
      <c r="J30" s="3219"/>
      <c r="K30" s="3219"/>
      <c r="L30" s="3219"/>
      <c r="M30" s="3219"/>
      <c r="N30" s="3219"/>
      <c r="O30" s="3219"/>
      <c r="P30" s="3219"/>
      <c r="Q30" s="3219"/>
      <c r="R30" s="3219"/>
      <c r="S30" s="3219"/>
      <c r="T30" s="3219"/>
      <c r="U30" s="3219"/>
      <c r="V30" s="3219"/>
      <c r="W30" s="3219"/>
      <c r="X30" s="3219"/>
      <c r="Y30" s="3219"/>
      <c r="Z30" s="3219"/>
    </row>
    <row r="31" spans="1:26" ht="13.5" customHeight="1">
      <c r="A31" s="3224"/>
      <c r="B31" s="3217"/>
      <c r="C31" s="3217"/>
      <c r="D31" s="3217"/>
      <c r="E31" s="3217"/>
      <c r="F31" s="3218"/>
      <c r="G31" s="3219"/>
      <c r="H31" s="3219"/>
      <c r="I31" s="3219"/>
      <c r="J31" s="3219"/>
      <c r="K31" s="3219"/>
      <c r="L31" s="3219"/>
      <c r="M31" s="3219"/>
      <c r="N31" s="3219"/>
      <c r="O31" s="3219"/>
      <c r="P31" s="3219"/>
      <c r="Q31" s="3219"/>
      <c r="R31" s="3219"/>
      <c r="S31" s="3219"/>
      <c r="T31" s="3219"/>
      <c r="U31" s="3219"/>
      <c r="V31" s="3219"/>
      <c r="W31" s="3219"/>
      <c r="X31" s="3219"/>
      <c r="Y31" s="3219"/>
      <c r="Z31" s="3219"/>
    </row>
    <row r="32" spans="1:26">
      <c r="A32" s="3224"/>
      <c r="B32" s="3217"/>
      <c r="C32" s="3217"/>
      <c r="D32" s="3217"/>
      <c r="E32" s="3217"/>
      <c r="F32" s="3218"/>
      <c r="G32" s="3219"/>
      <c r="H32" s="3219"/>
      <c r="I32" s="3219"/>
      <c r="J32" s="3219"/>
      <c r="K32" s="3219"/>
      <c r="L32" s="3219"/>
      <c r="M32" s="3219"/>
      <c r="N32" s="3219"/>
      <c r="O32" s="3219"/>
      <c r="P32" s="3219"/>
      <c r="Q32" s="3219"/>
      <c r="R32" s="3219"/>
      <c r="S32" s="3219"/>
      <c r="T32" s="3219"/>
      <c r="U32" s="3219"/>
      <c r="V32" s="3219"/>
      <c r="W32" s="3219"/>
      <c r="X32" s="3219"/>
      <c r="Y32" s="3219"/>
      <c r="Z32" s="3219"/>
    </row>
    <row r="33" spans="1:27">
      <c r="A33" s="3224"/>
      <c r="B33" s="3217"/>
      <c r="C33" s="3217"/>
      <c r="D33" s="3217"/>
      <c r="E33" s="3217"/>
      <c r="F33" s="3218"/>
      <c r="G33" s="3219"/>
      <c r="H33" s="3219"/>
      <c r="I33" s="3219"/>
      <c r="J33" s="3219"/>
      <c r="K33" s="3219"/>
      <c r="L33" s="3219"/>
      <c r="M33" s="3219"/>
      <c r="N33" s="3219"/>
      <c r="O33" s="3219"/>
      <c r="P33" s="3219"/>
      <c r="Q33" s="3219"/>
      <c r="R33" s="3219"/>
      <c r="S33" s="3219"/>
      <c r="T33" s="3219"/>
      <c r="U33" s="3219"/>
      <c r="V33" s="3219"/>
      <c r="W33" s="3219"/>
      <c r="X33" s="3219"/>
      <c r="Y33" s="3219"/>
      <c r="Z33" s="3219"/>
    </row>
    <row r="34" spans="1:27" hidden="1">
      <c r="A34" s="3224" t="s">
        <v>3545</v>
      </c>
      <c r="B34" s="3217"/>
      <c r="C34" s="3217"/>
      <c r="D34" s="3217"/>
      <c r="E34" s="3217"/>
      <c r="F34" s="3218">
        <f>G34+H34+I34</f>
        <v>0</v>
      </c>
      <c r="G34" s="3219">
        <v>0</v>
      </c>
      <c r="H34" s="3219">
        <v>0</v>
      </c>
      <c r="I34" s="3219">
        <v>0</v>
      </c>
      <c r="J34" s="3219"/>
      <c r="K34" s="3219">
        <v>0</v>
      </c>
      <c r="L34" s="3219"/>
      <c r="M34" s="3219">
        <v>0</v>
      </c>
      <c r="N34" s="3219"/>
      <c r="O34" s="3219"/>
      <c r="P34" s="3219"/>
      <c r="Q34" s="3219"/>
      <c r="R34" s="3219"/>
      <c r="S34" s="3219"/>
      <c r="T34" s="3219"/>
      <c r="U34" s="3219"/>
      <c r="V34" s="3219"/>
      <c r="W34" s="3219"/>
      <c r="X34" s="3219"/>
      <c r="Y34" s="3219"/>
      <c r="Z34" s="3219"/>
    </row>
    <row r="35" spans="1:27" hidden="1">
      <c r="A35" s="3225" t="s">
        <v>3546</v>
      </c>
      <c r="B35" s="3217"/>
      <c r="C35" s="3217"/>
      <c r="D35" s="3217"/>
      <c r="E35" s="3217"/>
      <c r="F35" s="3218">
        <f>G35+H35+I35</f>
        <v>0</v>
      </c>
      <c r="G35" s="3219">
        <v>0</v>
      </c>
      <c r="H35" s="3219">
        <v>0</v>
      </c>
      <c r="I35" s="3219">
        <v>0</v>
      </c>
      <c r="J35" s="3219"/>
      <c r="K35" s="3219">
        <v>0</v>
      </c>
      <c r="L35" s="3219"/>
      <c r="M35" s="3219">
        <v>0</v>
      </c>
      <c r="N35" s="3219"/>
      <c r="O35" s="3219"/>
      <c r="P35" s="3219"/>
      <c r="Q35" s="3219"/>
      <c r="R35" s="3219"/>
      <c r="S35" s="3219"/>
      <c r="T35" s="3219"/>
      <c r="U35" s="3219"/>
      <c r="V35" s="3219"/>
      <c r="W35" s="3219"/>
      <c r="X35" s="3219"/>
      <c r="Y35" s="3219"/>
      <c r="Z35" s="3219"/>
    </row>
    <row r="36" spans="1:27">
      <c r="A36" s="3981"/>
      <c r="B36" s="3982"/>
      <c r="C36" s="3982"/>
      <c r="D36" s="3982"/>
      <c r="E36" s="3982"/>
      <c r="F36" s="3982"/>
      <c r="G36" s="3982"/>
      <c r="H36" s="3982"/>
      <c r="I36" s="3982"/>
      <c r="J36" s="3982"/>
      <c r="K36" s="3982"/>
      <c r="L36" s="3982"/>
      <c r="M36" s="3982"/>
      <c r="N36" s="3982"/>
      <c r="O36" s="3982"/>
      <c r="P36" s="3982"/>
      <c r="Q36" s="3982"/>
      <c r="R36" s="3982"/>
      <c r="S36" s="3982"/>
      <c r="T36" s="3982"/>
      <c r="U36" s="3982"/>
      <c r="V36" s="3982"/>
      <c r="W36" s="3982"/>
      <c r="X36" s="3982"/>
      <c r="Y36" s="3982"/>
      <c r="Z36" s="3983"/>
    </row>
    <row r="37" spans="1:27">
      <c r="A37" s="3224" t="s">
        <v>4463</v>
      </c>
      <c r="B37" s="3217"/>
      <c r="C37" s="3217"/>
      <c r="D37" s="3226"/>
      <c r="E37" s="3217"/>
      <c r="F37" s="3218"/>
      <c r="G37" s="3219"/>
      <c r="H37" s="3219"/>
      <c r="I37" s="3219"/>
      <c r="J37" s="3227"/>
      <c r="K37" s="3219"/>
      <c r="L37" s="3219"/>
      <c r="M37" s="3219"/>
      <c r="N37" s="3228"/>
      <c r="O37" s="3219"/>
      <c r="P37" s="3229"/>
      <c r="Q37" s="3229"/>
      <c r="R37" s="3229"/>
      <c r="S37" s="3229"/>
      <c r="T37" s="3229"/>
      <c r="U37" s="3229"/>
      <c r="V37" s="3229"/>
      <c r="W37" s="3229"/>
      <c r="X37" s="3229"/>
      <c r="Y37" s="3229"/>
      <c r="Z37" s="3229"/>
      <c r="AA37" s="3229"/>
    </row>
    <row r="38" spans="1:27">
      <c r="A38" s="3224" t="s">
        <v>3550</v>
      </c>
      <c r="B38" s="3226"/>
      <c r="C38" s="3226"/>
      <c r="D38" s="3217"/>
      <c r="E38" s="3217"/>
      <c r="F38" s="3218">
        <f>G38+H38</f>
        <v>9</v>
      </c>
      <c r="G38" s="3223">
        <v>9</v>
      </c>
      <c r="H38" s="3219">
        <v>0</v>
      </c>
      <c r="I38" s="3219"/>
      <c r="J38" s="3219"/>
      <c r="K38" s="3219"/>
      <c r="L38" s="3219"/>
      <c r="M38" s="3219"/>
      <c r="N38" s="3219"/>
      <c r="O38" s="3219"/>
      <c r="P38" s="3219"/>
      <c r="Q38" s="3219"/>
      <c r="R38" s="3219"/>
      <c r="S38" s="3219"/>
      <c r="T38" s="3219"/>
      <c r="U38" s="3219"/>
      <c r="V38" s="3219"/>
      <c r="W38" s="3219"/>
      <c r="X38" s="3219"/>
      <c r="Y38" s="3219"/>
      <c r="Z38" s="3219"/>
    </row>
    <row r="39" spans="1:27">
      <c r="A39" s="3224" t="s">
        <v>3551</v>
      </c>
      <c r="B39" s="3226"/>
      <c r="C39" s="3226"/>
      <c r="D39" s="3217"/>
      <c r="E39" s="3217"/>
      <c r="F39" s="3218"/>
      <c r="G39" s="3219"/>
      <c r="H39" s="3219"/>
      <c r="I39" s="3219"/>
      <c r="J39" s="3219"/>
      <c r="K39" s="3219"/>
      <c r="L39" s="3219"/>
      <c r="M39" s="3219"/>
      <c r="N39" s="3219"/>
      <c r="O39" s="3219"/>
      <c r="P39" s="3219"/>
      <c r="Q39" s="3219"/>
      <c r="R39" s="3219"/>
      <c r="S39" s="3219"/>
      <c r="T39" s="3219"/>
      <c r="U39" s="3219"/>
      <c r="V39" s="3219"/>
      <c r="W39" s="3219"/>
      <c r="X39" s="3219"/>
      <c r="Y39" s="3219"/>
      <c r="Z39" s="3219"/>
    </row>
    <row r="40" spans="1:27">
      <c r="A40" s="3224" t="s">
        <v>3552</v>
      </c>
      <c r="B40" s="3226"/>
      <c r="C40" s="3226"/>
      <c r="D40" s="3217"/>
      <c r="E40" s="3217"/>
      <c r="F40" s="3218"/>
      <c r="G40" s="3219"/>
      <c r="H40" s="3219"/>
      <c r="I40" s="3219"/>
      <c r="J40" s="3219"/>
      <c r="K40" s="3219"/>
      <c r="L40" s="3219"/>
      <c r="M40" s="3219"/>
      <c r="N40" s="3219"/>
      <c r="O40" s="3219"/>
      <c r="P40" s="3219"/>
      <c r="Q40" s="3219"/>
      <c r="R40" s="3219"/>
      <c r="S40" s="3219"/>
      <c r="T40" s="3219"/>
      <c r="U40" s="3219"/>
      <c r="V40" s="3219"/>
      <c r="W40" s="3219"/>
      <c r="X40" s="3219"/>
      <c r="Y40" s="3219"/>
      <c r="Z40" s="3219"/>
    </row>
    <row r="41" spans="1:27" ht="27">
      <c r="A41" s="3224" t="s">
        <v>3553</v>
      </c>
      <c r="B41" s="3226"/>
      <c r="C41" s="3226"/>
      <c r="D41" s="3217"/>
      <c r="E41" s="3217"/>
      <c r="F41" s="3218"/>
      <c r="G41" s="3219"/>
      <c r="H41" s="3219"/>
      <c r="I41" s="3219"/>
      <c r="J41" s="3219"/>
      <c r="K41" s="3219"/>
      <c r="L41" s="3219"/>
      <c r="M41" s="3219"/>
      <c r="N41" s="3219"/>
      <c r="O41" s="3219"/>
      <c r="P41" s="3219"/>
      <c r="Q41" s="3219"/>
      <c r="R41" s="3219"/>
      <c r="S41" s="3219"/>
      <c r="T41" s="3219"/>
      <c r="U41" s="3219"/>
      <c r="V41" s="3219"/>
      <c r="W41" s="3219"/>
      <c r="X41" s="3219"/>
      <c r="Y41" s="3219"/>
      <c r="Z41" s="3219"/>
    </row>
    <row r="42" spans="1:27">
      <c r="A42" s="3224"/>
      <c r="B42" s="3219"/>
      <c r="C42" s="3219"/>
      <c r="D42" s="3219"/>
      <c r="E42" s="3219"/>
      <c r="F42" s="3219"/>
      <c r="G42" s="3219"/>
      <c r="H42" s="3219"/>
      <c r="I42" s="3219"/>
      <c r="J42" s="3219"/>
      <c r="K42" s="3219"/>
      <c r="L42" s="3219"/>
      <c r="M42" s="3219"/>
      <c r="N42" s="3219"/>
      <c r="O42" s="3219"/>
      <c r="P42" s="3219"/>
      <c r="Q42" s="3219"/>
      <c r="R42" s="3219"/>
      <c r="S42" s="3219"/>
      <c r="T42" s="3219"/>
      <c r="U42" s="3219"/>
      <c r="V42" s="3219"/>
      <c r="W42" s="3219"/>
      <c r="X42" s="3219"/>
      <c r="Y42" s="3219"/>
      <c r="Z42" s="3219"/>
    </row>
    <row r="43" spans="1:27">
      <c r="A43" s="3230" t="s">
        <v>24</v>
      </c>
      <c r="B43" s="3230"/>
      <c r="C43" s="3230"/>
      <c r="D43" s="3230"/>
      <c r="E43" s="3230"/>
      <c r="F43" s="3230">
        <f t="shared" ref="F43:Z43" si="2">SUM(F3:F42)</f>
        <v>25977.940000000006</v>
      </c>
      <c r="G43" s="3230">
        <f t="shared" si="2"/>
        <v>25344.889999999992</v>
      </c>
      <c r="H43" s="3230">
        <f t="shared" si="2"/>
        <v>633.04999999999995</v>
      </c>
      <c r="I43" s="3230">
        <f t="shared" si="2"/>
        <v>0</v>
      </c>
      <c r="J43" s="3230">
        <f t="shared" si="2"/>
        <v>0</v>
      </c>
      <c r="K43" s="3230">
        <f t="shared" si="2"/>
        <v>25335.889999999992</v>
      </c>
      <c r="L43" s="3230">
        <f t="shared" si="2"/>
        <v>0</v>
      </c>
      <c r="M43" s="3230">
        <f t="shared" si="2"/>
        <v>0</v>
      </c>
      <c r="N43" s="3230">
        <f t="shared" si="2"/>
        <v>0</v>
      </c>
      <c r="O43" s="3230">
        <f t="shared" si="2"/>
        <v>0</v>
      </c>
      <c r="P43" s="3230">
        <f t="shared" si="2"/>
        <v>0</v>
      </c>
      <c r="Q43" s="3230">
        <f t="shared" si="2"/>
        <v>0</v>
      </c>
      <c r="R43" s="3230">
        <f t="shared" si="2"/>
        <v>0</v>
      </c>
      <c r="S43" s="3230">
        <f t="shared" si="2"/>
        <v>0</v>
      </c>
      <c r="T43" s="3230">
        <f t="shared" si="2"/>
        <v>0</v>
      </c>
      <c r="U43" s="3230">
        <f t="shared" si="2"/>
        <v>0</v>
      </c>
      <c r="V43" s="3230">
        <f t="shared" si="2"/>
        <v>0</v>
      </c>
      <c r="W43" s="3230">
        <f t="shared" si="2"/>
        <v>0</v>
      </c>
      <c r="X43" s="3230">
        <f t="shared" si="2"/>
        <v>0</v>
      </c>
      <c r="Y43" s="3230">
        <f t="shared" si="2"/>
        <v>0</v>
      </c>
      <c r="Z43" s="3230">
        <f t="shared" si="2"/>
        <v>0</v>
      </c>
    </row>
    <row r="44" spans="1:27" ht="21" hidden="1" customHeight="1"/>
    <row r="45" spans="1:27" hidden="1">
      <c r="F45" s="3210" t="e">
        <f>G47+#REF!</f>
        <v>#REF!</v>
      </c>
      <c r="G45" s="3210">
        <f>G43+275</f>
        <v>25619.889999999992</v>
      </c>
    </row>
    <row r="46" spans="1:27" hidden="1">
      <c r="G46" s="3210">
        <f>G45+I43</f>
        <v>25619.889999999992</v>
      </c>
    </row>
    <row r="47" spans="1:27" hidden="1">
      <c r="G47" s="3210">
        <f>G45+H43</f>
        <v>26252.939999999991</v>
      </c>
    </row>
    <row r="48" spans="1:27" hidden="1">
      <c r="S48" s="3210" t="e">
        <f>#REF!+#REF!+#REF!+#REF!+#REF!+#REF!+#REF!+#REF!+#REF!+#REF!</f>
        <v>#REF!</v>
      </c>
    </row>
    <row r="49" spans="7:25" hidden="1">
      <c r="V49" s="3210" t="e">
        <f>#REF!+#REF!</f>
        <v>#REF!</v>
      </c>
      <c r="W49" s="3210">
        <v>244.02</v>
      </c>
      <c r="X49" s="3210" t="e">
        <f>W49-V49</f>
        <v>#REF!</v>
      </c>
      <c r="Y49" s="3210" t="e">
        <f>#REF!+X49</f>
        <v>#REF!</v>
      </c>
    </row>
    <row r="50" spans="7:25" hidden="1"/>
    <row r="51" spans="7:25">
      <c r="G51" s="3231"/>
    </row>
  </sheetData>
  <mergeCells count="13">
    <mergeCell ref="A36:Z36"/>
    <mergeCell ref="H1:H2"/>
    <mergeCell ref="I1:I2"/>
    <mergeCell ref="J1:J2"/>
    <mergeCell ref="K1:K2"/>
    <mergeCell ref="M1:M2"/>
    <mergeCell ref="N1:Z1"/>
    <mergeCell ref="A1:A2"/>
    <mergeCell ref="B1:B2"/>
    <mergeCell ref="C1:D1"/>
    <mergeCell ref="E1:E2"/>
    <mergeCell ref="F1:F2"/>
    <mergeCell ref="G1:G2"/>
  </mergeCells>
  <phoneticPr fontId="2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I103"/>
  <sheetViews>
    <sheetView workbookViewId="0">
      <selection activeCell="H43" sqref="H43"/>
    </sheetView>
  </sheetViews>
  <sheetFormatPr defaultRowHeight="13.5"/>
  <cols>
    <col min="1" max="1" width="14.125" style="3461" customWidth="1"/>
    <col min="2" max="6" width="9" style="3461"/>
    <col min="7" max="7" width="9" style="3461" customWidth="1"/>
    <col min="8" max="8" width="22.625" style="3461" customWidth="1"/>
    <col min="9" max="9" width="13.75" style="3461" customWidth="1"/>
    <col min="10" max="256" width="9" style="3461"/>
    <col min="257" max="257" width="14.125" style="3461" customWidth="1"/>
    <col min="258" max="262" width="9" style="3461"/>
    <col min="263" max="263" width="9" style="3461" customWidth="1"/>
    <col min="264" max="264" width="22.625" style="3461" customWidth="1"/>
    <col min="265" max="265" width="13.75" style="3461" customWidth="1"/>
    <col min="266" max="512" width="9" style="3461"/>
    <col min="513" max="513" width="14.125" style="3461" customWidth="1"/>
    <col min="514" max="518" width="9" style="3461"/>
    <col min="519" max="519" width="9" style="3461" customWidth="1"/>
    <col min="520" max="520" width="22.625" style="3461" customWidth="1"/>
    <col min="521" max="521" width="13.75" style="3461" customWidth="1"/>
    <col min="522" max="768" width="9" style="3461"/>
    <col min="769" max="769" width="14.125" style="3461" customWidth="1"/>
    <col min="770" max="774" width="9" style="3461"/>
    <col min="775" max="775" width="9" style="3461" customWidth="1"/>
    <col min="776" max="776" width="22.625" style="3461" customWidth="1"/>
    <col min="777" max="777" width="13.75" style="3461" customWidth="1"/>
    <col min="778" max="1024" width="9" style="3461"/>
    <col min="1025" max="1025" width="14.125" style="3461" customWidth="1"/>
    <col min="1026" max="1030" width="9" style="3461"/>
    <col min="1031" max="1031" width="9" style="3461" customWidth="1"/>
    <col min="1032" max="1032" width="22.625" style="3461" customWidth="1"/>
    <col min="1033" max="1033" width="13.75" style="3461" customWidth="1"/>
    <col min="1034" max="1280" width="9" style="3461"/>
    <col min="1281" max="1281" width="14.125" style="3461" customWidth="1"/>
    <col min="1282" max="1286" width="9" style="3461"/>
    <col min="1287" max="1287" width="9" style="3461" customWidth="1"/>
    <col min="1288" max="1288" width="22.625" style="3461" customWidth="1"/>
    <col min="1289" max="1289" width="13.75" style="3461" customWidth="1"/>
    <col min="1290" max="1536" width="9" style="3461"/>
    <col min="1537" max="1537" width="14.125" style="3461" customWidth="1"/>
    <col min="1538" max="1542" width="9" style="3461"/>
    <col min="1543" max="1543" width="9" style="3461" customWidth="1"/>
    <col min="1544" max="1544" width="22.625" style="3461" customWidth="1"/>
    <col min="1545" max="1545" width="13.75" style="3461" customWidth="1"/>
    <col min="1546" max="1792" width="9" style="3461"/>
    <col min="1793" max="1793" width="14.125" style="3461" customWidth="1"/>
    <col min="1794" max="1798" width="9" style="3461"/>
    <col min="1799" max="1799" width="9" style="3461" customWidth="1"/>
    <col min="1800" max="1800" width="22.625" style="3461" customWidth="1"/>
    <col min="1801" max="1801" width="13.75" style="3461" customWidth="1"/>
    <col min="1802" max="2048" width="9" style="3461"/>
    <col min="2049" max="2049" width="14.125" style="3461" customWidth="1"/>
    <col min="2050" max="2054" width="9" style="3461"/>
    <col min="2055" max="2055" width="9" style="3461" customWidth="1"/>
    <col min="2056" max="2056" width="22.625" style="3461" customWidth="1"/>
    <col min="2057" max="2057" width="13.75" style="3461" customWidth="1"/>
    <col min="2058" max="2304" width="9" style="3461"/>
    <col min="2305" max="2305" width="14.125" style="3461" customWidth="1"/>
    <col min="2306" max="2310" width="9" style="3461"/>
    <col min="2311" max="2311" width="9" style="3461" customWidth="1"/>
    <col min="2312" max="2312" width="22.625" style="3461" customWidth="1"/>
    <col min="2313" max="2313" width="13.75" style="3461" customWidth="1"/>
    <col min="2314" max="2560" width="9" style="3461"/>
    <col min="2561" max="2561" width="14.125" style="3461" customWidth="1"/>
    <col min="2562" max="2566" width="9" style="3461"/>
    <col min="2567" max="2567" width="9" style="3461" customWidth="1"/>
    <col min="2568" max="2568" width="22.625" style="3461" customWidth="1"/>
    <col min="2569" max="2569" width="13.75" style="3461" customWidth="1"/>
    <col min="2570" max="2816" width="9" style="3461"/>
    <col min="2817" max="2817" width="14.125" style="3461" customWidth="1"/>
    <col min="2818" max="2822" width="9" style="3461"/>
    <col min="2823" max="2823" width="9" style="3461" customWidth="1"/>
    <col min="2824" max="2824" width="22.625" style="3461" customWidth="1"/>
    <col min="2825" max="2825" width="13.75" style="3461" customWidth="1"/>
    <col min="2826" max="3072" width="9" style="3461"/>
    <col min="3073" max="3073" width="14.125" style="3461" customWidth="1"/>
    <col min="3074" max="3078" width="9" style="3461"/>
    <col min="3079" max="3079" width="9" style="3461" customWidth="1"/>
    <col min="3080" max="3080" width="22.625" style="3461" customWidth="1"/>
    <col min="3081" max="3081" width="13.75" style="3461" customWidth="1"/>
    <col min="3082" max="3328" width="9" style="3461"/>
    <col min="3329" max="3329" width="14.125" style="3461" customWidth="1"/>
    <col min="3330" max="3334" width="9" style="3461"/>
    <col min="3335" max="3335" width="9" style="3461" customWidth="1"/>
    <col min="3336" max="3336" width="22.625" style="3461" customWidth="1"/>
    <col min="3337" max="3337" width="13.75" style="3461" customWidth="1"/>
    <col min="3338" max="3584" width="9" style="3461"/>
    <col min="3585" max="3585" width="14.125" style="3461" customWidth="1"/>
    <col min="3586" max="3590" width="9" style="3461"/>
    <col min="3591" max="3591" width="9" style="3461" customWidth="1"/>
    <col min="3592" max="3592" width="22.625" style="3461" customWidth="1"/>
    <col min="3593" max="3593" width="13.75" style="3461" customWidth="1"/>
    <col min="3594" max="3840" width="9" style="3461"/>
    <col min="3841" max="3841" width="14.125" style="3461" customWidth="1"/>
    <col min="3842" max="3846" width="9" style="3461"/>
    <col min="3847" max="3847" width="9" style="3461" customWidth="1"/>
    <col min="3848" max="3848" width="22.625" style="3461" customWidth="1"/>
    <col min="3849" max="3849" width="13.75" style="3461" customWidth="1"/>
    <col min="3850" max="4096" width="9" style="3461"/>
    <col min="4097" max="4097" width="14.125" style="3461" customWidth="1"/>
    <col min="4098" max="4102" width="9" style="3461"/>
    <col min="4103" max="4103" width="9" style="3461" customWidth="1"/>
    <col min="4104" max="4104" width="22.625" style="3461" customWidth="1"/>
    <col min="4105" max="4105" width="13.75" style="3461" customWidth="1"/>
    <col min="4106" max="4352" width="9" style="3461"/>
    <col min="4353" max="4353" width="14.125" style="3461" customWidth="1"/>
    <col min="4354" max="4358" width="9" style="3461"/>
    <col min="4359" max="4359" width="9" style="3461" customWidth="1"/>
    <col min="4360" max="4360" width="22.625" style="3461" customWidth="1"/>
    <col min="4361" max="4361" width="13.75" style="3461" customWidth="1"/>
    <col min="4362" max="4608" width="9" style="3461"/>
    <col min="4609" max="4609" width="14.125" style="3461" customWidth="1"/>
    <col min="4610" max="4614" width="9" style="3461"/>
    <col min="4615" max="4615" width="9" style="3461" customWidth="1"/>
    <col min="4616" max="4616" width="22.625" style="3461" customWidth="1"/>
    <col min="4617" max="4617" width="13.75" style="3461" customWidth="1"/>
    <col min="4618" max="4864" width="9" style="3461"/>
    <col min="4865" max="4865" width="14.125" style="3461" customWidth="1"/>
    <col min="4866" max="4870" width="9" style="3461"/>
    <col min="4871" max="4871" width="9" style="3461" customWidth="1"/>
    <col min="4872" max="4872" width="22.625" style="3461" customWidth="1"/>
    <col min="4873" max="4873" width="13.75" style="3461" customWidth="1"/>
    <col min="4874" max="5120" width="9" style="3461"/>
    <col min="5121" max="5121" width="14.125" style="3461" customWidth="1"/>
    <col min="5122" max="5126" width="9" style="3461"/>
    <col min="5127" max="5127" width="9" style="3461" customWidth="1"/>
    <col min="5128" max="5128" width="22.625" style="3461" customWidth="1"/>
    <col min="5129" max="5129" width="13.75" style="3461" customWidth="1"/>
    <col min="5130" max="5376" width="9" style="3461"/>
    <col min="5377" max="5377" width="14.125" style="3461" customWidth="1"/>
    <col min="5378" max="5382" width="9" style="3461"/>
    <col min="5383" max="5383" width="9" style="3461" customWidth="1"/>
    <col min="5384" max="5384" width="22.625" style="3461" customWidth="1"/>
    <col min="5385" max="5385" width="13.75" style="3461" customWidth="1"/>
    <col min="5386" max="5632" width="9" style="3461"/>
    <col min="5633" max="5633" width="14.125" style="3461" customWidth="1"/>
    <col min="5634" max="5638" width="9" style="3461"/>
    <col min="5639" max="5639" width="9" style="3461" customWidth="1"/>
    <col min="5640" max="5640" width="22.625" style="3461" customWidth="1"/>
    <col min="5641" max="5641" width="13.75" style="3461" customWidth="1"/>
    <col min="5642" max="5888" width="9" style="3461"/>
    <col min="5889" max="5889" width="14.125" style="3461" customWidth="1"/>
    <col min="5890" max="5894" width="9" style="3461"/>
    <col min="5895" max="5895" width="9" style="3461" customWidth="1"/>
    <col min="5896" max="5896" width="22.625" style="3461" customWidth="1"/>
    <col min="5897" max="5897" width="13.75" style="3461" customWidth="1"/>
    <col min="5898" max="6144" width="9" style="3461"/>
    <col min="6145" max="6145" width="14.125" style="3461" customWidth="1"/>
    <col min="6146" max="6150" width="9" style="3461"/>
    <col min="6151" max="6151" width="9" style="3461" customWidth="1"/>
    <col min="6152" max="6152" width="22.625" style="3461" customWidth="1"/>
    <col min="6153" max="6153" width="13.75" style="3461" customWidth="1"/>
    <col min="6154" max="6400" width="9" style="3461"/>
    <col min="6401" max="6401" width="14.125" style="3461" customWidth="1"/>
    <col min="6402" max="6406" width="9" style="3461"/>
    <col min="6407" max="6407" width="9" style="3461" customWidth="1"/>
    <col min="6408" max="6408" width="22.625" style="3461" customWidth="1"/>
    <col min="6409" max="6409" width="13.75" style="3461" customWidth="1"/>
    <col min="6410" max="6656" width="9" style="3461"/>
    <col min="6657" max="6657" width="14.125" style="3461" customWidth="1"/>
    <col min="6658" max="6662" width="9" style="3461"/>
    <col min="6663" max="6663" width="9" style="3461" customWidth="1"/>
    <col min="6664" max="6664" width="22.625" style="3461" customWidth="1"/>
    <col min="6665" max="6665" width="13.75" style="3461" customWidth="1"/>
    <col min="6666" max="6912" width="9" style="3461"/>
    <col min="6913" max="6913" width="14.125" style="3461" customWidth="1"/>
    <col min="6914" max="6918" width="9" style="3461"/>
    <col min="6919" max="6919" width="9" style="3461" customWidth="1"/>
    <col min="6920" max="6920" width="22.625" style="3461" customWidth="1"/>
    <col min="6921" max="6921" width="13.75" style="3461" customWidth="1"/>
    <col min="6922" max="7168" width="9" style="3461"/>
    <col min="7169" max="7169" width="14.125" style="3461" customWidth="1"/>
    <col min="7170" max="7174" width="9" style="3461"/>
    <col min="7175" max="7175" width="9" style="3461" customWidth="1"/>
    <col min="7176" max="7176" width="22.625" style="3461" customWidth="1"/>
    <col min="7177" max="7177" width="13.75" style="3461" customWidth="1"/>
    <col min="7178" max="7424" width="9" style="3461"/>
    <col min="7425" max="7425" width="14.125" style="3461" customWidth="1"/>
    <col min="7426" max="7430" width="9" style="3461"/>
    <col min="7431" max="7431" width="9" style="3461" customWidth="1"/>
    <col min="7432" max="7432" width="22.625" style="3461" customWidth="1"/>
    <col min="7433" max="7433" width="13.75" style="3461" customWidth="1"/>
    <col min="7434" max="7680" width="9" style="3461"/>
    <col min="7681" max="7681" width="14.125" style="3461" customWidth="1"/>
    <col min="7682" max="7686" width="9" style="3461"/>
    <col min="7687" max="7687" width="9" style="3461" customWidth="1"/>
    <col min="7688" max="7688" width="22.625" style="3461" customWidth="1"/>
    <col min="7689" max="7689" width="13.75" style="3461" customWidth="1"/>
    <col min="7690" max="7936" width="9" style="3461"/>
    <col min="7937" max="7937" width="14.125" style="3461" customWidth="1"/>
    <col min="7938" max="7942" width="9" style="3461"/>
    <col min="7943" max="7943" width="9" style="3461" customWidth="1"/>
    <col min="7944" max="7944" width="22.625" style="3461" customWidth="1"/>
    <col min="7945" max="7945" width="13.75" style="3461" customWidth="1"/>
    <col min="7946" max="8192" width="9" style="3461"/>
    <col min="8193" max="8193" width="14.125" style="3461" customWidth="1"/>
    <col min="8194" max="8198" width="9" style="3461"/>
    <col min="8199" max="8199" width="9" style="3461" customWidth="1"/>
    <col min="8200" max="8200" width="22.625" style="3461" customWidth="1"/>
    <col min="8201" max="8201" width="13.75" style="3461" customWidth="1"/>
    <col min="8202" max="8448" width="9" style="3461"/>
    <col min="8449" max="8449" width="14.125" style="3461" customWidth="1"/>
    <col min="8450" max="8454" width="9" style="3461"/>
    <col min="8455" max="8455" width="9" style="3461" customWidth="1"/>
    <col min="8456" max="8456" width="22.625" style="3461" customWidth="1"/>
    <col min="8457" max="8457" width="13.75" style="3461" customWidth="1"/>
    <col min="8458" max="8704" width="9" style="3461"/>
    <col min="8705" max="8705" width="14.125" style="3461" customWidth="1"/>
    <col min="8706" max="8710" width="9" style="3461"/>
    <col min="8711" max="8711" width="9" style="3461" customWidth="1"/>
    <col min="8712" max="8712" width="22.625" style="3461" customWidth="1"/>
    <col min="8713" max="8713" width="13.75" style="3461" customWidth="1"/>
    <col min="8714" max="8960" width="9" style="3461"/>
    <col min="8961" max="8961" width="14.125" style="3461" customWidth="1"/>
    <col min="8962" max="8966" width="9" style="3461"/>
    <col min="8967" max="8967" width="9" style="3461" customWidth="1"/>
    <col min="8968" max="8968" width="22.625" style="3461" customWidth="1"/>
    <col min="8969" max="8969" width="13.75" style="3461" customWidth="1"/>
    <col min="8970" max="9216" width="9" style="3461"/>
    <col min="9217" max="9217" width="14.125" style="3461" customWidth="1"/>
    <col min="9218" max="9222" width="9" style="3461"/>
    <col min="9223" max="9223" width="9" style="3461" customWidth="1"/>
    <col min="9224" max="9224" width="22.625" style="3461" customWidth="1"/>
    <col min="9225" max="9225" width="13.75" style="3461" customWidth="1"/>
    <col min="9226" max="9472" width="9" style="3461"/>
    <col min="9473" max="9473" width="14.125" style="3461" customWidth="1"/>
    <col min="9474" max="9478" width="9" style="3461"/>
    <col min="9479" max="9479" width="9" style="3461" customWidth="1"/>
    <col min="9480" max="9480" width="22.625" style="3461" customWidth="1"/>
    <col min="9481" max="9481" width="13.75" style="3461" customWidth="1"/>
    <col min="9482" max="9728" width="9" style="3461"/>
    <col min="9729" max="9729" width="14.125" style="3461" customWidth="1"/>
    <col min="9730" max="9734" width="9" style="3461"/>
    <col min="9735" max="9735" width="9" style="3461" customWidth="1"/>
    <col min="9736" max="9736" width="22.625" style="3461" customWidth="1"/>
    <col min="9737" max="9737" width="13.75" style="3461" customWidth="1"/>
    <col min="9738" max="9984" width="9" style="3461"/>
    <col min="9985" max="9985" width="14.125" style="3461" customWidth="1"/>
    <col min="9986" max="9990" width="9" style="3461"/>
    <col min="9991" max="9991" width="9" style="3461" customWidth="1"/>
    <col min="9992" max="9992" width="22.625" style="3461" customWidth="1"/>
    <col min="9993" max="9993" width="13.75" style="3461" customWidth="1"/>
    <col min="9994" max="10240" width="9" style="3461"/>
    <col min="10241" max="10241" width="14.125" style="3461" customWidth="1"/>
    <col min="10242" max="10246" width="9" style="3461"/>
    <col min="10247" max="10247" width="9" style="3461" customWidth="1"/>
    <col min="10248" max="10248" width="22.625" style="3461" customWidth="1"/>
    <col min="10249" max="10249" width="13.75" style="3461" customWidth="1"/>
    <col min="10250" max="10496" width="9" style="3461"/>
    <col min="10497" max="10497" width="14.125" style="3461" customWidth="1"/>
    <col min="10498" max="10502" width="9" style="3461"/>
    <col min="10503" max="10503" width="9" style="3461" customWidth="1"/>
    <col min="10504" max="10504" width="22.625" style="3461" customWidth="1"/>
    <col min="10505" max="10505" width="13.75" style="3461" customWidth="1"/>
    <col min="10506" max="10752" width="9" style="3461"/>
    <col min="10753" max="10753" width="14.125" style="3461" customWidth="1"/>
    <col min="10754" max="10758" width="9" style="3461"/>
    <col min="10759" max="10759" width="9" style="3461" customWidth="1"/>
    <col min="10760" max="10760" width="22.625" style="3461" customWidth="1"/>
    <col min="10761" max="10761" width="13.75" style="3461" customWidth="1"/>
    <col min="10762" max="11008" width="9" style="3461"/>
    <col min="11009" max="11009" width="14.125" style="3461" customWidth="1"/>
    <col min="11010" max="11014" width="9" style="3461"/>
    <col min="11015" max="11015" width="9" style="3461" customWidth="1"/>
    <col min="11016" max="11016" width="22.625" style="3461" customWidth="1"/>
    <col min="11017" max="11017" width="13.75" style="3461" customWidth="1"/>
    <col min="11018" max="11264" width="9" style="3461"/>
    <col min="11265" max="11265" width="14.125" style="3461" customWidth="1"/>
    <col min="11266" max="11270" width="9" style="3461"/>
    <col min="11271" max="11271" width="9" style="3461" customWidth="1"/>
    <col min="11272" max="11272" width="22.625" style="3461" customWidth="1"/>
    <col min="11273" max="11273" width="13.75" style="3461" customWidth="1"/>
    <col min="11274" max="11520" width="9" style="3461"/>
    <col min="11521" max="11521" width="14.125" style="3461" customWidth="1"/>
    <col min="11522" max="11526" width="9" style="3461"/>
    <col min="11527" max="11527" width="9" style="3461" customWidth="1"/>
    <col min="11528" max="11528" width="22.625" style="3461" customWidth="1"/>
    <col min="11529" max="11529" width="13.75" style="3461" customWidth="1"/>
    <col min="11530" max="11776" width="9" style="3461"/>
    <col min="11777" max="11777" width="14.125" style="3461" customWidth="1"/>
    <col min="11778" max="11782" width="9" style="3461"/>
    <col min="11783" max="11783" width="9" style="3461" customWidth="1"/>
    <col min="11784" max="11784" width="22.625" style="3461" customWidth="1"/>
    <col min="11785" max="11785" width="13.75" style="3461" customWidth="1"/>
    <col min="11786" max="12032" width="9" style="3461"/>
    <col min="12033" max="12033" width="14.125" style="3461" customWidth="1"/>
    <col min="12034" max="12038" width="9" style="3461"/>
    <col min="12039" max="12039" width="9" style="3461" customWidth="1"/>
    <col min="12040" max="12040" width="22.625" style="3461" customWidth="1"/>
    <col min="12041" max="12041" width="13.75" style="3461" customWidth="1"/>
    <col min="12042" max="12288" width="9" style="3461"/>
    <col min="12289" max="12289" width="14.125" style="3461" customWidth="1"/>
    <col min="12290" max="12294" width="9" style="3461"/>
    <col min="12295" max="12295" width="9" style="3461" customWidth="1"/>
    <col min="12296" max="12296" width="22.625" style="3461" customWidth="1"/>
    <col min="12297" max="12297" width="13.75" style="3461" customWidth="1"/>
    <col min="12298" max="12544" width="9" style="3461"/>
    <col min="12545" max="12545" width="14.125" style="3461" customWidth="1"/>
    <col min="12546" max="12550" width="9" style="3461"/>
    <col min="12551" max="12551" width="9" style="3461" customWidth="1"/>
    <col min="12552" max="12552" width="22.625" style="3461" customWidth="1"/>
    <col min="12553" max="12553" width="13.75" style="3461" customWidth="1"/>
    <col min="12554" max="12800" width="9" style="3461"/>
    <col min="12801" max="12801" width="14.125" style="3461" customWidth="1"/>
    <col min="12802" max="12806" width="9" style="3461"/>
    <col min="12807" max="12807" width="9" style="3461" customWidth="1"/>
    <col min="12808" max="12808" width="22.625" style="3461" customWidth="1"/>
    <col min="12809" max="12809" width="13.75" style="3461" customWidth="1"/>
    <col min="12810" max="13056" width="9" style="3461"/>
    <col min="13057" max="13057" width="14.125" style="3461" customWidth="1"/>
    <col min="13058" max="13062" width="9" style="3461"/>
    <col min="13063" max="13063" width="9" style="3461" customWidth="1"/>
    <col min="13064" max="13064" width="22.625" style="3461" customWidth="1"/>
    <col min="13065" max="13065" width="13.75" style="3461" customWidth="1"/>
    <col min="13066" max="13312" width="9" style="3461"/>
    <col min="13313" max="13313" width="14.125" style="3461" customWidth="1"/>
    <col min="13314" max="13318" width="9" style="3461"/>
    <col min="13319" max="13319" width="9" style="3461" customWidth="1"/>
    <col min="13320" max="13320" width="22.625" style="3461" customWidth="1"/>
    <col min="13321" max="13321" width="13.75" style="3461" customWidth="1"/>
    <col min="13322" max="13568" width="9" style="3461"/>
    <col min="13569" max="13569" width="14.125" style="3461" customWidth="1"/>
    <col min="13570" max="13574" width="9" style="3461"/>
    <col min="13575" max="13575" width="9" style="3461" customWidth="1"/>
    <col min="13576" max="13576" width="22.625" style="3461" customWidth="1"/>
    <col min="13577" max="13577" width="13.75" style="3461" customWidth="1"/>
    <col min="13578" max="13824" width="9" style="3461"/>
    <col min="13825" max="13825" width="14.125" style="3461" customWidth="1"/>
    <col min="13826" max="13830" width="9" style="3461"/>
    <col min="13831" max="13831" width="9" style="3461" customWidth="1"/>
    <col min="13832" max="13832" width="22.625" style="3461" customWidth="1"/>
    <col min="13833" max="13833" width="13.75" style="3461" customWidth="1"/>
    <col min="13834" max="14080" width="9" style="3461"/>
    <col min="14081" max="14081" width="14.125" style="3461" customWidth="1"/>
    <col min="14082" max="14086" width="9" style="3461"/>
    <col min="14087" max="14087" width="9" style="3461" customWidth="1"/>
    <col min="14088" max="14088" width="22.625" style="3461" customWidth="1"/>
    <col min="14089" max="14089" width="13.75" style="3461" customWidth="1"/>
    <col min="14090" max="14336" width="9" style="3461"/>
    <col min="14337" max="14337" width="14.125" style="3461" customWidth="1"/>
    <col min="14338" max="14342" width="9" style="3461"/>
    <col min="14343" max="14343" width="9" style="3461" customWidth="1"/>
    <col min="14344" max="14344" width="22.625" style="3461" customWidth="1"/>
    <col min="14345" max="14345" width="13.75" style="3461" customWidth="1"/>
    <col min="14346" max="14592" width="9" style="3461"/>
    <col min="14593" max="14593" width="14.125" style="3461" customWidth="1"/>
    <col min="14594" max="14598" width="9" style="3461"/>
    <col min="14599" max="14599" width="9" style="3461" customWidth="1"/>
    <col min="14600" max="14600" width="22.625" style="3461" customWidth="1"/>
    <col min="14601" max="14601" width="13.75" style="3461" customWidth="1"/>
    <col min="14602" max="14848" width="9" style="3461"/>
    <col min="14849" max="14849" width="14.125" style="3461" customWidth="1"/>
    <col min="14850" max="14854" width="9" style="3461"/>
    <col min="14855" max="14855" width="9" style="3461" customWidth="1"/>
    <col min="14856" max="14856" width="22.625" style="3461" customWidth="1"/>
    <col min="14857" max="14857" width="13.75" style="3461" customWidth="1"/>
    <col min="14858" max="15104" width="9" style="3461"/>
    <col min="15105" max="15105" width="14.125" style="3461" customWidth="1"/>
    <col min="15106" max="15110" width="9" style="3461"/>
    <col min="15111" max="15111" width="9" style="3461" customWidth="1"/>
    <col min="15112" max="15112" width="22.625" style="3461" customWidth="1"/>
    <col min="15113" max="15113" width="13.75" style="3461" customWidth="1"/>
    <col min="15114" max="15360" width="9" style="3461"/>
    <col min="15361" max="15361" width="14.125" style="3461" customWidth="1"/>
    <col min="15362" max="15366" width="9" style="3461"/>
    <col min="15367" max="15367" width="9" style="3461" customWidth="1"/>
    <col min="15368" max="15368" width="22.625" style="3461" customWidth="1"/>
    <col min="15369" max="15369" width="13.75" style="3461" customWidth="1"/>
    <col min="15370" max="15616" width="9" style="3461"/>
    <col min="15617" max="15617" width="14.125" style="3461" customWidth="1"/>
    <col min="15618" max="15622" width="9" style="3461"/>
    <col min="15623" max="15623" width="9" style="3461" customWidth="1"/>
    <col min="15624" max="15624" width="22.625" style="3461" customWidth="1"/>
    <col min="15625" max="15625" width="13.75" style="3461" customWidth="1"/>
    <col min="15626" max="15872" width="9" style="3461"/>
    <col min="15873" max="15873" width="14.125" style="3461" customWidth="1"/>
    <col min="15874" max="15878" width="9" style="3461"/>
    <col min="15879" max="15879" width="9" style="3461" customWidth="1"/>
    <col min="15880" max="15880" width="22.625" style="3461" customWidth="1"/>
    <col min="15881" max="15881" width="13.75" style="3461" customWidth="1"/>
    <col min="15882" max="16128" width="9" style="3461"/>
    <col min="16129" max="16129" width="14.125" style="3461" customWidth="1"/>
    <col min="16130" max="16134" width="9" style="3461"/>
    <col min="16135" max="16135" width="9" style="3461" customWidth="1"/>
    <col min="16136" max="16136" width="22.625" style="3461" customWidth="1"/>
    <col min="16137" max="16137" width="13.75" style="3461" customWidth="1"/>
    <col min="16138" max="16384" width="9" style="3461"/>
  </cols>
  <sheetData>
    <row r="1" spans="1:9" ht="14.25" thickBot="1"/>
    <row r="2" spans="1:9" ht="25.5">
      <c r="A2" s="4029" t="s">
        <v>4464</v>
      </c>
      <c r="B2" s="4030"/>
      <c r="C2" s="4030"/>
      <c r="D2" s="4030"/>
      <c r="E2" s="4030"/>
      <c r="F2" s="4030"/>
      <c r="G2" s="4030"/>
      <c r="H2" s="4031"/>
      <c r="I2" s="3462" t="s">
        <v>3489</v>
      </c>
    </row>
    <row r="3" spans="1:9">
      <c r="A3" s="3463" t="s">
        <v>3555</v>
      </c>
      <c r="B3" s="4000" t="s">
        <v>3556</v>
      </c>
      <c r="C3" s="4001"/>
      <c r="D3" s="4001"/>
      <c r="E3" s="4001"/>
      <c r="F3" s="4001"/>
      <c r="G3" s="4002"/>
      <c r="H3" s="3234">
        <v>33205.17</v>
      </c>
      <c r="I3" s="3464"/>
    </row>
    <row r="4" spans="1:9">
      <c r="A4" s="3463" t="s">
        <v>3557</v>
      </c>
      <c r="B4" s="3235" t="s">
        <v>3558</v>
      </c>
      <c r="C4" s="4021"/>
      <c r="D4" s="4022"/>
      <c r="E4" s="4022"/>
      <c r="F4" s="4022"/>
      <c r="G4" s="4023"/>
      <c r="H4" s="3234">
        <f>H5+C45</f>
        <v>25977.94</v>
      </c>
      <c r="I4" s="3465"/>
    </row>
    <row r="5" spans="1:9">
      <c r="A5" s="3463" t="s">
        <v>3559</v>
      </c>
      <c r="B5" s="4000" t="s">
        <v>3560</v>
      </c>
      <c r="C5" s="4001"/>
      <c r="D5" s="4001"/>
      <c r="E5" s="4001"/>
      <c r="F5" s="4001"/>
      <c r="G5" s="4002"/>
      <c r="H5" s="3234">
        <f>H6+H40</f>
        <v>25977.94</v>
      </c>
      <c r="I5" s="3465"/>
    </row>
    <row r="6" spans="1:9">
      <c r="A6" s="3463">
        <v>1</v>
      </c>
      <c r="B6" s="4000" t="s">
        <v>3561</v>
      </c>
      <c r="C6" s="4001"/>
      <c r="D6" s="4001"/>
      <c r="E6" s="4001"/>
      <c r="F6" s="4001"/>
      <c r="G6" s="4002"/>
      <c r="H6" s="3234">
        <f>H12+H15</f>
        <v>25344.89</v>
      </c>
      <c r="I6" s="3466"/>
    </row>
    <row r="7" spans="1:9">
      <c r="A7" s="3467" t="s">
        <v>3562</v>
      </c>
      <c r="B7" s="3235" t="s">
        <v>922</v>
      </c>
      <c r="C7" s="4024"/>
      <c r="D7" s="4025"/>
      <c r="E7" s="4026"/>
      <c r="F7" s="4000" t="s">
        <v>3563</v>
      </c>
      <c r="G7" s="4002"/>
      <c r="H7" s="3237">
        <v>0</v>
      </c>
      <c r="I7" s="3468"/>
    </row>
    <row r="8" spans="1:9" hidden="1">
      <c r="A8" s="4027" t="s">
        <v>3611</v>
      </c>
      <c r="B8" s="4000" t="s">
        <v>4465</v>
      </c>
      <c r="C8" s="4001"/>
      <c r="D8" s="4001"/>
      <c r="E8" s="4001"/>
      <c r="F8" s="4002"/>
      <c r="G8" s="3234">
        <v>0</v>
      </c>
      <c r="H8" s="3237" t="e">
        <f>G8/C7</f>
        <v>#DIV/0!</v>
      </c>
      <c r="I8" s="3468"/>
    </row>
    <row r="9" spans="1:9" hidden="1">
      <c r="A9" s="4028"/>
      <c r="B9" s="4000" t="s">
        <v>4466</v>
      </c>
      <c r="C9" s="4001"/>
      <c r="D9" s="4001"/>
      <c r="E9" s="4001"/>
      <c r="F9" s="4002"/>
      <c r="G9" s="3234">
        <v>0</v>
      </c>
      <c r="H9" s="3237" t="e">
        <f>G9/C7</f>
        <v>#DIV/0!</v>
      </c>
      <c r="I9" s="3468"/>
    </row>
    <row r="10" spans="1:9">
      <c r="A10" s="3467" t="s">
        <v>3564</v>
      </c>
      <c r="B10" s="3235" t="s">
        <v>4467</v>
      </c>
      <c r="C10" s="4024">
        <v>25344.89</v>
      </c>
      <c r="D10" s="4025"/>
      <c r="E10" s="4026"/>
      <c r="F10" s="4000" t="s">
        <v>3563</v>
      </c>
      <c r="G10" s="4002"/>
      <c r="H10" s="3237">
        <v>1</v>
      </c>
      <c r="I10" s="3465"/>
    </row>
    <row r="11" spans="1:9" hidden="1">
      <c r="A11" s="3463" t="s">
        <v>3565</v>
      </c>
      <c r="B11" s="4000" t="s">
        <v>4468</v>
      </c>
      <c r="C11" s="4001"/>
      <c r="D11" s="4001"/>
      <c r="E11" s="4001"/>
      <c r="F11" s="4001"/>
      <c r="G11" s="4002"/>
      <c r="H11" s="3234">
        <v>0</v>
      </c>
      <c r="I11" s="3468"/>
    </row>
    <row r="12" spans="1:9">
      <c r="A12" s="3463" t="s">
        <v>3565</v>
      </c>
      <c r="B12" s="4000" t="s">
        <v>4469</v>
      </c>
      <c r="C12" s="4001"/>
      <c r="D12" s="4001"/>
      <c r="E12" s="4001"/>
      <c r="F12" s="4001"/>
      <c r="G12" s="4002"/>
      <c r="H12" s="3234">
        <v>25335.89</v>
      </c>
      <c r="I12" s="3468"/>
    </row>
    <row r="13" spans="1:9" hidden="1">
      <c r="A13" s="3463" t="s">
        <v>3572</v>
      </c>
      <c r="B13" s="4000" t="s">
        <v>4470</v>
      </c>
      <c r="C13" s="4001"/>
      <c r="D13" s="4001"/>
      <c r="E13" s="4001"/>
      <c r="F13" s="4001"/>
      <c r="G13" s="4002"/>
      <c r="H13" s="3234">
        <v>0</v>
      </c>
      <c r="I13" s="3468"/>
    </row>
    <row r="14" spans="1:9" ht="67.5">
      <c r="A14" s="3469" t="s">
        <v>2379</v>
      </c>
      <c r="B14" s="4032" t="s">
        <v>3574</v>
      </c>
      <c r="C14" s="4033"/>
      <c r="D14" s="4033"/>
      <c r="E14" s="4033"/>
      <c r="F14" s="4033"/>
      <c r="G14" s="4034"/>
      <c r="H14" s="3470">
        <v>0</v>
      </c>
      <c r="I14" s="3471" t="s">
        <v>4471</v>
      </c>
    </row>
    <row r="15" spans="1:9">
      <c r="A15" s="3469" t="s">
        <v>2381</v>
      </c>
      <c r="B15" s="4032" t="s">
        <v>3550</v>
      </c>
      <c r="C15" s="4033"/>
      <c r="D15" s="4033"/>
      <c r="E15" s="4033"/>
      <c r="F15" s="4033"/>
      <c r="G15" s="4034"/>
      <c r="H15" s="3470">
        <v>9</v>
      </c>
      <c r="I15" s="3472"/>
    </row>
    <row r="16" spans="1:9" ht="14.25" hidden="1">
      <c r="A16" s="3463" t="s">
        <v>2391</v>
      </c>
      <c r="B16" s="4000" t="s">
        <v>4472</v>
      </c>
      <c r="C16" s="4001"/>
      <c r="D16" s="4001"/>
      <c r="E16" s="4001"/>
      <c r="F16" s="4001"/>
      <c r="G16" s="4002"/>
      <c r="H16" s="3234">
        <v>0</v>
      </c>
      <c r="I16" s="3473"/>
    </row>
    <row r="17" spans="1:9" hidden="1">
      <c r="A17" s="3463" t="s">
        <v>4473</v>
      </c>
      <c r="B17" s="4000" t="s">
        <v>4474</v>
      </c>
      <c r="C17" s="4001"/>
      <c r="D17" s="4001"/>
      <c r="E17" s="4001"/>
      <c r="F17" s="4001"/>
      <c r="G17" s="4002"/>
      <c r="H17" s="3234">
        <v>0</v>
      </c>
      <c r="I17" s="3468"/>
    </row>
    <row r="18" spans="1:9" hidden="1">
      <c r="A18" s="3463" t="s">
        <v>2379</v>
      </c>
      <c r="B18" s="4000" t="s">
        <v>4475</v>
      </c>
      <c r="C18" s="4001"/>
      <c r="D18" s="4001"/>
      <c r="E18" s="4001"/>
      <c r="F18" s="4001"/>
      <c r="G18" s="4002"/>
      <c r="H18" s="3234">
        <v>0</v>
      </c>
      <c r="I18" s="3468"/>
    </row>
    <row r="19" spans="1:9" hidden="1">
      <c r="A19" s="3463" t="s">
        <v>2381</v>
      </c>
      <c r="B19" s="4000" t="s">
        <v>4476</v>
      </c>
      <c r="C19" s="4001"/>
      <c r="D19" s="4001"/>
      <c r="E19" s="4001"/>
      <c r="F19" s="4001"/>
      <c r="G19" s="4002"/>
      <c r="H19" s="3234">
        <v>0</v>
      </c>
      <c r="I19" s="3468"/>
    </row>
    <row r="20" spans="1:9" hidden="1">
      <c r="A20" s="3463" t="s">
        <v>2391</v>
      </c>
      <c r="B20" s="4000" t="s">
        <v>4477</v>
      </c>
      <c r="C20" s="4001"/>
      <c r="D20" s="4001"/>
      <c r="E20" s="4001"/>
      <c r="F20" s="4001"/>
      <c r="G20" s="4002"/>
      <c r="H20" s="3234">
        <v>0</v>
      </c>
      <c r="I20" s="3468"/>
    </row>
    <row r="21" spans="1:9" hidden="1">
      <c r="A21" s="3463" t="s">
        <v>4478</v>
      </c>
      <c r="B21" s="4000" t="s">
        <v>4479</v>
      </c>
      <c r="C21" s="4001"/>
      <c r="D21" s="4001"/>
      <c r="E21" s="4001"/>
      <c r="F21" s="4001"/>
      <c r="G21" s="4002"/>
      <c r="H21" s="3234">
        <v>0</v>
      </c>
      <c r="I21" s="3468"/>
    </row>
    <row r="22" spans="1:9" hidden="1">
      <c r="A22" s="3463" t="s">
        <v>4480</v>
      </c>
      <c r="B22" s="4000" t="s">
        <v>4481</v>
      </c>
      <c r="C22" s="4001"/>
      <c r="D22" s="4001"/>
      <c r="E22" s="4001"/>
      <c r="F22" s="4001"/>
      <c r="G22" s="4002"/>
      <c r="H22" s="3234">
        <v>0</v>
      </c>
      <c r="I22" s="3468"/>
    </row>
    <row r="23" spans="1:9" hidden="1">
      <c r="A23" s="3463" t="s">
        <v>4482</v>
      </c>
      <c r="B23" s="4000" t="s">
        <v>4483</v>
      </c>
      <c r="C23" s="4001"/>
      <c r="D23" s="4001"/>
      <c r="E23" s="4001"/>
      <c r="F23" s="4001"/>
      <c r="G23" s="4002"/>
      <c r="H23" s="3234">
        <v>0</v>
      </c>
      <c r="I23" s="3468"/>
    </row>
    <row r="24" spans="1:9" hidden="1">
      <c r="A24" s="3463" t="s">
        <v>4484</v>
      </c>
      <c r="B24" s="4000" t="s">
        <v>4485</v>
      </c>
      <c r="C24" s="4001"/>
      <c r="D24" s="4001"/>
      <c r="E24" s="4001"/>
      <c r="F24" s="4001"/>
      <c r="G24" s="4002"/>
      <c r="H24" s="3234">
        <v>0</v>
      </c>
      <c r="I24" s="3468"/>
    </row>
    <row r="25" spans="1:9" hidden="1">
      <c r="A25" s="3463" t="s">
        <v>4486</v>
      </c>
      <c r="B25" s="4000" t="s">
        <v>4487</v>
      </c>
      <c r="C25" s="4001"/>
      <c r="D25" s="4001"/>
      <c r="E25" s="4001"/>
      <c r="F25" s="4001"/>
      <c r="G25" s="4002"/>
      <c r="H25" s="3234">
        <v>0</v>
      </c>
      <c r="I25" s="3468"/>
    </row>
    <row r="26" spans="1:9" hidden="1">
      <c r="A26" s="3463" t="s">
        <v>4488</v>
      </c>
      <c r="B26" s="4000" t="s">
        <v>4489</v>
      </c>
      <c r="C26" s="4001"/>
      <c r="D26" s="4001"/>
      <c r="E26" s="4001"/>
      <c r="F26" s="4001"/>
      <c r="G26" s="4002"/>
      <c r="H26" s="3234">
        <v>0</v>
      </c>
      <c r="I26" s="3468"/>
    </row>
    <row r="27" spans="1:9" hidden="1">
      <c r="A27" s="3463" t="s">
        <v>4490</v>
      </c>
      <c r="B27" s="4000" t="s">
        <v>4491</v>
      </c>
      <c r="C27" s="4001"/>
      <c r="D27" s="4001"/>
      <c r="E27" s="4001"/>
      <c r="F27" s="4001"/>
      <c r="G27" s="4002"/>
      <c r="H27" s="3234">
        <v>0</v>
      </c>
      <c r="I27" s="3468"/>
    </row>
    <row r="28" spans="1:9" hidden="1">
      <c r="A28" s="3463" t="s">
        <v>4492</v>
      </c>
      <c r="B28" s="4000" t="s">
        <v>4493</v>
      </c>
      <c r="C28" s="4001"/>
      <c r="D28" s="4001"/>
      <c r="E28" s="4001"/>
      <c r="F28" s="4001"/>
      <c r="G28" s="4002"/>
      <c r="H28" s="3234">
        <v>0</v>
      </c>
      <c r="I28" s="3468"/>
    </row>
    <row r="29" spans="1:9" hidden="1">
      <c r="A29" s="3463" t="s">
        <v>4494</v>
      </c>
      <c r="B29" s="4000" t="s">
        <v>4495</v>
      </c>
      <c r="C29" s="4001"/>
      <c r="D29" s="4001"/>
      <c r="E29" s="4001"/>
      <c r="F29" s="4001"/>
      <c r="G29" s="4002"/>
      <c r="H29" s="3234">
        <v>0</v>
      </c>
      <c r="I29" s="3468"/>
    </row>
    <row r="30" spans="1:9" hidden="1">
      <c r="A30" s="3463" t="s">
        <v>4496</v>
      </c>
      <c r="B30" s="4000" t="s">
        <v>4497</v>
      </c>
      <c r="C30" s="4001"/>
      <c r="D30" s="4001"/>
      <c r="E30" s="4001"/>
      <c r="F30" s="4001"/>
      <c r="G30" s="4002"/>
      <c r="H30" s="3234">
        <v>0</v>
      </c>
      <c r="I30" s="3468"/>
    </row>
    <row r="31" spans="1:9" hidden="1">
      <c r="A31" s="3463" t="s">
        <v>4498</v>
      </c>
      <c r="B31" s="4000" t="s">
        <v>4499</v>
      </c>
      <c r="C31" s="4001"/>
      <c r="D31" s="4001"/>
      <c r="E31" s="4001"/>
      <c r="F31" s="4001"/>
      <c r="G31" s="4002"/>
      <c r="H31" s="3234">
        <v>0</v>
      </c>
      <c r="I31" s="3468"/>
    </row>
    <row r="32" spans="1:9" hidden="1">
      <c r="A32" s="3463" t="s">
        <v>4500</v>
      </c>
      <c r="B32" s="4000" t="s">
        <v>4501</v>
      </c>
      <c r="C32" s="4001"/>
      <c r="D32" s="4001"/>
      <c r="E32" s="4001"/>
      <c r="F32" s="4001"/>
      <c r="G32" s="4002"/>
      <c r="H32" s="3234">
        <v>0</v>
      </c>
      <c r="I32" s="3468"/>
    </row>
    <row r="33" spans="1:9" hidden="1">
      <c r="A33" s="3463" t="s">
        <v>4502</v>
      </c>
      <c r="B33" s="4000" t="s">
        <v>4503</v>
      </c>
      <c r="C33" s="4001"/>
      <c r="D33" s="4001"/>
      <c r="E33" s="4001"/>
      <c r="F33" s="4001"/>
      <c r="G33" s="4002"/>
      <c r="H33" s="3234">
        <v>0</v>
      </c>
      <c r="I33" s="3468"/>
    </row>
    <row r="34" spans="1:9" hidden="1">
      <c r="A34" s="3463" t="s">
        <v>4504</v>
      </c>
      <c r="B34" s="4000" t="s">
        <v>4505</v>
      </c>
      <c r="C34" s="4001"/>
      <c r="D34" s="4001"/>
      <c r="E34" s="4001"/>
      <c r="F34" s="4001"/>
      <c r="G34" s="4002"/>
      <c r="H34" s="3234">
        <v>0</v>
      </c>
      <c r="I34" s="3468"/>
    </row>
    <row r="35" spans="1:9" hidden="1">
      <c r="A35" s="3463" t="s">
        <v>4506</v>
      </c>
      <c r="B35" s="4000" t="s">
        <v>4507</v>
      </c>
      <c r="C35" s="4001"/>
      <c r="D35" s="4001"/>
      <c r="E35" s="4001"/>
      <c r="F35" s="4001"/>
      <c r="G35" s="4002"/>
      <c r="H35" s="3234">
        <v>0</v>
      </c>
      <c r="I35" s="3468"/>
    </row>
    <row r="36" spans="1:9" hidden="1">
      <c r="A36" s="3463" t="s">
        <v>4508</v>
      </c>
      <c r="B36" s="4000" t="s">
        <v>4509</v>
      </c>
      <c r="C36" s="4001"/>
      <c r="D36" s="4001"/>
      <c r="E36" s="4001"/>
      <c r="F36" s="4001"/>
      <c r="G36" s="4002"/>
      <c r="H36" s="3234">
        <v>0</v>
      </c>
      <c r="I36" s="3468"/>
    </row>
    <row r="37" spans="1:9" hidden="1">
      <c r="A37" s="3463" t="s">
        <v>4510</v>
      </c>
      <c r="B37" s="4000" t="s">
        <v>4511</v>
      </c>
      <c r="C37" s="4001"/>
      <c r="D37" s="4001"/>
      <c r="E37" s="4001"/>
      <c r="F37" s="4001"/>
      <c r="G37" s="4002"/>
      <c r="H37" s="3234">
        <v>0</v>
      </c>
      <c r="I37" s="3468"/>
    </row>
    <row r="38" spans="1:9" hidden="1">
      <c r="A38" s="3463" t="s">
        <v>4512</v>
      </c>
      <c r="B38" s="4000" t="s">
        <v>4513</v>
      </c>
      <c r="C38" s="4001"/>
      <c r="D38" s="4001"/>
      <c r="E38" s="4001"/>
      <c r="F38" s="4001"/>
      <c r="G38" s="4002"/>
      <c r="H38" s="3234">
        <v>0</v>
      </c>
      <c r="I38" s="3468"/>
    </row>
    <row r="39" spans="1:9" hidden="1">
      <c r="A39" s="3474"/>
      <c r="B39" s="4006"/>
      <c r="C39" s="4007"/>
      <c r="D39" s="4007"/>
      <c r="E39" s="4007"/>
      <c r="F39" s="4007"/>
      <c r="G39" s="4008"/>
      <c r="H39" s="3239"/>
      <c r="I39" s="3468"/>
    </row>
    <row r="40" spans="1:9">
      <c r="A40" s="3475" t="s">
        <v>3567</v>
      </c>
      <c r="B40" s="4000" t="s">
        <v>3577</v>
      </c>
      <c r="C40" s="4001"/>
      <c r="D40" s="4001"/>
      <c r="E40" s="4001"/>
      <c r="F40" s="4001"/>
      <c r="G40" s="4002"/>
      <c r="H40" s="3234">
        <v>633.04999999999995</v>
      </c>
      <c r="I40" s="3476"/>
    </row>
    <row r="41" spans="1:9">
      <c r="A41" s="3467" t="s">
        <v>3562</v>
      </c>
      <c r="B41" s="4000" t="s">
        <v>3580</v>
      </c>
      <c r="C41" s="4001"/>
      <c r="D41" s="4001"/>
      <c r="E41" s="4001"/>
      <c r="F41" s="4001"/>
      <c r="G41" s="4002"/>
      <c r="H41" s="3234">
        <v>633.04999999999995</v>
      </c>
      <c r="I41" s="3468"/>
    </row>
    <row r="42" spans="1:9" hidden="1">
      <c r="A42" s="3463">
        <v>4</v>
      </c>
      <c r="B42" s="4000" t="s">
        <v>3587</v>
      </c>
      <c r="C42" s="4001"/>
      <c r="D42" s="4001"/>
      <c r="E42" s="4001"/>
      <c r="F42" s="4001"/>
      <c r="G42" s="4002"/>
      <c r="H42" s="3234">
        <v>0</v>
      </c>
      <c r="I42" s="3468"/>
    </row>
    <row r="43" spans="1:9" hidden="1">
      <c r="A43" s="3467" t="s">
        <v>3564</v>
      </c>
      <c r="B43" s="4000" t="s">
        <v>4514</v>
      </c>
      <c r="C43" s="4001"/>
      <c r="D43" s="4001"/>
      <c r="E43" s="4001"/>
      <c r="F43" s="4001"/>
      <c r="G43" s="4002"/>
      <c r="H43" s="3234">
        <v>0</v>
      </c>
      <c r="I43" s="3468"/>
    </row>
    <row r="44" spans="1:9" hidden="1">
      <c r="A44" s="3467"/>
      <c r="B44" s="4012"/>
      <c r="C44" s="4013"/>
      <c r="D44" s="4013"/>
      <c r="E44" s="4013"/>
      <c r="F44" s="4013"/>
      <c r="G44" s="4014"/>
      <c r="H44" s="3234"/>
      <c r="I44" s="3468"/>
    </row>
    <row r="45" spans="1:9" hidden="1">
      <c r="A45" s="3463" t="s">
        <v>3581</v>
      </c>
      <c r="B45" s="3235" t="s">
        <v>3582</v>
      </c>
      <c r="C45" s="4015">
        <v>0</v>
      </c>
      <c r="D45" s="4016"/>
      <c r="E45" s="4016"/>
      <c r="F45" s="4016"/>
      <c r="G45" s="4017"/>
      <c r="H45" s="3240">
        <v>0</v>
      </c>
      <c r="I45" s="3468"/>
    </row>
    <row r="46" spans="1:9" hidden="1">
      <c r="A46" s="4027">
        <v>1</v>
      </c>
      <c r="B46" s="4000" t="s">
        <v>3566</v>
      </c>
      <c r="C46" s="4001"/>
      <c r="D46" s="4001"/>
      <c r="E46" s="4001"/>
      <c r="F46" s="4001"/>
      <c r="G46" s="4002"/>
      <c r="H46" s="3234">
        <v>0</v>
      </c>
      <c r="I46" s="3465" t="e">
        <f>#REF!+#REF!+H54</f>
        <v>#REF!</v>
      </c>
    </row>
    <row r="47" spans="1:9" hidden="1">
      <c r="A47" s="4028"/>
      <c r="B47" s="4000" t="s">
        <v>4515</v>
      </c>
      <c r="C47" s="4001"/>
      <c r="D47" s="4001"/>
      <c r="E47" s="4001"/>
      <c r="F47" s="4001"/>
      <c r="G47" s="4002"/>
      <c r="H47" s="3234">
        <v>0</v>
      </c>
      <c r="I47" s="3468"/>
    </row>
    <row r="48" spans="1:9" hidden="1">
      <c r="A48" s="4027">
        <v>2</v>
      </c>
      <c r="B48" s="4000" t="s">
        <v>4468</v>
      </c>
      <c r="C48" s="4001"/>
      <c r="D48" s="4001"/>
      <c r="E48" s="4001"/>
      <c r="F48" s="4001"/>
      <c r="G48" s="4002"/>
      <c r="H48" s="3234">
        <v>0</v>
      </c>
      <c r="I48" s="3468"/>
    </row>
    <row r="49" spans="1:9" hidden="1">
      <c r="A49" s="4028"/>
      <c r="B49" s="4000" t="s">
        <v>4516</v>
      </c>
      <c r="C49" s="4001"/>
      <c r="D49" s="4001"/>
      <c r="E49" s="4001"/>
      <c r="F49" s="4001"/>
      <c r="G49" s="4002"/>
      <c r="H49" s="3234">
        <v>0</v>
      </c>
      <c r="I49" s="3468"/>
    </row>
    <row r="50" spans="1:9" hidden="1">
      <c r="A50" s="4027">
        <v>3</v>
      </c>
      <c r="B50" s="4000" t="s">
        <v>3568</v>
      </c>
      <c r="C50" s="4001"/>
      <c r="D50" s="4001"/>
      <c r="E50" s="4001"/>
      <c r="F50" s="4001"/>
      <c r="G50" s="4002"/>
      <c r="H50" s="3234">
        <v>0</v>
      </c>
      <c r="I50" s="3468"/>
    </row>
    <row r="51" spans="1:9" hidden="1">
      <c r="A51" s="4028"/>
      <c r="B51" s="4000" t="s">
        <v>4517</v>
      </c>
      <c r="C51" s="4001"/>
      <c r="D51" s="4001"/>
      <c r="E51" s="4001"/>
      <c r="F51" s="4001"/>
      <c r="G51" s="4002"/>
      <c r="H51" s="3234">
        <v>0</v>
      </c>
      <c r="I51" s="3468"/>
    </row>
    <row r="52" spans="1:9" hidden="1">
      <c r="A52" s="4027">
        <v>4</v>
      </c>
      <c r="B52" s="4000" t="s">
        <v>4518</v>
      </c>
      <c r="C52" s="4001"/>
      <c r="D52" s="4001"/>
      <c r="E52" s="4001"/>
      <c r="F52" s="4001"/>
      <c r="G52" s="4002"/>
      <c r="H52" s="3234">
        <v>0</v>
      </c>
      <c r="I52" s="3468"/>
    </row>
    <row r="53" spans="1:9" hidden="1">
      <c r="A53" s="4028"/>
      <c r="B53" s="4000" t="s">
        <v>4519</v>
      </c>
      <c r="C53" s="4001"/>
      <c r="D53" s="4001"/>
      <c r="E53" s="4001"/>
      <c r="F53" s="4001"/>
      <c r="G53" s="4002"/>
      <c r="H53" s="3234">
        <v>0</v>
      </c>
      <c r="I53" s="3468"/>
    </row>
    <row r="54" spans="1:9" hidden="1">
      <c r="A54" s="3463">
        <v>3</v>
      </c>
      <c r="B54" s="4000" t="s">
        <v>3585</v>
      </c>
      <c r="C54" s="4001"/>
      <c r="D54" s="4001"/>
      <c r="E54" s="4001"/>
      <c r="F54" s="4001"/>
      <c r="G54" s="4002"/>
      <c r="H54" s="3234" t="e">
        <f>H55+H56+H58+H69</f>
        <v>#REF!</v>
      </c>
      <c r="I54" s="3464"/>
    </row>
    <row r="55" spans="1:9" hidden="1">
      <c r="A55" s="3463" t="s">
        <v>2379</v>
      </c>
      <c r="B55" s="4000" t="s">
        <v>3586</v>
      </c>
      <c r="C55" s="4001"/>
      <c r="D55" s="4001"/>
      <c r="E55" s="4001"/>
      <c r="F55" s="4001"/>
      <c r="G55" s="4002"/>
      <c r="H55" s="3234" t="e">
        <f>#REF!</f>
        <v>#REF!</v>
      </c>
      <c r="I55" s="3477"/>
    </row>
    <row r="56" spans="1:9" hidden="1">
      <c r="A56" s="3463" t="s">
        <v>2381</v>
      </c>
      <c r="B56" s="4000" t="s">
        <v>3587</v>
      </c>
      <c r="C56" s="4001"/>
      <c r="D56" s="4001"/>
      <c r="E56" s="4001"/>
      <c r="F56" s="4001"/>
      <c r="G56" s="4002"/>
      <c r="H56" s="3234" t="e">
        <f>#REF!+43.09</f>
        <v>#REF!</v>
      </c>
      <c r="I56" s="3478"/>
    </row>
    <row r="57" spans="1:9" hidden="1">
      <c r="A57" s="3463" t="s">
        <v>2391</v>
      </c>
      <c r="B57" s="4000" t="s">
        <v>4520</v>
      </c>
      <c r="C57" s="4001"/>
      <c r="D57" s="4001"/>
      <c r="E57" s="4001"/>
      <c r="F57" s="4001"/>
      <c r="G57" s="4002"/>
      <c r="H57" s="3234"/>
      <c r="I57" s="3464"/>
    </row>
    <row r="58" spans="1:9" hidden="1">
      <c r="A58" s="3463" t="s">
        <v>2391</v>
      </c>
      <c r="B58" s="4000" t="s">
        <v>3588</v>
      </c>
      <c r="C58" s="4001"/>
      <c r="D58" s="4001"/>
      <c r="E58" s="4001"/>
      <c r="F58" s="4001"/>
      <c r="G58" s="4002"/>
      <c r="H58" s="3239" t="e">
        <f>#REF!+223.82+466.13+719.11</f>
        <v>#REF!</v>
      </c>
      <c r="I58" s="3464"/>
    </row>
    <row r="59" spans="1:9" hidden="1">
      <c r="A59" s="3463">
        <v>8</v>
      </c>
      <c r="B59" s="4000" t="s">
        <v>4474</v>
      </c>
      <c r="C59" s="4001"/>
      <c r="D59" s="4001"/>
      <c r="E59" s="4001"/>
      <c r="F59" s="4001"/>
      <c r="G59" s="4002"/>
      <c r="H59" s="3234">
        <v>0</v>
      </c>
      <c r="I59" s="3464"/>
    </row>
    <row r="60" spans="1:9" hidden="1">
      <c r="A60" s="3463" t="s">
        <v>2379</v>
      </c>
      <c r="B60" s="4000" t="s">
        <v>4483</v>
      </c>
      <c r="C60" s="4001"/>
      <c r="D60" s="4001"/>
      <c r="E60" s="4001"/>
      <c r="F60" s="4001"/>
      <c r="G60" s="4002"/>
      <c r="H60" s="3234">
        <v>0</v>
      </c>
      <c r="I60" s="3464"/>
    </row>
    <row r="61" spans="1:9" hidden="1">
      <c r="A61" s="3463" t="s">
        <v>2381</v>
      </c>
      <c r="B61" s="4000" t="s">
        <v>4485</v>
      </c>
      <c r="C61" s="4001"/>
      <c r="D61" s="4001"/>
      <c r="E61" s="4001"/>
      <c r="F61" s="4001"/>
      <c r="G61" s="4002"/>
      <c r="H61" s="3234">
        <v>0</v>
      </c>
      <c r="I61" s="3464"/>
    </row>
    <row r="62" spans="1:9" hidden="1">
      <c r="A62" s="3463" t="s">
        <v>2391</v>
      </c>
      <c r="B62" s="4000" t="s">
        <v>4505</v>
      </c>
      <c r="C62" s="4001"/>
      <c r="D62" s="4001"/>
      <c r="E62" s="4001"/>
      <c r="F62" s="4001"/>
      <c r="G62" s="4002"/>
      <c r="H62" s="3234">
        <v>0</v>
      </c>
      <c r="I62" s="3464"/>
    </row>
    <row r="63" spans="1:9" hidden="1">
      <c r="A63" s="3463" t="s">
        <v>4478</v>
      </c>
      <c r="B63" s="4000" t="s">
        <v>4507</v>
      </c>
      <c r="C63" s="4001"/>
      <c r="D63" s="4001"/>
      <c r="E63" s="4001"/>
      <c r="F63" s="4001"/>
      <c r="G63" s="4002"/>
      <c r="H63" s="3234">
        <v>0</v>
      </c>
      <c r="I63" s="3464"/>
    </row>
    <row r="64" spans="1:9" hidden="1">
      <c r="A64" s="3463" t="s">
        <v>4480</v>
      </c>
      <c r="B64" s="4000" t="s">
        <v>4509</v>
      </c>
      <c r="C64" s="4001"/>
      <c r="D64" s="4001"/>
      <c r="E64" s="4001"/>
      <c r="F64" s="4001"/>
      <c r="G64" s="4002"/>
      <c r="H64" s="3234">
        <v>0</v>
      </c>
      <c r="I64" s="3464"/>
    </row>
    <row r="65" spans="1:9" hidden="1">
      <c r="A65" s="3463" t="s">
        <v>4482</v>
      </c>
      <c r="B65" s="4000" t="s">
        <v>4511</v>
      </c>
      <c r="C65" s="4001"/>
      <c r="D65" s="4001"/>
      <c r="E65" s="4001"/>
      <c r="F65" s="4001"/>
      <c r="G65" s="4002"/>
      <c r="H65" s="3234">
        <v>0</v>
      </c>
      <c r="I65" s="3464"/>
    </row>
    <row r="66" spans="1:9" hidden="1">
      <c r="A66" s="3463" t="s">
        <v>4484</v>
      </c>
      <c r="B66" s="4000" t="s">
        <v>4513</v>
      </c>
      <c r="C66" s="4001"/>
      <c r="D66" s="4001"/>
      <c r="E66" s="4001"/>
      <c r="F66" s="4001"/>
      <c r="G66" s="4002"/>
      <c r="H66" s="3234">
        <v>0</v>
      </c>
      <c r="I66" s="3464"/>
    </row>
    <row r="67" spans="1:9" hidden="1">
      <c r="A67" s="3463" t="s">
        <v>4486</v>
      </c>
      <c r="B67" s="4000" t="s">
        <v>4521</v>
      </c>
      <c r="C67" s="4001"/>
      <c r="D67" s="4001"/>
      <c r="E67" s="4001"/>
      <c r="F67" s="4001"/>
      <c r="G67" s="4002"/>
      <c r="H67" s="3234">
        <v>0</v>
      </c>
      <c r="I67" s="3464"/>
    </row>
    <row r="68" spans="1:9" hidden="1">
      <c r="A68" s="3463"/>
      <c r="B68" s="4000"/>
      <c r="C68" s="4001"/>
      <c r="D68" s="4001"/>
      <c r="E68" s="4001"/>
      <c r="F68" s="4001"/>
      <c r="G68" s="4002"/>
      <c r="H68" s="3234"/>
      <c r="I68" s="3464"/>
    </row>
    <row r="69" spans="1:9" hidden="1">
      <c r="A69" s="3463" t="s">
        <v>4478</v>
      </c>
      <c r="B69" s="4012" t="s">
        <v>3592</v>
      </c>
      <c r="C69" s="4013"/>
      <c r="D69" s="4013"/>
      <c r="E69" s="4013"/>
      <c r="F69" s="4013"/>
      <c r="G69" s="4014"/>
      <c r="H69" s="3234">
        <v>0</v>
      </c>
      <c r="I69" s="3464"/>
    </row>
    <row r="70" spans="1:9">
      <c r="A70" s="4027" t="s">
        <v>3593</v>
      </c>
      <c r="B70" s="4035" t="s">
        <v>2034</v>
      </c>
      <c r="C70" s="4000" t="s">
        <v>3594</v>
      </c>
      <c r="D70" s="4001"/>
      <c r="E70" s="4001"/>
      <c r="F70" s="4001"/>
      <c r="G70" s="4002"/>
      <c r="H70" s="3243">
        <f>H6/H3</f>
        <v>0.76328144081177718</v>
      </c>
      <c r="I70" s="3464"/>
    </row>
    <row r="71" spans="1:9" hidden="1">
      <c r="A71" s="4028"/>
      <c r="B71" s="4036"/>
      <c r="C71" s="4000" t="s">
        <v>4522</v>
      </c>
      <c r="D71" s="4001"/>
      <c r="E71" s="4001"/>
      <c r="F71" s="4001"/>
      <c r="G71" s="4002"/>
      <c r="H71" s="3243">
        <f>C7/H3</f>
        <v>0</v>
      </c>
      <c r="I71" s="3464"/>
    </row>
    <row r="72" spans="1:9">
      <c r="A72" s="4027" t="s">
        <v>3595</v>
      </c>
      <c r="B72" s="4035" t="s">
        <v>3596</v>
      </c>
      <c r="C72" s="4000" t="s">
        <v>3597</v>
      </c>
      <c r="D72" s="4001"/>
      <c r="E72" s="4001"/>
      <c r="F72" s="4001"/>
      <c r="G72" s="4002"/>
      <c r="H72" s="3234">
        <v>12702.5</v>
      </c>
      <c r="I72" s="3464"/>
    </row>
    <row r="73" spans="1:9" hidden="1">
      <c r="A73" s="4028"/>
      <c r="B73" s="4036"/>
      <c r="C73" s="4000" t="s">
        <v>4523</v>
      </c>
      <c r="D73" s="4001"/>
      <c r="E73" s="4001"/>
      <c r="F73" s="4001"/>
      <c r="G73" s="4002"/>
      <c r="H73" s="3234"/>
      <c r="I73" s="3464">
        <f>H3*0.4</f>
        <v>13282.067999999999</v>
      </c>
    </row>
    <row r="74" spans="1:9">
      <c r="A74" s="4027" t="s">
        <v>3598</v>
      </c>
      <c r="B74" s="4035" t="s">
        <v>3599</v>
      </c>
      <c r="C74" s="4000" t="s">
        <v>3600</v>
      </c>
      <c r="D74" s="4001"/>
      <c r="E74" s="4001"/>
      <c r="F74" s="4001"/>
      <c r="G74" s="4002"/>
      <c r="H74" s="3237">
        <f>H72/H3</f>
        <v>0.38254585054074414</v>
      </c>
      <c r="I74" s="3464"/>
    </row>
    <row r="75" spans="1:9" hidden="1">
      <c r="A75" s="4028"/>
      <c r="B75" s="4036"/>
      <c r="C75" s="4000" t="s">
        <v>4524</v>
      </c>
      <c r="D75" s="4001"/>
      <c r="E75" s="4001"/>
      <c r="F75" s="4001"/>
      <c r="G75" s="4002"/>
      <c r="H75" s="3237">
        <f>H73/H3</f>
        <v>0</v>
      </c>
      <c r="I75" s="3464"/>
    </row>
    <row r="76" spans="1:9">
      <c r="A76" s="3463" t="s">
        <v>3601</v>
      </c>
      <c r="B76" s="4000" t="s">
        <v>3602</v>
      </c>
      <c r="C76" s="4001"/>
      <c r="D76" s="4001"/>
      <c r="E76" s="4001"/>
      <c r="F76" s="4001"/>
      <c r="G76" s="4002"/>
      <c r="H76" s="3234">
        <f>9962.89</f>
        <v>9962.89</v>
      </c>
      <c r="I76" s="3464"/>
    </row>
    <row r="77" spans="1:9" hidden="1">
      <c r="A77" s="3463" t="s">
        <v>3559</v>
      </c>
      <c r="B77" s="4000" t="s">
        <v>3603</v>
      </c>
      <c r="C77" s="4001"/>
      <c r="D77" s="4001"/>
      <c r="E77" s="4001"/>
      <c r="F77" s="4001"/>
      <c r="G77" s="4002"/>
      <c r="H77" s="3234">
        <f>H78</f>
        <v>0</v>
      </c>
      <c r="I77" s="3464"/>
    </row>
    <row r="78" spans="1:9" hidden="1">
      <c r="A78" s="3463" t="s">
        <v>3604</v>
      </c>
      <c r="B78" s="4000" t="s">
        <v>3605</v>
      </c>
      <c r="C78" s="4001"/>
      <c r="D78" s="4001"/>
      <c r="E78" s="4001"/>
      <c r="F78" s="4001"/>
      <c r="G78" s="4002"/>
      <c r="H78" s="3234">
        <v>0</v>
      </c>
      <c r="I78" s="3464"/>
    </row>
    <row r="79" spans="1:9">
      <c r="A79" s="3463" t="s">
        <v>3606</v>
      </c>
      <c r="B79" s="4000" t="s">
        <v>3607</v>
      </c>
      <c r="C79" s="4001"/>
      <c r="D79" s="4001"/>
      <c r="E79" s="4001"/>
      <c r="F79" s="4001"/>
      <c r="G79" s="4002"/>
      <c r="H79" s="3237">
        <f>H76/H3</f>
        <v>0.3000403250457685</v>
      </c>
      <c r="I79" s="3464"/>
    </row>
    <row r="80" spans="1:9" ht="54">
      <c r="A80" s="3463" t="s">
        <v>3608</v>
      </c>
      <c r="B80" s="4006" t="s">
        <v>3609</v>
      </c>
      <c r="C80" s="4007"/>
      <c r="D80" s="4007"/>
      <c r="E80" s="4007"/>
      <c r="F80" s="4007"/>
      <c r="G80" s="4008"/>
      <c r="H80" s="3244">
        <v>254</v>
      </c>
      <c r="I80" s="3471" t="s">
        <v>4525</v>
      </c>
    </row>
    <row r="81" spans="1:9">
      <c r="A81" s="3463" t="s">
        <v>3559</v>
      </c>
      <c r="B81" s="4006" t="s">
        <v>3610</v>
      </c>
      <c r="C81" s="4007"/>
      <c r="D81" s="4007"/>
      <c r="E81" s="4007"/>
      <c r="F81" s="4007"/>
      <c r="G81" s="4008"/>
      <c r="H81" s="3244">
        <v>0</v>
      </c>
      <c r="I81" s="3464"/>
    </row>
    <row r="82" spans="1:9" hidden="1">
      <c r="A82" s="4027" t="s">
        <v>3611</v>
      </c>
      <c r="B82" s="4006" t="s">
        <v>3612</v>
      </c>
      <c r="C82" s="4007"/>
      <c r="D82" s="4007"/>
      <c r="E82" s="4007"/>
      <c r="F82" s="4007"/>
      <c r="G82" s="4008"/>
      <c r="H82" s="3244">
        <v>0</v>
      </c>
      <c r="I82" s="3464"/>
    </row>
    <row r="83" spans="1:9">
      <c r="A83" s="4028"/>
      <c r="B83" s="4006" t="s">
        <v>4526</v>
      </c>
      <c r="C83" s="4007"/>
      <c r="D83" s="4007"/>
      <c r="E83" s="4007"/>
      <c r="F83" s="4007"/>
      <c r="G83" s="4008"/>
      <c r="H83" s="3244">
        <v>254</v>
      </c>
      <c r="I83" s="3464"/>
    </row>
    <row r="84" spans="1:9" hidden="1">
      <c r="A84" s="4027" t="s">
        <v>3615</v>
      </c>
      <c r="B84" s="4006" t="s">
        <v>3616</v>
      </c>
      <c r="C84" s="4007"/>
      <c r="D84" s="4007"/>
      <c r="E84" s="4007"/>
      <c r="F84" s="4007"/>
      <c r="G84" s="4008"/>
      <c r="H84" s="3244">
        <v>0</v>
      </c>
      <c r="I84" s="3464"/>
    </row>
    <row r="85" spans="1:9">
      <c r="A85" s="4037"/>
      <c r="B85" s="4006" t="s">
        <v>4527</v>
      </c>
      <c r="C85" s="4007"/>
      <c r="D85" s="4007"/>
      <c r="E85" s="4007"/>
      <c r="F85" s="4007"/>
      <c r="G85" s="4008"/>
      <c r="H85" s="3244">
        <f>H80</f>
        <v>254</v>
      </c>
      <c r="I85" s="3464"/>
    </row>
    <row r="86" spans="1:9" hidden="1">
      <c r="A86" s="4037"/>
      <c r="B86" s="4006" t="s">
        <v>3618</v>
      </c>
      <c r="C86" s="4007"/>
      <c r="D86" s="4007"/>
      <c r="E86" s="4007"/>
      <c r="F86" s="4007"/>
      <c r="G86" s="4008"/>
      <c r="H86" s="3244">
        <v>0</v>
      </c>
      <c r="I86" s="3464"/>
    </row>
    <row r="87" spans="1:9">
      <c r="A87" s="4028"/>
      <c r="B87" s="4006" t="s">
        <v>4528</v>
      </c>
      <c r="C87" s="4007"/>
      <c r="D87" s="4007"/>
      <c r="E87" s="4007"/>
      <c r="F87" s="4007"/>
      <c r="G87" s="4008"/>
      <c r="H87" s="3244">
        <f>H85</f>
        <v>254</v>
      </c>
      <c r="I87" s="3464"/>
    </row>
    <row r="88" spans="1:9" hidden="1">
      <c r="A88" s="3463" t="s">
        <v>3581</v>
      </c>
      <c r="B88" s="4006" t="s">
        <v>3622</v>
      </c>
      <c r="C88" s="4007"/>
      <c r="D88" s="4007"/>
      <c r="E88" s="4007"/>
      <c r="F88" s="4007"/>
      <c r="G88" s="4008"/>
      <c r="H88" s="3244">
        <f>H89+H90</f>
        <v>977</v>
      </c>
      <c r="I88" s="3464"/>
    </row>
    <row r="89" spans="1:9" hidden="1">
      <c r="A89" s="3463">
        <v>1</v>
      </c>
      <c r="B89" s="4006" t="s">
        <v>3623</v>
      </c>
      <c r="C89" s="4007"/>
      <c r="D89" s="4007"/>
      <c r="E89" s="4007"/>
      <c r="F89" s="4007"/>
      <c r="G89" s="4008"/>
      <c r="H89" s="3244">
        <v>0</v>
      </c>
      <c r="I89" s="3464"/>
    </row>
    <row r="90" spans="1:9" hidden="1">
      <c r="A90" s="3463">
        <v>2</v>
      </c>
      <c r="B90" s="4006" t="s">
        <v>3624</v>
      </c>
      <c r="C90" s="4007"/>
      <c r="D90" s="4007"/>
      <c r="E90" s="4007"/>
      <c r="F90" s="4007"/>
      <c r="G90" s="4008"/>
      <c r="H90" s="3244">
        <f>H91+H93+H94+H95</f>
        <v>977</v>
      </c>
      <c r="I90" s="3464"/>
    </row>
    <row r="91" spans="1:9" hidden="1">
      <c r="A91" s="3467" t="s">
        <v>2399</v>
      </c>
      <c r="B91" s="4006" t="s">
        <v>3625</v>
      </c>
      <c r="C91" s="4007"/>
      <c r="D91" s="4007"/>
      <c r="E91" s="4007"/>
      <c r="F91" s="4007"/>
      <c r="G91" s="4008"/>
      <c r="H91" s="3244">
        <v>91</v>
      </c>
      <c r="I91" s="3464"/>
    </row>
    <row r="92" spans="1:9" hidden="1">
      <c r="A92" s="3463">
        <v>2</v>
      </c>
      <c r="B92" s="4006" t="s">
        <v>3627</v>
      </c>
      <c r="C92" s="4007"/>
      <c r="D92" s="4007"/>
      <c r="E92" s="4007"/>
      <c r="F92" s="4007"/>
      <c r="G92" s="4008"/>
      <c r="H92" s="3244">
        <v>0</v>
      </c>
      <c r="I92" s="3464">
        <f>H12/100</f>
        <v>253.35890000000001</v>
      </c>
    </row>
    <row r="93" spans="1:9" hidden="1">
      <c r="A93" s="3463" t="s">
        <v>2401</v>
      </c>
      <c r="B93" s="4006" t="s">
        <v>3626</v>
      </c>
      <c r="C93" s="4007"/>
      <c r="D93" s="4007"/>
      <c r="E93" s="4007"/>
      <c r="F93" s="4007"/>
      <c r="G93" s="4008"/>
      <c r="H93" s="3244">
        <f>135+180</f>
        <v>315</v>
      </c>
      <c r="I93" s="3464"/>
    </row>
    <row r="94" spans="1:9" hidden="1">
      <c r="A94" s="3463" t="s">
        <v>2403</v>
      </c>
      <c r="B94" s="4003" t="s">
        <v>3627</v>
      </c>
      <c r="C94" s="4004"/>
      <c r="D94" s="4004"/>
      <c r="E94" s="4004"/>
      <c r="F94" s="4004"/>
      <c r="G94" s="4005"/>
      <c r="H94" s="3244">
        <f>662-H91-H95</f>
        <v>568</v>
      </c>
      <c r="I94" s="3464"/>
    </row>
    <row r="95" spans="1:9" hidden="1">
      <c r="A95" s="3463" t="s">
        <v>3628</v>
      </c>
      <c r="B95" s="4006" t="s">
        <v>3629</v>
      </c>
      <c r="C95" s="4007"/>
      <c r="D95" s="4007"/>
      <c r="E95" s="4007"/>
      <c r="F95" s="4007"/>
      <c r="G95" s="4008"/>
      <c r="H95" s="3244">
        <v>3</v>
      </c>
      <c r="I95" s="3464"/>
    </row>
    <row r="96" spans="1:9" hidden="1">
      <c r="A96" s="3463" t="s">
        <v>3604</v>
      </c>
      <c r="B96" s="3479" t="s">
        <v>4529</v>
      </c>
      <c r="C96" s="4046">
        <v>0</v>
      </c>
      <c r="D96" s="4047"/>
      <c r="E96" s="4048"/>
      <c r="F96" s="4006" t="s">
        <v>4530</v>
      </c>
      <c r="G96" s="4008"/>
      <c r="H96" s="3480">
        <v>0</v>
      </c>
      <c r="I96" s="3464"/>
    </row>
    <row r="97" spans="1:9" ht="54">
      <c r="A97" s="3463" t="s">
        <v>3630</v>
      </c>
      <c r="B97" s="4006" t="s">
        <v>3631</v>
      </c>
      <c r="C97" s="4007"/>
      <c r="D97" s="4007"/>
      <c r="E97" s="4007"/>
      <c r="F97" s="4007"/>
      <c r="G97" s="4008"/>
      <c r="H97" s="3244">
        <f>H101</f>
        <v>254</v>
      </c>
      <c r="I97" s="3471" t="s">
        <v>4531</v>
      </c>
    </row>
    <row r="98" spans="1:9" hidden="1">
      <c r="A98" s="3463" t="s">
        <v>3559</v>
      </c>
      <c r="B98" s="4006" t="s">
        <v>4532</v>
      </c>
      <c r="C98" s="4007"/>
      <c r="D98" s="4007"/>
      <c r="E98" s="4007"/>
      <c r="F98" s="4007"/>
      <c r="G98" s="4008"/>
      <c r="H98" s="3244">
        <v>0</v>
      </c>
      <c r="I98" s="3464"/>
    </row>
    <row r="99" spans="1:9" hidden="1">
      <c r="A99" s="4027" t="s">
        <v>4533</v>
      </c>
      <c r="B99" s="4006" t="s">
        <v>3623</v>
      </c>
      <c r="C99" s="4007"/>
      <c r="D99" s="4007"/>
      <c r="E99" s="4007"/>
      <c r="F99" s="4007"/>
      <c r="G99" s="4008"/>
      <c r="H99" s="3244">
        <v>0</v>
      </c>
      <c r="I99" s="3464"/>
    </row>
    <row r="100" spans="1:9" hidden="1">
      <c r="A100" s="4028"/>
      <c r="B100" s="4006" t="s">
        <v>4532</v>
      </c>
      <c r="C100" s="4007"/>
      <c r="D100" s="4007"/>
      <c r="E100" s="4007"/>
      <c r="F100" s="4007"/>
      <c r="G100" s="4008"/>
      <c r="H100" s="3244"/>
      <c r="I100" s="3464"/>
    </row>
    <row r="101" spans="1:9">
      <c r="A101" s="3463" t="s">
        <v>3559</v>
      </c>
      <c r="B101" s="4006" t="s">
        <v>3632</v>
      </c>
      <c r="C101" s="4007"/>
      <c r="D101" s="4007"/>
      <c r="E101" s="4007"/>
      <c r="F101" s="4007"/>
      <c r="G101" s="4008"/>
      <c r="H101" s="3244">
        <v>254</v>
      </c>
      <c r="I101" s="3464"/>
    </row>
    <row r="102" spans="1:9" hidden="1">
      <c r="A102" s="4038" t="s">
        <v>3611</v>
      </c>
      <c r="B102" s="4040" t="s">
        <v>3623</v>
      </c>
      <c r="C102" s="4041"/>
      <c r="D102" s="4041"/>
      <c r="E102" s="4041"/>
      <c r="F102" s="4041"/>
      <c r="G102" s="4042"/>
      <c r="H102" s="3481"/>
      <c r="I102" s="3464"/>
    </row>
    <row r="103" spans="1:9" ht="14.25" thickBot="1">
      <c r="A103" s="4039"/>
      <c r="B103" s="4043" t="s">
        <v>3624</v>
      </c>
      <c r="C103" s="4044"/>
      <c r="D103" s="4044"/>
      <c r="E103" s="4044"/>
      <c r="F103" s="4044"/>
      <c r="G103" s="4045"/>
      <c r="H103" s="3482">
        <v>254</v>
      </c>
      <c r="I103" s="3483"/>
    </row>
  </sheetData>
  <mergeCells count="120">
    <mergeCell ref="B101:G101"/>
    <mergeCell ref="A102:A103"/>
    <mergeCell ref="B102:G102"/>
    <mergeCell ref="B103:G103"/>
    <mergeCell ref="B95:G95"/>
    <mergeCell ref="C96:E96"/>
    <mergeCell ref="F96:G96"/>
    <mergeCell ref="B97:G97"/>
    <mergeCell ref="B98:G98"/>
    <mergeCell ref="A99:A100"/>
    <mergeCell ref="B99:G99"/>
    <mergeCell ref="B100:G100"/>
    <mergeCell ref="B89:G89"/>
    <mergeCell ref="B90:G90"/>
    <mergeCell ref="B91:G91"/>
    <mergeCell ref="B92:G92"/>
    <mergeCell ref="B93:G93"/>
    <mergeCell ref="B94:G94"/>
    <mergeCell ref="A84:A87"/>
    <mergeCell ref="B84:G84"/>
    <mergeCell ref="B85:G85"/>
    <mergeCell ref="B86:G86"/>
    <mergeCell ref="B87:G87"/>
    <mergeCell ref="B88:G88"/>
    <mergeCell ref="B78:G78"/>
    <mergeCell ref="B79:G79"/>
    <mergeCell ref="B80:G80"/>
    <mergeCell ref="B81:G81"/>
    <mergeCell ref="A82:A83"/>
    <mergeCell ref="B82:G82"/>
    <mergeCell ref="B83:G83"/>
    <mergeCell ref="A74:A75"/>
    <mergeCell ref="B74:B75"/>
    <mergeCell ref="C74:G74"/>
    <mergeCell ref="C75:G75"/>
    <mergeCell ref="B76:G76"/>
    <mergeCell ref="B77:G77"/>
    <mergeCell ref="B69:G69"/>
    <mergeCell ref="A70:A71"/>
    <mergeCell ref="B70:B71"/>
    <mergeCell ref="C70:G70"/>
    <mergeCell ref="C71:G71"/>
    <mergeCell ref="A72:A73"/>
    <mergeCell ref="B72:B73"/>
    <mergeCell ref="C72:G72"/>
    <mergeCell ref="C73:G73"/>
    <mergeCell ref="B63:G63"/>
    <mergeCell ref="B64:G64"/>
    <mergeCell ref="B65:G65"/>
    <mergeCell ref="B66:G66"/>
    <mergeCell ref="B67:G67"/>
    <mergeCell ref="B68:G68"/>
    <mergeCell ref="B57:G57"/>
    <mergeCell ref="B58:G58"/>
    <mergeCell ref="B59:G59"/>
    <mergeCell ref="B60:G60"/>
    <mergeCell ref="B61:G61"/>
    <mergeCell ref="B62:G62"/>
    <mergeCell ref="A52:A53"/>
    <mergeCell ref="B52:G52"/>
    <mergeCell ref="B53:G53"/>
    <mergeCell ref="B54:G54"/>
    <mergeCell ref="B55:G55"/>
    <mergeCell ref="B56:G56"/>
    <mergeCell ref="A48:A49"/>
    <mergeCell ref="B48:G48"/>
    <mergeCell ref="B49:G49"/>
    <mergeCell ref="A50:A51"/>
    <mergeCell ref="B50:G50"/>
    <mergeCell ref="B51:G51"/>
    <mergeCell ref="B42:G42"/>
    <mergeCell ref="B43:G43"/>
    <mergeCell ref="B44:G44"/>
    <mergeCell ref="C45:G45"/>
    <mergeCell ref="A46:A47"/>
    <mergeCell ref="B46:G46"/>
    <mergeCell ref="B47:G47"/>
    <mergeCell ref="B36:G36"/>
    <mergeCell ref="B37:G37"/>
    <mergeCell ref="B38:G38"/>
    <mergeCell ref="B39:G39"/>
    <mergeCell ref="B40:G40"/>
    <mergeCell ref="B41:G41"/>
    <mergeCell ref="B30:G30"/>
    <mergeCell ref="B31:G31"/>
    <mergeCell ref="B32:G32"/>
    <mergeCell ref="B33:G33"/>
    <mergeCell ref="B34:G34"/>
    <mergeCell ref="B35:G35"/>
    <mergeCell ref="B24:G24"/>
    <mergeCell ref="B25:G25"/>
    <mergeCell ref="B26:G26"/>
    <mergeCell ref="B27:G27"/>
    <mergeCell ref="B28:G28"/>
    <mergeCell ref="B29:G29"/>
    <mergeCell ref="B18:G18"/>
    <mergeCell ref="B19:G19"/>
    <mergeCell ref="B20:G20"/>
    <mergeCell ref="B21:G21"/>
    <mergeCell ref="B22:G22"/>
    <mergeCell ref="B23:G23"/>
    <mergeCell ref="B12:G12"/>
    <mergeCell ref="B13:G13"/>
    <mergeCell ref="B14:G14"/>
    <mergeCell ref="B15:G15"/>
    <mergeCell ref="B16:G16"/>
    <mergeCell ref="B17:G17"/>
    <mergeCell ref="A8:A9"/>
    <mergeCell ref="B8:F8"/>
    <mergeCell ref="B9:F9"/>
    <mergeCell ref="C10:E10"/>
    <mergeCell ref="F10:G10"/>
    <mergeCell ref="B11:G11"/>
    <mergeCell ref="A2:H2"/>
    <mergeCell ref="B3:G3"/>
    <mergeCell ref="C4:G4"/>
    <mergeCell ref="B5:G5"/>
    <mergeCell ref="B6:G6"/>
    <mergeCell ref="C7:E7"/>
    <mergeCell ref="F7:G7"/>
  </mergeCells>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3"/>
  <sheetViews>
    <sheetView workbookViewId="0">
      <selection activeCell="E15" sqref="E15"/>
    </sheetView>
  </sheetViews>
  <sheetFormatPr defaultRowHeight="13.5"/>
  <cols>
    <col min="2" max="2" width="15.25" customWidth="1"/>
    <col min="3" max="3" width="6" customWidth="1"/>
    <col min="4" max="6" width="15.25" customWidth="1"/>
    <col min="7" max="7" width="15.75" customWidth="1"/>
  </cols>
  <sheetData>
    <row r="3" spans="2:8" ht="14.25" thickBot="1"/>
    <row r="4" spans="2:8">
      <c r="B4" s="3489" t="s">
        <v>4538</v>
      </c>
      <c r="C4" s="3485"/>
      <c r="D4" s="3446"/>
      <c r="E4" s="3453" t="s">
        <v>4424</v>
      </c>
      <c r="F4" s="3454" t="s">
        <v>4425</v>
      </c>
    </row>
    <row r="5" spans="2:8">
      <c r="B5" s="3455" t="s">
        <v>4422</v>
      </c>
      <c r="C5" s="3486" t="s">
        <v>4535</v>
      </c>
      <c r="D5" s="3445">
        <v>192716.68</v>
      </c>
      <c r="E5" s="3445">
        <v>0.8</v>
      </c>
      <c r="F5" s="3449">
        <f>D5/E5</f>
        <v>240895.84999999998</v>
      </c>
      <c r="G5">
        <f>D12-G6</f>
        <v>241868.1</v>
      </c>
      <c r="H5">
        <f>D5/G5</f>
        <v>0.79678419766806785</v>
      </c>
    </row>
    <row r="6" spans="2:8">
      <c r="B6" s="3455" t="s">
        <v>4423</v>
      </c>
      <c r="C6" s="3486" t="s">
        <v>4536</v>
      </c>
      <c r="D6" s="3445">
        <v>185159.17</v>
      </c>
      <c r="E6" s="3445">
        <v>1.1000000000000001</v>
      </c>
      <c r="F6" s="3449">
        <f>ROUND(D6/E6,2)</f>
        <v>168326.52</v>
      </c>
      <c r="G6">
        <f>F6</f>
        <v>168326.52</v>
      </c>
    </row>
    <row r="7" spans="2:8" ht="14.25" thickBot="1">
      <c r="B7" s="3450"/>
      <c r="C7" s="3487"/>
      <c r="D7" s="3451"/>
      <c r="E7" s="3451"/>
      <c r="F7" s="3452">
        <f>SUM(F5:F6)</f>
        <v>409222.37</v>
      </c>
    </row>
    <row r="10" spans="2:8" ht="14.25" thickBot="1"/>
    <row r="11" spans="2:8">
      <c r="B11" s="3489" t="s">
        <v>4537</v>
      </c>
      <c r="C11" s="3485"/>
      <c r="D11" s="3446"/>
      <c r="E11" s="3446" t="s">
        <v>4426</v>
      </c>
      <c r="F11" s="3447" t="s">
        <v>4425</v>
      </c>
    </row>
    <row r="12" spans="2:8">
      <c r="B12" s="3448" t="s">
        <v>4427</v>
      </c>
      <c r="C12" s="3486" t="s">
        <v>4535</v>
      </c>
      <c r="D12" s="3445">
        <f>'数据-基础表'!A3</f>
        <v>410194.62</v>
      </c>
      <c r="E12" s="3445">
        <v>0.51</v>
      </c>
      <c r="F12" s="3449">
        <f>ROUND(D12*E12,2)</f>
        <v>209199.26</v>
      </c>
    </row>
    <row r="13" spans="2:8" ht="14.25" thickBot="1">
      <c r="B13" s="3450" t="s">
        <v>4428</v>
      </c>
      <c r="C13" s="3488" t="s">
        <v>4536</v>
      </c>
      <c r="D13" s="3451"/>
      <c r="E13" s="3451">
        <v>0.49</v>
      </c>
      <c r="F13" s="3452">
        <f>D12-F12</f>
        <v>200995.36</v>
      </c>
    </row>
  </sheetData>
  <phoneticPr fontId="2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4058" t="s">
        <v>203</v>
      </c>
      <c r="B2" s="4058"/>
      <c r="C2" s="4058"/>
      <c r="D2" s="1972" t="s">
        <v>204</v>
      </c>
      <c r="E2" s="106" t="s">
        <v>205</v>
      </c>
      <c r="F2" s="1981"/>
      <c r="G2" s="1196"/>
      <c r="H2" s="1197"/>
      <c r="I2" s="1198" t="s">
        <v>856</v>
      </c>
      <c r="J2" s="1981"/>
      <c r="K2" s="1981"/>
      <c r="L2" s="1981"/>
    </row>
    <row r="3" spans="1:16" ht="15.75" thickBot="1">
      <c r="A3" s="4059" t="s">
        <v>206</v>
      </c>
      <c r="B3" s="4059"/>
      <c r="C3" s="4059"/>
      <c r="D3" s="107">
        <f>'数据-基础表'!AY6</f>
        <v>410194.62</v>
      </c>
      <c r="E3" s="107">
        <f>'数据-基础表'!AZ5</f>
        <v>446955.26</v>
      </c>
      <c r="F3" s="1981"/>
      <c r="G3" s="278" t="s">
        <v>857</v>
      </c>
      <c r="H3" s="273" t="s">
        <v>858</v>
      </c>
      <c r="I3" s="1973">
        <f>ROUND('数据-基础表'!B3/'数据-基础表'!A3,2)</f>
        <v>1.0900000000000001</v>
      </c>
      <c r="J3" s="1981"/>
      <c r="K3" s="1981"/>
      <c r="L3" s="1981"/>
    </row>
    <row r="4" spans="1:16" ht="15">
      <c r="A4" s="4060"/>
      <c r="B4" s="4061"/>
      <c r="C4" s="4062"/>
      <c r="D4" s="108" t="s">
        <v>204</v>
      </c>
      <c r="E4" s="109" t="s">
        <v>205</v>
      </c>
      <c r="F4" s="1981"/>
      <c r="G4" s="1199"/>
      <c r="H4" s="273" t="s">
        <v>859</v>
      </c>
      <c r="I4" s="1973">
        <f>ROUND(SUMIF('数据-基础表'!I9:AS9,"地上",'数据-基础表'!I5:AS5)/'数据-基础表'!A3,2)</f>
        <v>0.86</v>
      </c>
      <c r="J4" s="1981"/>
      <c r="K4" s="1981"/>
      <c r="L4" s="1981"/>
    </row>
    <row r="5" spans="1:16">
      <c r="A5" s="110" t="s">
        <v>207</v>
      </c>
      <c r="B5" s="4063" t="s">
        <v>230</v>
      </c>
      <c r="C5" s="4063"/>
      <c r="D5" s="111">
        <f>ROUND($D$3*E5/$E$3,2)</f>
        <v>140133.45000000001</v>
      </c>
      <c r="E5" s="112">
        <f>SUMIF('数据-基础表'!$11:$11,"住宅",'数据-基础表'!$5:$5)</f>
        <v>152691.87</v>
      </c>
      <c r="F5" s="1981"/>
      <c r="G5" s="278" t="s">
        <v>860</v>
      </c>
      <c r="H5" s="273" t="s">
        <v>858</v>
      </c>
      <c r="I5" s="1973">
        <f>ROUND(E31/D31,2)</f>
        <v>1.0900000000000001</v>
      </c>
      <c r="J5" s="1981"/>
      <c r="K5" s="1981"/>
      <c r="L5" s="1981"/>
    </row>
    <row r="6" spans="1:16" ht="15" thickBot="1">
      <c r="A6" s="113"/>
      <c r="B6" s="4063" t="s">
        <v>208</v>
      </c>
      <c r="C6" s="4063"/>
      <c r="D6" s="111">
        <f>ROUND($D$3*E6/$E$3,2)</f>
        <v>270061.17</v>
      </c>
      <c r="E6" s="112">
        <f>E3-E5</f>
        <v>294263.39</v>
      </c>
      <c r="F6" s="1981"/>
      <c r="G6" s="1199"/>
      <c r="H6" s="273" t="s">
        <v>859</v>
      </c>
      <c r="I6" s="1973">
        <f>ROUND(F31/D31,2)</f>
        <v>0.86</v>
      </c>
      <c r="J6" s="1981"/>
      <c r="K6" s="1981"/>
      <c r="L6" s="1981"/>
    </row>
    <row r="7" spans="1:16" ht="15">
      <c r="A7" s="4055"/>
      <c r="B7" s="4056"/>
      <c r="C7" s="4057"/>
      <c r="D7" s="108" t="s">
        <v>204</v>
      </c>
      <c r="E7" s="114" t="s">
        <v>231</v>
      </c>
      <c r="F7" s="1981"/>
      <c r="G7" s="1154" t="s">
        <v>1645</v>
      </c>
      <c r="H7" s="1155"/>
      <c r="I7" s="1843">
        <f>(E8+E9)/D3</f>
        <v>0.82038469934101044</v>
      </c>
      <c r="J7" s="1981"/>
      <c r="K7" s="1981"/>
      <c r="L7" s="1981"/>
    </row>
    <row r="8" spans="1:16">
      <c r="A8" s="110" t="s">
        <v>209</v>
      </c>
      <c r="B8" s="115" t="s">
        <v>210</v>
      </c>
      <c r="C8" s="111" t="s">
        <v>211</v>
      </c>
      <c r="D8" s="111">
        <f t="shared" ref="D8:D15" si="0">ROUND($D$3*E8/$E$3,2)</f>
        <v>307965.28999999998</v>
      </c>
      <c r="E8" s="116">
        <f>SUMIF('数据-基础表'!BB10:BK10,"地上",'数据-基础表'!BB5:BK5)</f>
        <v>335564.39</v>
      </c>
      <c r="F8" s="1981"/>
      <c r="G8" s="1983"/>
      <c r="H8" s="1983"/>
      <c r="I8" s="1981"/>
      <c r="J8" s="1981"/>
      <c r="K8" s="1981"/>
      <c r="L8" s="1981"/>
    </row>
    <row r="9" spans="1:16">
      <c r="A9" s="117"/>
      <c r="B9" s="118"/>
      <c r="C9" s="111" t="s">
        <v>212</v>
      </c>
      <c r="D9" s="111">
        <f t="shared" si="0"/>
        <v>874.62</v>
      </c>
      <c r="E9" s="119">
        <f>'数据-基础表'!AL13</f>
        <v>953</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77780.89</v>
      </c>
      <c r="E13" s="116">
        <f>SUMPRODUCT(('数据-基础表'!BB10:BK10="地下")*('数据-基础表'!BB11:BK11="车库")*('数据-基础表'!BB5:BK5))</f>
        <v>84751.42</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386620.8</v>
      </c>
      <c r="E16" s="120">
        <f>SUM(E8:E15)</f>
        <v>421268.81</v>
      </c>
      <c r="F16" s="1981"/>
      <c r="G16" s="1983"/>
      <c r="H16" s="966" t="s">
        <v>219</v>
      </c>
      <c r="I16" s="967"/>
      <c r="J16" s="1981"/>
      <c r="K16" s="4049" t="s">
        <v>2566</v>
      </c>
      <c r="L16" s="4050"/>
      <c r="M16" s="4050"/>
      <c r="N16" s="4050"/>
      <c r="O16" s="4050"/>
      <c r="P16" s="4051"/>
    </row>
    <row r="17" spans="1:19" ht="15">
      <c r="A17" s="121" t="s">
        <v>216</v>
      </c>
      <c r="B17" s="122" t="s">
        <v>217</v>
      </c>
      <c r="C17" s="2295" t="s">
        <v>2315</v>
      </c>
      <c r="D17" s="108" t="s">
        <v>204</v>
      </c>
      <c r="E17" s="124" t="s">
        <v>205</v>
      </c>
      <c r="F17" s="125"/>
      <c r="G17" s="1363"/>
      <c r="H17" s="968" t="s">
        <v>218</v>
      </c>
      <c r="I17" s="969" t="s">
        <v>2314</v>
      </c>
      <c r="J17" s="1981"/>
      <c r="K17" s="4052" t="s">
        <v>2567</v>
      </c>
      <c r="L17" s="4053"/>
      <c r="M17" s="4054"/>
      <c r="N17" s="4052" t="s">
        <v>2568</v>
      </c>
      <c r="O17" s="4053"/>
      <c r="P17" s="4054"/>
      <c r="R17" s="2296" t="s">
        <v>2313</v>
      </c>
      <c r="S17" s="144"/>
    </row>
    <row r="18" spans="1:19" ht="15">
      <c r="A18" s="117"/>
      <c r="B18" s="128"/>
      <c r="C18" s="129"/>
      <c r="D18" s="2663"/>
      <c r="E18" s="130" t="s">
        <v>220</v>
      </c>
      <c r="F18" s="131" t="s">
        <v>221</v>
      </c>
      <c r="G18" s="1364" t="s">
        <v>222</v>
      </c>
      <c r="H18" s="970" t="s">
        <v>223</v>
      </c>
      <c r="I18" s="971" t="s">
        <v>224</v>
      </c>
      <c r="J18" s="1981"/>
      <c r="K18" s="2626" t="s">
        <v>2569</v>
      </c>
      <c r="L18" s="2627" t="s">
        <v>2570</v>
      </c>
      <c r="M18" s="2628" t="s">
        <v>2571</v>
      </c>
      <c r="N18" s="2626" t="s">
        <v>2569</v>
      </c>
      <c r="O18" s="2627" t="s">
        <v>2570</v>
      </c>
      <c r="P18" s="2628" t="s">
        <v>2571</v>
      </c>
      <c r="R18" s="2297" t="s">
        <v>2311</v>
      </c>
      <c r="S18" s="2297" t="s">
        <v>2312</v>
      </c>
    </row>
    <row r="19" spans="1:19">
      <c r="A19" s="133"/>
      <c r="B19" s="115" t="s">
        <v>225</v>
      </c>
      <c r="C19" s="3044" t="s">
        <v>3645</v>
      </c>
      <c r="D19" s="111">
        <f t="shared" ref="D19:D26" si="1">ROUND($D$3*E19/$E$3,2)</f>
        <v>42809.21</v>
      </c>
      <c r="E19" s="134">
        <f t="shared" ref="E19:E26" si="2">SUM(F19:G19)</f>
        <v>46645.67</v>
      </c>
      <c r="F19" s="135">
        <f>'数据-基础表'!K5</f>
        <v>46645.67</v>
      </c>
      <c r="G19" s="1365"/>
      <c r="H19" s="972">
        <f>ROUND($D$3*I19/$E$3,2)</f>
        <v>2713.23</v>
      </c>
      <c r="I19" s="116">
        <f>IF($I$17="自定义",P19,M19)</f>
        <v>2956.38</v>
      </c>
      <c r="J19" s="1981"/>
      <c r="K19" s="2629">
        <f t="shared" ref="K19:K26" si="3">ROUND(E$28*E19/E$27,2)</f>
        <v>2956.38</v>
      </c>
      <c r="L19" s="273">
        <f t="shared" ref="L19:L26" si="4">ROUND(IF(COUNTIF(C19,"*住宅*")&gt;0,E$29*E19/E$32,0),2)</f>
        <v>0</v>
      </c>
      <c r="M19" s="2630">
        <f>K19+L19</f>
        <v>2956.38</v>
      </c>
      <c r="N19" s="2631"/>
      <c r="O19" s="2632"/>
      <c r="P19" s="2633">
        <f>N19+O19</f>
        <v>0</v>
      </c>
      <c r="R19" s="273">
        <f t="shared" ref="R19:S26" si="5">D19+H19</f>
        <v>45522.44</v>
      </c>
      <c r="S19" s="2298">
        <f t="shared" si="5"/>
        <v>49602.049999999996</v>
      </c>
    </row>
    <row r="20" spans="1:19">
      <c r="A20" s="138"/>
      <c r="B20" s="115" t="s">
        <v>226</v>
      </c>
      <c r="C20" s="3044" t="s">
        <v>3647</v>
      </c>
      <c r="D20" s="111">
        <f t="shared" si="1"/>
        <v>111256.04</v>
      </c>
      <c r="E20" s="134">
        <f t="shared" si="2"/>
        <v>121226.54</v>
      </c>
      <c r="F20" s="135">
        <f>'数据-基础表'!M5</f>
        <v>121226.54</v>
      </c>
      <c r="G20" s="1365"/>
      <c r="H20" s="972">
        <f t="shared" ref="H20:H26" si="6">ROUND($D$3*I20/$E$3,2)</f>
        <v>7051.36</v>
      </c>
      <c r="I20" s="116">
        <f t="shared" ref="I20:I26" si="7">IF($I$17="自定义",P20,M20)</f>
        <v>7683.29</v>
      </c>
      <c r="J20" s="1981"/>
      <c r="K20" s="2629">
        <f t="shared" si="3"/>
        <v>7683.29</v>
      </c>
      <c r="L20" s="273">
        <f t="shared" si="4"/>
        <v>0</v>
      </c>
      <c r="M20" s="2630">
        <f t="shared" ref="M20:M26" si="8">K20+L20</f>
        <v>7683.29</v>
      </c>
      <c r="N20" s="2631"/>
      <c r="O20" s="2632"/>
      <c r="P20" s="2633">
        <f t="shared" ref="P20:P26" si="9">N20+O20</f>
        <v>0</v>
      </c>
      <c r="R20" s="273">
        <f t="shared" si="5"/>
        <v>118307.4</v>
      </c>
      <c r="S20" s="2298">
        <f t="shared" si="5"/>
        <v>128909.82999999999</v>
      </c>
    </row>
    <row r="21" spans="1:19">
      <c r="A21" s="138"/>
      <c r="B21" s="115" t="s">
        <v>226</v>
      </c>
      <c r="C21" s="3044" t="s">
        <v>4435</v>
      </c>
      <c r="D21" s="111">
        <f t="shared" si="1"/>
        <v>13766.58</v>
      </c>
      <c r="E21" s="134">
        <f t="shared" si="2"/>
        <v>15000.31</v>
      </c>
      <c r="F21" s="135">
        <f>'数据-基础表'!I5</f>
        <v>15000.31</v>
      </c>
      <c r="G21" s="1365"/>
      <c r="H21" s="972">
        <f t="shared" si="6"/>
        <v>872.52</v>
      </c>
      <c r="I21" s="116">
        <f t="shared" si="7"/>
        <v>950.71</v>
      </c>
      <c r="J21" s="1981"/>
      <c r="K21" s="2629">
        <f t="shared" si="3"/>
        <v>950.71</v>
      </c>
      <c r="L21" s="273">
        <f>ROUND(IF(COUNTIF(C21,"*住宅*")&gt;0,E$29*E21/E$32,0),2)</f>
        <v>0</v>
      </c>
      <c r="M21" s="2630">
        <f t="shared" si="8"/>
        <v>950.71</v>
      </c>
      <c r="N21" s="2631"/>
      <c r="O21" s="2632"/>
      <c r="P21" s="2633">
        <f t="shared" si="9"/>
        <v>0</v>
      </c>
      <c r="R21" s="273">
        <f t="shared" si="5"/>
        <v>14639.1</v>
      </c>
      <c r="S21" s="2298">
        <f t="shared" si="5"/>
        <v>15951.02</v>
      </c>
    </row>
    <row r="22" spans="1:19">
      <c r="A22" s="138"/>
      <c r="B22" s="115" t="s">
        <v>226</v>
      </c>
      <c r="C22" s="3250" t="s">
        <v>3648</v>
      </c>
      <c r="D22" s="111">
        <f t="shared" si="1"/>
        <v>140133.45000000001</v>
      </c>
      <c r="E22" s="134">
        <f t="shared" si="2"/>
        <v>152691.87</v>
      </c>
      <c r="F22" s="140">
        <f>'数据-基础表'!Q5</f>
        <v>152691.87</v>
      </c>
      <c r="G22" s="1366"/>
      <c r="H22" s="972">
        <f t="shared" si="6"/>
        <v>8881.6</v>
      </c>
      <c r="I22" s="116">
        <f t="shared" si="7"/>
        <v>9677.5499999999993</v>
      </c>
      <c r="J22" s="1981"/>
      <c r="K22" s="2629">
        <f t="shared" si="3"/>
        <v>9677.5499999999993</v>
      </c>
      <c r="L22" s="273">
        <f>ROUND(IF(COUNTIF(C22,"*住宅*")&gt;0,E$29*E22/E$32,0),2)</f>
        <v>0</v>
      </c>
      <c r="M22" s="2630">
        <f t="shared" si="8"/>
        <v>9677.5499999999993</v>
      </c>
      <c r="N22" s="2631"/>
      <c r="O22" s="2632"/>
      <c r="P22" s="2633">
        <f t="shared" si="9"/>
        <v>0</v>
      </c>
      <c r="R22" s="273">
        <f t="shared" si="5"/>
        <v>149015.05000000002</v>
      </c>
      <c r="S22" s="2298">
        <f t="shared" si="5"/>
        <v>162369.41999999998</v>
      </c>
    </row>
    <row r="23" spans="1:19">
      <c r="A23" s="138"/>
      <c r="B23" s="115" t="s">
        <v>226</v>
      </c>
      <c r="C23" s="3250" t="s">
        <v>4436</v>
      </c>
      <c r="D23" s="111">
        <f>ROUND($D$3*E23/$E$3,2)</f>
        <v>77780.89</v>
      </c>
      <c r="E23" s="134">
        <f>SUM(F23:G23)</f>
        <v>84751.42</v>
      </c>
      <c r="F23" s="140"/>
      <c r="G23" s="1366">
        <f>'数据-基础表'!O5</f>
        <v>84751.42</v>
      </c>
      <c r="H23" s="972">
        <f>ROUND($D$3*I23/$E$3,2)</f>
        <v>4929.72</v>
      </c>
      <c r="I23" s="116">
        <f t="shared" si="7"/>
        <v>5371.51</v>
      </c>
      <c r="J23" s="1981"/>
      <c r="K23" s="2629">
        <f t="shared" si="3"/>
        <v>5371.51</v>
      </c>
      <c r="L23" s="273">
        <f>ROUND(IF(COUNTIF(C23,"*住宅*")&gt;0,E$29*E23/E$32,0),2)</f>
        <v>0</v>
      </c>
      <c r="M23" s="2630">
        <f t="shared" si="8"/>
        <v>5371.51</v>
      </c>
      <c r="N23" s="2631"/>
      <c r="O23" s="2632"/>
      <c r="P23" s="2633">
        <f t="shared" si="9"/>
        <v>0</v>
      </c>
      <c r="R23" s="273">
        <f t="shared" si="5"/>
        <v>82710.61</v>
      </c>
      <c r="S23" s="2298">
        <f t="shared" si="5"/>
        <v>90122.93</v>
      </c>
    </row>
    <row r="24" spans="1:19">
      <c r="A24" s="138"/>
      <c r="B24" s="115" t="s">
        <v>226</v>
      </c>
      <c r="C24" s="139"/>
      <c r="D24" s="111">
        <f>ROUND($D$3*E24/$E$3,2)</f>
        <v>0</v>
      </c>
      <c r="E24" s="134">
        <f>SUM(F24:G24)</f>
        <v>0</v>
      </c>
      <c r="F24" s="140"/>
      <c r="G24" s="1366"/>
      <c r="H24" s="972">
        <f>ROUND($D$3*I24/$E$3,2)</f>
        <v>0</v>
      </c>
      <c r="I24" s="116">
        <f t="shared" si="7"/>
        <v>0</v>
      </c>
      <c r="J24" s="1981"/>
      <c r="K24" s="2629">
        <f t="shared" si="3"/>
        <v>0</v>
      </c>
      <c r="L24" s="273">
        <f>ROUND(IF(COUNTIF(C24,"*住宅*")&gt;0,E$29*E24/E$32,0),2)</f>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385746.17000000004</v>
      </c>
      <c r="E27" s="143">
        <f>IF(SUM(E19:E26)='数据-基础表'!BA5,SUM(E19:E26),IF(F27="地上面积有误","面积有误","地下面积有误"))</f>
        <v>420315.81</v>
      </c>
      <c r="F27" s="134">
        <f>IF(SUM(F19:F26)=E8,SUM(F19:F26),"地上面积有误")</f>
        <v>335564.39</v>
      </c>
      <c r="G27" s="112">
        <f>SUM(G19:G26)</f>
        <v>84751.42</v>
      </c>
      <c r="H27" s="973">
        <f>SUM(H19:H26)</f>
        <v>24448.43</v>
      </c>
      <c r="I27" s="974">
        <f>SUM(I19:I26)</f>
        <v>26639.440000000002</v>
      </c>
      <c r="J27" s="1981"/>
      <c r="K27" s="2638">
        <f>SUM(K19:K26)</f>
        <v>26639.440000000002</v>
      </c>
      <c r="L27" s="2639">
        <f>SUM(L19:L26)</f>
        <v>0</v>
      </c>
      <c r="M27" s="2640">
        <f>SUM(M19:M26)</f>
        <v>26639.440000000002</v>
      </c>
      <c r="N27" s="2638">
        <f t="shared" ref="N27:O27" si="10">SUM(N19:N26)</f>
        <v>0</v>
      </c>
      <c r="O27" s="2639">
        <f t="shared" si="10"/>
        <v>0</v>
      </c>
      <c r="P27" s="2641">
        <f>SUM(P19:P26)</f>
        <v>0</v>
      </c>
      <c r="R27" s="2302" t="str">
        <f>IF(SUM(R19:R26)=$D$3,SUM(R19:R26),SUM(R19:R26)&amp;"误差"&amp;ROUND(SUM(R19:R26)-$D$3,2))</f>
        <v>410194.6误差-0.02</v>
      </c>
      <c r="S27" s="273" t="str">
        <f>IF(SUM(S19:S26)=$E$3,SUM(S19:S26),SUM(S19:S26)&amp;"误差"&amp;ROUND(SUM(S19:S26)-E3,2))</f>
        <v>446955.25误差-0.01</v>
      </c>
    </row>
    <row r="28" spans="1:19">
      <c r="A28" s="138"/>
      <c r="B28" s="115" t="s">
        <v>227</v>
      </c>
      <c r="C28" s="136" t="s">
        <v>228</v>
      </c>
      <c r="D28" s="111">
        <f>ROUND($D$3*E28/$E$3,2)</f>
        <v>24448.44</v>
      </c>
      <c r="E28" s="134">
        <f>SUM(F28:G28)</f>
        <v>26639.45</v>
      </c>
      <c r="F28" s="144">
        <f>'数据-基础表'!BQ5+'数据-基础表'!BS5</f>
        <v>15953</v>
      </c>
      <c r="G28" s="145">
        <f>'数据-基础表'!BR5+'数据-基础表'!BT5</f>
        <v>10686.45</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24448.44</v>
      </c>
      <c r="E30" s="134">
        <f>SUM(E28:E29)</f>
        <v>26639.45</v>
      </c>
      <c r="F30" s="134">
        <f>SUM(F28:F29)</f>
        <v>15953</v>
      </c>
      <c r="G30" s="112">
        <f>SUM(G28:G29)</f>
        <v>10686.45</v>
      </c>
      <c r="H30" s="1981"/>
      <c r="I30" s="1981"/>
      <c r="J30" s="1981"/>
      <c r="K30" s="1981"/>
      <c r="L30" s="1981"/>
    </row>
    <row r="31" spans="1:19" ht="32.25" customHeight="1" thickBot="1">
      <c r="A31" s="1367"/>
      <c r="B31" s="1368" t="s">
        <v>229</v>
      </c>
      <c r="C31" s="2327" t="s">
        <v>2324</v>
      </c>
      <c r="D31" s="1369">
        <f>D27+D30</f>
        <v>410194.61000000004</v>
      </c>
      <c r="E31" s="1369">
        <f>E27+E30</f>
        <v>446955.26</v>
      </c>
      <c r="F31" s="1370">
        <f>F27+F30</f>
        <v>351517.39</v>
      </c>
      <c r="G31" s="1371">
        <f>G27+G30</f>
        <v>95437.87</v>
      </c>
      <c r="H31" s="1981"/>
      <c r="I31" s="1981"/>
      <c r="J31" s="1981"/>
      <c r="K31" s="1981"/>
      <c r="L31" s="1981"/>
    </row>
    <row r="32" spans="1:19">
      <c r="A32" s="1981"/>
      <c r="B32" s="2360" t="s">
        <v>2323</v>
      </c>
      <c r="C32" s="2668"/>
      <c r="D32" s="1199"/>
      <c r="E32" s="1199">
        <f>SUMIF(C19:C26,"*住宅*",E19:E26)</f>
        <v>152691.87</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901" t="str">
        <f>项目基本情况!B1</f>
        <v>四川省成都市都江堰市中兴镇新益村一、五、七、八组510181016002GB00012号一宗住宅、商业用地出让国有建设用地使用权抵押价格预评估</v>
      </c>
      <c r="C37" s="3901"/>
      <c r="D37" s="3901"/>
      <c r="E37" s="3901"/>
      <c r="F37" s="3901"/>
      <c r="G37" s="3901"/>
      <c r="H37" s="3901"/>
      <c r="I37" s="3901"/>
    </row>
    <row r="38" spans="1:9">
      <c r="A38" s="1653"/>
      <c r="B38" s="1653"/>
    </row>
    <row r="39" spans="1:9">
      <c r="A39" s="1651" t="s">
        <v>1901</v>
      </c>
      <c r="B39" s="1651" t="s">
        <v>2048</v>
      </c>
    </row>
    <row r="40" spans="1:9">
      <c r="A40" s="1651"/>
      <c r="B40" s="1651" t="str">
        <f>项目基本情况!B5</f>
        <v>中信信托有限责任公司</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ht="12.75">
      <c r="B46" s="1651" t="str">
        <f>项目基本情况!K4</f>
        <v>王鹏、郑燚</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E37" sqref="E3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43251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2"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酒店</v>
      </c>
      <c r="B6" s="2334" t="str">
        <f>IF(A6=0,"","经营性")</f>
        <v>经营性</v>
      </c>
      <c r="C6" s="173" t="s">
        <v>2976</v>
      </c>
      <c r="D6" s="2305">
        <f>SUMIF(项目基本情况!D$15:I$15,C6,项目基本情况!D$18:I$18)</f>
        <v>40</v>
      </c>
      <c r="E6" s="2306">
        <f>IF(B6="","",SUMIF(项目基本情况!D$15:I$15,C6,项目基本情况!D$17:I$17))</f>
        <v>55580</v>
      </c>
      <c r="F6" s="174">
        <f>SUMIF(项目基本情况!D$15:I$15,C6,项目基本情况!D$19:I$19)</f>
        <v>33.770000000000003</v>
      </c>
      <c r="G6" s="175">
        <f>IF(ISERROR(ROUND(POWER(1+H6,D6-F6)*(POWER(1+H6,F6)-1)/(POWER(1+H6,D6)-1),3)),0,ROUND(POWER(1+H6,D6-F6)*(POWER(1+H6,F6)-1)/(POWER(1+H6,D6)-1),3))</f>
        <v>0.94099999999999995</v>
      </c>
      <c r="H6" s="3045">
        <v>0.05</v>
      </c>
      <c r="I6" s="3045">
        <v>5.5E-2</v>
      </c>
      <c r="J6" s="176">
        <v>8.5000000000000006E-2</v>
      </c>
      <c r="K6" s="179">
        <f>SUMIF('数据-汇总表'!C$19:C$33,'数据-取费表'!A6,'数据-汇总表'!E$19:E$33)</f>
        <v>46645.67</v>
      </c>
      <c r="L6" s="3046">
        <v>8000</v>
      </c>
      <c r="M6" s="177">
        <f t="shared" ref="M6:M14" si="0">ROUND(K6*L6/10000,0)</f>
        <v>37317</v>
      </c>
      <c r="N6" s="3047">
        <v>0</v>
      </c>
      <c r="O6" s="177">
        <f>IF($N$5="成新度","——",ROUND(M6*N6,0))</f>
        <v>0</v>
      </c>
      <c r="P6" s="178">
        <f>IF($N$5="成新度","——",M6-O6)</f>
        <v>37317</v>
      </c>
      <c r="Q6" s="3048">
        <v>0.15</v>
      </c>
      <c r="R6" s="179">
        <f>SUMIF('数据-汇总表'!C$19:C$33,A6,'数据-汇总表'!R$19:R$33)</f>
        <v>45522.44</v>
      </c>
      <c r="S6" s="132">
        <f>IF('数据-汇总表'!$I$17="按面积比例",SUMIF('数据-汇总表'!C$19:C$33,A6,'数据-汇总表'!K$19:K$33),SUMIF('数据-汇总表'!C$19:C$33,A6,'数据-汇总表'!N$19:N$33))</f>
        <v>2956.38</v>
      </c>
      <c r="T6" s="2231">
        <f>IF($T$4="按面积比例",IF(ISERROR(ROUND($M$14*S6/S$16,0)),"0",ROUND($M$14*S6/S$16,0)),"需自行计算录入")</f>
        <v>532</v>
      </c>
      <c r="U6" s="180">
        <v>4.5</v>
      </c>
      <c r="V6" s="181">
        <v>3.5000000000000003E-2</v>
      </c>
      <c r="W6" s="181">
        <v>0.2</v>
      </c>
      <c r="X6" s="2318"/>
      <c r="Y6" s="182">
        <v>1</v>
      </c>
      <c r="Z6" s="183"/>
      <c r="AA6" s="176"/>
      <c r="AB6" s="176"/>
      <c r="AC6" s="2321"/>
      <c r="AD6" s="184"/>
      <c r="AE6" s="970">
        <f ca="1">IF(AN6="",0,SUMIF(INDIRECT("'"&amp;AN6&amp;"'"&amp;"!E:E"),$AE$5,INDIRECT("'"&amp;AN6&amp;"'"&amp;"!F:F")))</f>
        <v>30.270000000000003</v>
      </c>
      <c r="AF6" s="141"/>
      <c r="AG6" s="1211">
        <f>IF(AF6="",0,AE6-AF6)</f>
        <v>0</v>
      </c>
      <c r="AH6" s="141"/>
      <c r="AI6" s="187">
        <v>365</v>
      </c>
      <c r="AJ6" s="188"/>
      <c r="AK6" s="189">
        <v>1.4999999999999999E-2</v>
      </c>
      <c r="AL6" s="190">
        <v>1.5E-3</v>
      </c>
      <c r="AM6" s="3059">
        <v>0.03</v>
      </c>
      <c r="AN6" s="2413" t="s">
        <v>4413</v>
      </c>
      <c r="AO6" s="1997"/>
      <c r="AP6" s="1202">
        <f>ROUND(1-1/(1+H6)^F6,3)</f>
        <v>0.80700000000000005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公寓</v>
      </c>
      <c r="B7" s="2334" t="str">
        <f t="shared" ref="B7:B13" si="1">IF(A7=0,"","经营性")</f>
        <v>经营性</v>
      </c>
      <c r="C7" s="173" t="s">
        <v>2976</v>
      </c>
      <c r="D7" s="2305">
        <f>SUMIF(项目基本情况!D$15:I$15,C7,项目基本情况!D$18:I$18)</f>
        <v>40</v>
      </c>
      <c r="E7" s="2306">
        <f>IF(B7="","",SUMIF(项目基本情况!D$15:I$15,C7,项目基本情况!D$17:I$17))</f>
        <v>55580</v>
      </c>
      <c r="F7" s="174">
        <f>SUMIF(项目基本情况!D$15:I$15,C7,项目基本情况!D$19:I$19)</f>
        <v>33.770000000000003</v>
      </c>
      <c r="G7" s="175">
        <f t="shared" ref="G7:G11" si="2">IF(ISERROR(ROUND(POWER(1+H7,D7-F7)*(POWER(1+H7,F7)-1)/(POWER(1+H7,D7)-1),3)),0,ROUND(POWER(1+H7,D7-F7)*(POWER(1+H7,F7)-1)/(POWER(1+H7,D7)-1),3))</f>
        <v>0.94099999999999995</v>
      </c>
      <c r="H7" s="3045">
        <v>0.05</v>
      </c>
      <c r="I7" s="3045">
        <v>5.5E-2</v>
      </c>
      <c r="J7" s="176">
        <v>8.5000000000000006E-2</v>
      </c>
      <c r="K7" s="179">
        <f>SUMIF('数据-汇总表'!C$19:C$33,'数据-取费表'!A7,'数据-汇总表'!E$19:E$33)</f>
        <v>121226.54</v>
      </c>
      <c r="L7" s="3046">
        <v>2800</v>
      </c>
      <c r="M7" s="177">
        <f t="shared" si="0"/>
        <v>33943</v>
      </c>
      <c r="N7" s="3047">
        <v>0</v>
      </c>
      <c r="O7" s="177">
        <f t="shared" ref="O7:O14" si="3">IF($N$5="成新度","——",ROUND(M7*N7,0))</f>
        <v>0</v>
      </c>
      <c r="P7" s="178">
        <f t="shared" ref="P7:P14" si="4">IF($N$5="成新度","——",M7-O7)</f>
        <v>33943</v>
      </c>
      <c r="Q7" s="3048">
        <v>0.15</v>
      </c>
      <c r="R7" s="179">
        <f>SUMIF('数据-汇总表'!C$19:C$33,A7,'数据-汇总表'!R$19:R$33)</f>
        <v>118307.4</v>
      </c>
      <c r="S7" s="132">
        <f>IF('数据-汇总表'!$I$17="按面积比例",SUMIF('数据-汇总表'!C$19:C$33,A7,'数据-汇总表'!K$19:K$33),SUMIF('数据-汇总表'!C$19:C$33,A7,'数据-汇总表'!N$19:N$33))</f>
        <v>7683.29</v>
      </c>
      <c r="T7" s="2231">
        <f t="shared" ref="T7:T13" si="5">IF($T$4="按面积比例",IF(ISERROR(ROUND($M$14*S7/S$16,0)),"0",ROUND($M$14*S7/S$16,0)),"需自行计算录入")</f>
        <v>1383</v>
      </c>
      <c r="U7" s="180">
        <v>2.2000000000000002</v>
      </c>
      <c r="V7" s="181">
        <v>3.5000000000000003E-2</v>
      </c>
      <c r="W7" s="181">
        <v>0.1</v>
      </c>
      <c r="X7" s="2318"/>
      <c r="Y7" s="182">
        <v>1</v>
      </c>
      <c r="Z7" s="183"/>
      <c r="AA7" s="176"/>
      <c r="AB7" s="176"/>
      <c r="AC7" s="2321"/>
      <c r="AD7" s="184"/>
      <c r="AE7" s="970">
        <f t="shared" ref="AE7:AE13" ca="1" si="6">IF(AN7="",0,SUMIF(INDIRECT("'"&amp;AN7&amp;"'"&amp;"!E:E"),$AE$5,INDIRECT("'"&amp;AN7&amp;"'"&amp;"!F:F")))</f>
        <v>30.270000000000003</v>
      </c>
      <c r="AF7" s="141"/>
      <c r="AG7" s="1211">
        <f t="shared" ref="AG7:AG13" si="7">IF(AF7="",0,AE7-AF7)</f>
        <v>0</v>
      </c>
      <c r="AH7" s="141"/>
      <c r="AI7" s="187">
        <v>365</v>
      </c>
      <c r="AJ7" s="188"/>
      <c r="AK7" s="189">
        <v>1.4999999999999999E-2</v>
      </c>
      <c r="AL7" s="190">
        <v>1.5E-3</v>
      </c>
      <c r="AM7" s="2411">
        <v>0.01</v>
      </c>
      <c r="AN7" s="2413" t="s">
        <v>4377</v>
      </c>
      <c r="AO7" s="1997"/>
      <c r="AP7" s="1202">
        <f t="shared" ref="AP7:AP13" si="8">ROUND(1-1/(1+H7)^F7,3)</f>
        <v>0.80700000000000005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商业</v>
      </c>
      <c r="B8" s="2334" t="str">
        <f t="shared" si="1"/>
        <v>经营性</v>
      </c>
      <c r="C8" s="173" t="s">
        <v>2976</v>
      </c>
      <c r="D8" s="2305">
        <f>SUMIF(项目基本情况!D$15:I$15,C8,项目基本情况!D$18:I$18)</f>
        <v>40</v>
      </c>
      <c r="E8" s="2306">
        <f>IF(B8="","",SUMIF(项目基本情况!D$15:I$15,C8,项目基本情况!D$17:I$17))</f>
        <v>55580</v>
      </c>
      <c r="F8" s="174">
        <f>SUMIF(项目基本情况!D$15:I$15,C8,项目基本情况!D$19:I$19)</f>
        <v>33.770000000000003</v>
      </c>
      <c r="G8" s="175">
        <f t="shared" si="2"/>
        <v>0.94099999999999995</v>
      </c>
      <c r="H8" s="3045">
        <v>0.05</v>
      </c>
      <c r="I8" s="3045">
        <v>5.5E-2</v>
      </c>
      <c r="J8" s="176">
        <v>8.5000000000000006E-2</v>
      </c>
      <c r="K8" s="179">
        <f>SUMIF('数据-汇总表'!C$19:C$33,'数据-取费表'!A8,'数据-汇总表'!E$19:E$33)</f>
        <v>15000.31</v>
      </c>
      <c r="L8" s="3046">
        <v>2000</v>
      </c>
      <c r="M8" s="177">
        <f>ROUND(K8*L8/10000,0)</f>
        <v>3000</v>
      </c>
      <c r="N8" s="3047">
        <v>0</v>
      </c>
      <c r="O8" s="177">
        <f t="shared" si="3"/>
        <v>0</v>
      </c>
      <c r="P8" s="178">
        <f t="shared" si="4"/>
        <v>3000</v>
      </c>
      <c r="Q8" s="3048">
        <v>0.25</v>
      </c>
      <c r="R8" s="179">
        <f>SUMIF('数据-汇总表'!C$19:C$33,A8,'数据-汇总表'!R$19:R$33)</f>
        <v>14639.1</v>
      </c>
      <c r="S8" s="132">
        <f>IF('数据-汇总表'!$I$17="按面积比例",SUMIF('数据-汇总表'!C$19:C$33,A8,'数据-汇总表'!K$19:K$33),SUMIF('数据-汇总表'!C$19:C$33,A8,'数据-汇总表'!N$19:N$33))</f>
        <v>950.71</v>
      </c>
      <c r="T8" s="2231">
        <f t="shared" si="5"/>
        <v>171</v>
      </c>
      <c r="U8" s="180">
        <v>2.6</v>
      </c>
      <c r="V8" s="181">
        <v>3.5000000000000003E-2</v>
      </c>
      <c r="W8" s="181">
        <v>0.1</v>
      </c>
      <c r="X8" s="2318"/>
      <c r="Y8" s="182">
        <v>1</v>
      </c>
      <c r="Z8" s="183"/>
      <c r="AA8" s="176"/>
      <c r="AB8" s="176"/>
      <c r="AC8" s="2321"/>
      <c r="AD8" s="184"/>
      <c r="AE8" s="970">
        <f t="shared" ca="1" si="6"/>
        <v>30.270000000000003</v>
      </c>
      <c r="AF8" s="141"/>
      <c r="AG8" s="1211">
        <f t="shared" si="7"/>
        <v>0</v>
      </c>
      <c r="AH8" s="141"/>
      <c r="AI8" s="187">
        <v>365</v>
      </c>
      <c r="AJ8" s="188"/>
      <c r="AK8" s="189">
        <v>1.4999999999999999E-2</v>
      </c>
      <c r="AL8" s="190">
        <v>1.5E-3</v>
      </c>
      <c r="AM8" s="2411">
        <v>0.01</v>
      </c>
      <c r="AN8" s="2413" t="s">
        <v>4379</v>
      </c>
      <c r="AO8" s="1997"/>
      <c r="AP8" s="1202">
        <f t="shared" si="8"/>
        <v>0.80700000000000005</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住宅</v>
      </c>
      <c r="B9" s="2334" t="str">
        <f t="shared" si="1"/>
        <v>经营性</v>
      </c>
      <c r="C9" s="173" t="s">
        <v>922</v>
      </c>
      <c r="D9" s="2305">
        <f>SUMIF(项目基本情况!D$15:I$15,C9,项目基本情况!D$18:I$18)</f>
        <v>70</v>
      </c>
      <c r="E9" s="2306">
        <f>IF(B9="","",SUMIF(项目基本情况!D$15:I$15,C9,项目基本情况!D$17:I$17))</f>
        <v>66537</v>
      </c>
      <c r="F9" s="174">
        <f>SUMIF(项目基本情况!D$15:I$15,C9,项目基本情况!D$19:I$19)</f>
        <v>63.79</v>
      </c>
      <c r="G9" s="175">
        <f t="shared" si="2"/>
        <v>0.98499999999999999</v>
      </c>
      <c r="H9" s="176">
        <v>4.4999999999999998E-2</v>
      </c>
      <c r="I9" s="176">
        <v>0.05</v>
      </c>
      <c r="J9" s="176">
        <v>8.5000000000000006E-2</v>
      </c>
      <c r="K9" s="179">
        <f>SUMIF('数据-汇总表'!C$19:C$33,'数据-取费表'!A9,'数据-汇总表'!E$19:E$33)</f>
        <v>152691.87</v>
      </c>
      <c r="L9" s="193">
        <v>1800</v>
      </c>
      <c r="M9" s="177">
        <f t="shared" si="0"/>
        <v>27485</v>
      </c>
      <c r="N9" s="194">
        <v>0</v>
      </c>
      <c r="O9" s="177">
        <f t="shared" si="3"/>
        <v>0</v>
      </c>
      <c r="P9" s="178">
        <f t="shared" si="4"/>
        <v>27485</v>
      </c>
      <c r="Q9" s="192">
        <v>0.15</v>
      </c>
      <c r="R9" s="179">
        <f>SUMIF('数据-汇总表'!C$19:C$33,A9,'数据-汇总表'!R$19:R$33)</f>
        <v>149015.05000000002</v>
      </c>
      <c r="S9" s="132">
        <f>IF('数据-汇总表'!$I$17="按面积比例",SUMIF('数据-汇总表'!C$19:C$33,A9,'数据-汇总表'!K$19:K$33),SUMIF('数据-汇总表'!C$19:C$33,A9,'数据-汇总表'!N$19:N$33))</f>
        <v>9677.5499999999993</v>
      </c>
      <c r="T9" s="2231">
        <f t="shared" si="5"/>
        <v>1742</v>
      </c>
      <c r="U9" s="1997"/>
      <c r="V9" s="1997"/>
      <c r="W9" s="1997"/>
      <c r="X9" s="2318"/>
      <c r="Y9" s="182"/>
      <c r="Z9" s="183"/>
      <c r="AA9" s="176"/>
      <c r="AB9" s="176"/>
      <c r="AC9" s="2321"/>
      <c r="AD9" s="184"/>
      <c r="AE9" s="970">
        <f ca="1">IF(AN9="",0,SUMIF(INDIRECT("'"&amp;AN9&amp;"'"&amp;"!E:E"),$AE$5,INDIRECT("'"&amp;AN9&amp;"'"&amp;"!F:F")))</f>
        <v>0</v>
      </c>
      <c r="AF9" s="141"/>
      <c r="AG9" s="1211">
        <f t="shared" si="7"/>
        <v>0</v>
      </c>
      <c r="AH9" s="141"/>
      <c r="AI9" s="187"/>
      <c r="AJ9" s="188"/>
      <c r="AK9" s="189"/>
      <c r="AL9" s="190"/>
      <c r="AM9" s="2411"/>
      <c r="AN9" s="2413"/>
      <c r="AO9" s="1997"/>
      <c r="AP9" s="1202">
        <f t="shared" si="8"/>
        <v>0.94</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3" t="s">
        <v>2996</v>
      </c>
      <c r="D10" s="2305">
        <f>SUMIF(项目基本情况!D$15:I$15,C10,项目基本情况!D$18:I$18)</f>
        <v>50</v>
      </c>
      <c r="E10" s="2306">
        <f>IF(B10="","",SUMIF(项目基本情况!D$15:I$15,C10,项目基本情况!D$17:I$17))</f>
        <v>59232</v>
      </c>
      <c r="F10" s="174">
        <f>SUMIF(项目基本情况!D$15:I$15,C10,项目基本情况!D$19:I$19)</f>
        <v>43.78</v>
      </c>
      <c r="G10" s="175">
        <f t="shared" si="2"/>
        <v>0.96099999999999997</v>
      </c>
      <c r="H10" s="176">
        <v>4.4999999999999998E-2</v>
      </c>
      <c r="I10" s="176">
        <v>0.05</v>
      </c>
      <c r="J10" s="176">
        <v>8.5000000000000006E-2</v>
      </c>
      <c r="K10" s="179">
        <f>SUMIF('数据-汇总表'!C$19:C$33,'数据-取费表'!A10,'数据-汇总表'!E$19:E$33)</f>
        <v>84751.42</v>
      </c>
      <c r="L10" s="193">
        <v>1800</v>
      </c>
      <c r="M10" s="177">
        <f t="shared" si="0"/>
        <v>15255</v>
      </c>
      <c r="N10" s="194">
        <v>0</v>
      </c>
      <c r="O10" s="177">
        <f t="shared" si="3"/>
        <v>0</v>
      </c>
      <c r="P10" s="178">
        <f t="shared" si="4"/>
        <v>15255</v>
      </c>
      <c r="Q10" s="192">
        <v>0.03</v>
      </c>
      <c r="R10" s="179">
        <f>SUMIF('数据-汇总表'!C$19:C$33,A10,'数据-汇总表'!R$19:R$33)</f>
        <v>82710.61</v>
      </c>
      <c r="S10" s="132">
        <f>IF('数据-汇总表'!$I$17="按面积比例",SUMIF('数据-汇总表'!C$19:C$33,A10,'数据-汇总表'!K$19:K$33),SUMIF('数据-汇总表'!C$19:C$33,A10,'数据-汇总表'!N$19:N$33))</f>
        <v>5371.51</v>
      </c>
      <c r="T10" s="2231">
        <f t="shared" si="5"/>
        <v>967</v>
      </c>
      <c r="U10" s="180">
        <v>0.6</v>
      </c>
      <c r="V10" s="181">
        <v>0.03</v>
      </c>
      <c r="W10" s="181">
        <v>0.1</v>
      </c>
      <c r="X10" s="2318"/>
      <c r="Y10" s="182">
        <v>1</v>
      </c>
      <c r="Z10" s="183"/>
      <c r="AA10" s="176"/>
      <c r="AB10" s="176"/>
      <c r="AC10" s="2321"/>
      <c r="AD10" s="184"/>
      <c r="AE10" s="970">
        <f ca="1">IF(AN10="",0,SUMIF(INDIRECT("'"&amp;AN10&amp;"'"&amp;"!E:E"),$AE$5,INDIRECT("'"&amp;AN10&amp;"'"&amp;"!F:F")))</f>
        <v>40.28</v>
      </c>
      <c r="AF10" s="141"/>
      <c r="AG10" s="1211">
        <f t="shared" si="7"/>
        <v>0</v>
      </c>
      <c r="AH10" s="141"/>
      <c r="AI10" s="187">
        <v>365</v>
      </c>
      <c r="AJ10" s="188"/>
      <c r="AK10" s="189">
        <v>1.4999999999999999E-2</v>
      </c>
      <c r="AL10" s="190">
        <v>1.5E-3</v>
      </c>
      <c r="AM10" s="2411">
        <v>0.01</v>
      </c>
      <c r="AN10" s="2413" t="s">
        <v>4414</v>
      </c>
      <c r="AO10" s="1997"/>
      <c r="AP10" s="1202">
        <f t="shared" si="8"/>
        <v>0.85399999999999998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1679</v>
      </c>
      <c r="C14" s="2304" t="s">
        <v>2316</v>
      </c>
      <c r="D14" s="2305"/>
      <c r="E14" s="2306"/>
      <c r="F14" s="174"/>
      <c r="G14" s="175"/>
      <c r="H14" s="2307"/>
      <c r="I14" s="2307"/>
      <c r="J14" s="2307"/>
      <c r="K14" s="179">
        <f>SUMIF('数据-汇总表'!C$19:C$33,'数据-取费表'!A14,'数据-汇总表'!E$19:E$33)</f>
        <v>26639.45</v>
      </c>
      <c r="L14" s="193">
        <v>1800</v>
      </c>
      <c r="M14" s="177">
        <f t="shared" si="0"/>
        <v>4795</v>
      </c>
      <c r="N14" s="194">
        <v>0</v>
      </c>
      <c r="O14" s="177">
        <f t="shared" si="3"/>
        <v>0</v>
      </c>
      <c r="P14" s="178">
        <f t="shared" si="4"/>
        <v>4795</v>
      </c>
      <c r="Q14" s="2315"/>
      <c r="R14" s="179"/>
      <c r="S14" s="132"/>
      <c r="T14" s="2314"/>
      <c r="U14" s="972"/>
      <c r="V14" s="2317"/>
      <c r="W14" s="2317"/>
      <c r="X14" s="2318"/>
      <c r="Y14" s="2319"/>
      <c r="Z14" s="136"/>
      <c r="AA14" s="2320"/>
      <c r="AB14" s="2320"/>
      <c r="AC14" s="2321"/>
      <c r="AD14" s="2318"/>
      <c r="AE14" s="970"/>
      <c r="AF14" s="2293"/>
      <c r="AG14" s="1211"/>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0.96099999999999997</v>
      </c>
      <c r="H16" s="203">
        <f>ROUND(SUMPRODUCT(H6:H13,K6:K13)/SUMPRODUCT((H6:H13&gt;0)*(K6:K13)),3)</f>
        <v>4.7E-2</v>
      </c>
      <c r="I16" s="204"/>
      <c r="J16" s="204"/>
      <c r="K16" s="205">
        <f>SUM(K6:K15)</f>
        <v>446955.26</v>
      </c>
      <c r="L16" s="206">
        <f>ROUND(M16*10000/SUM(K6:K14),0)</f>
        <v>2725</v>
      </c>
      <c r="M16" s="206">
        <f>SUM(M6:M14)</f>
        <v>121795</v>
      </c>
      <c r="N16" s="207">
        <f>ROUND(SUMPRODUCT(M6:M14,N6:N14)/M16,3)</f>
        <v>0</v>
      </c>
      <c r="O16" s="206">
        <f>SUM(O6:O14)</f>
        <v>0</v>
      </c>
      <c r="P16" s="206">
        <f>SUM(P6:P14)</f>
        <v>121795</v>
      </c>
      <c r="Q16" s="208">
        <f>ROUND(SUMPRODUCT(Q6:Q13,K6:K13)/SUMPRODUCT((Q6:Q13&gt;0)*(K6:K13)),2)</f>
        <v>0.13</v>
      </c>
      <c r="R16" s="2308">
        <f>SUM(R6:R13)</f>
        <v>410194.6</v>
      </c>
      <c r="S16" s="209">
        <f>SUM(S6:S13)</f>
        <v>26639.440000000002</v>
      </c>
      <c r="T16" s="210">
        <f>IF(SUMIF(T6:T13,"&lt;9E307")=M14,SUMIF(T6:T13,"&lt;9E307"),"有误，请检查")</f>
        <v>4795</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0.86499999999999999</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t="s">
        <v>3012</v>
      </c>
      <c r="M18"/>
      <c r="N18"/>
      <c r="O18"/>
      <c r="P18"/>
      <c r="Q18"/>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ustomHeight="1">
      <c r="A19" s="217" t="s">
        <v>264</v>
      </c>
      <c r="B19" s="218">
        <v>0</v>
      </c>
      <c r="C19" s="2361" t="s">
        <v>2336</v>
      </c>
      <c r="D19" s="1990"/>
      <c r="E19" s="1989"/>
      <c r="F19" s="1989"/>
      <c r="G19" s="1989"/>
      <c r="H19" s="1989"/>
      <c r="I19" s="1989"/>
      <c r="J19" s="1989"/>
      <c r="K19" s="1988"/>
      <c r="L19" t="s">
        <v>3013</v>
      </c>
      <c r="M19" t="s">
        <v>3014</v>
      </c>
      <c r="N19"/>
      <c r="O19"/>
      <c r="P19" t="s">
        <v>3015</v>
      </c>
      <c r="Q19"/>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2335</v>
      </c>
      <c r="D20" s="1990"/>
      <c r="E20" s="1989"/>
      <c r="F20" s="1989"/>
      <c r="G20" s="1989"/>
      <c r="H20" s="1989"/>
      <c r="I20" s="1989"/>
      <c r="J20" s="1989"/>
      <c r="K20" s="1988"/>
      <c r="L20"/>
      <c r="M20" t="s">
        <v>3016</v>
      </c>
      <c r="N20" t="s">
        <v>3017</v>
      </c>
      <c r="O20" t="s">
        <v>3018</v>
      </c>
      <c r="P20"/>
      <c r="Q20"/>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t="s">
        <v>3019</v>
      </c>
      <c r="M21" t="s">
        <v>3020</v>
      </c>
      <c r="N21" t="s">
        <v>3021</v>
      </c>
      <c r="O21" t="s">
        <v>3022</v>
      </c>
      <c r="P21"/>
      <c r="Q21"/>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3459"/>
      <c r="M22" s="3460"/>
      <c r="N22" s="3460"/>
      <c r="O22" s="3460"/>
      <c r="P22" s="3460" t="s">
        <v>4420</v>
      </c>
      <c r="Q22" s="3460"/>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ustomHeight="1">
      <c r="A23" s="221" t="s">
        <v>268</v>
      </c>
      <c r="B23" s="222">
        <f>B19+B21</f>
        <v>0</v>
      </c>
      <c r="C23" s="1989"/>
      <c r="D23" s="1990"/>
      <c r="E23" s="1989"/>
      <c r="F23" s="1989"/>
      <c r="G23" s="1989"/>
      <c r="H23" s="1989"/>
      <c r="I23" s="1989"/>
      <c r="J23" s="1989"/>
      <c r="K23" s="1988"/>
      <c r="L23" s="3459"/>
      <c r="M23" s="3460"/>
      <c r="N23" s="3460"/>
      <c r="O23" s="3460"/>
      <c r="P23" s="3460" t="s">
        <v>4421</v>
      </c>
      <c r="Q23" s="3460"/>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customHeight="1" thickBot="1">
      <c r="A24" s="223" t="s">
        <v>269</v>
      </c>
      <c r="B24" s="224">
        <f>B20-B21</f>
        <v>3.5</v>
      </c>
      <c r="C24" s="1989"/>
      <c r="D24" s="1990"/>
      <c r="E24" s="1989"/>
      <c r="F24" s="1989"/>
      <c r="G24" s="1989"/>
      <c r="H24" s="1989"/>
      <c r="I24" s="1989"/>
      <c r="J24" s="1989"/>
      <c r="K24" s="1988"/>
      <c r="L24" s="3459"/>
      <c r="M24" s="3460"/>
      <c r="N24" s="3460"/>
      <c r="O24" s="3460"/>
      <c r="P24" s="3460"/>
      <c r="Q24" s="3460"/>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customHeight="1"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2338</v>
      </c>
      <c r="B27" s="227">
        <v>120</v>
      </c>
      <c r="C27" s="3094" t="s">
        <v>3011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ustomHeight="1">
      <c r="A28" s="228" t="s">
        <v>2339</v>
      </c>
      <c r="B28" s="229">
        <v>120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2337</v>
      </c>
      <c r="B29" s="232">
        <v>0</v>
      </c>
      <c r="C29" s="1549"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ustomHeight="1">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6">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customHeight="1" thickBot="1">
      <c r="A36" s="231" t="s">
        <v>277</v>
      </c>
      <c r="B36" s="234">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customHeight="1" thickBot="1">
      <c r="A40" s="2510" t="s">
        <v>2457</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ustomHeight="1">
      <c r="A42" s="977" t="s">
        <v>283</v>
      </c>
      <c r="B42" s="240">
        <v>0.05</v>
      </c>
      <c r="C42" s="3119">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ustomHeight="1">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ustomHeight="1">
      <c r="A44" s="239" t="s">
        <v>285</v>
      </c>
      <c r="B44" s="34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3443">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3443">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3444">
        <v>0</v>
      </c>
      <c r="C47" s="3094"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5"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5"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49" t="s">
        <v>1096</v>
      </c>
      <c r="C53" s="3096" t="s">
        <v>2900</v>
      </c>
      <c r="D53" s="3097" t="s">
        <v>2901</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9" t="s">
        <v>2902</v>
      </c>
      <c r="B54" s="186">
        <v>14</v>
      </c>
      <c r="C54" s="1991">
        <v>30</v>
      </c>
      <c r="D54" s="3098"/>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9" t="s">
        <v>2903</v>
      </c>
      <c r="B55" s="186"/>
      <c r="C55" s="1991">
        <v>24</v>
      </c>
      <c r="D55" s="3098"/>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9" t="s">
        <v>2904</v>
      </c>
      <c r="B56" s="186"/>
      <c r="C56" s="1991">
        <v>18</v>
      </c>
      <c r="D56" s="3098"/>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9" t="s">
        <v>2905</v>
      </c>
      <c r="B57" s="186"/>
      <c r="C57" s="1991">
        <v>12</v>
      </c>
      <c r="D57" s="3098"/>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9" t="s">
        <v>2906</v>
      </c>
      <c r="B58" s="186"/>
      <c r="C58" s="1991">
        <v>3</v>
      </c>
      <c r="D58" s="3098"/>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9" t="s">
        <v>2907</v>
      </c>
      <c r="B59" s="186"/>
      <c r="C59" s="1991">
        <v>1.5</v>
      </c>
      <c r="D59" s="3098"/>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9" t="s">
        <v>2908</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9" t="s">
        <v>2909</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9" t="s">
        <v>2910</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0" t="s">
        <v>2911</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4"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1" r:id="rId1" display="javascript:top.main.DataEdit('51',20);"/>
  </hyperlinks>
  <pageMargins left="0.7" right="0.7" top="0.75" bottom="0.75" header="0.3" footer="0.3"/>
  <pageSetup paperSize="9" scale="24" fitToHeight="0"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08"/>
  <sheetViews>
    <sheetView workbookViewId="0">
      <pane ySplit="5" topLeftCell="A6" activePane="bottomLeft" state="frozen"/>
      <selection activeCell="B1" sqref="B1"/>
      <selection pane="bottomLeft" activeCell="E12" sqref="E12"/>
    </sheetView>
  </sheetViews>
  <sheetFormatPr defaultRowHeight="13.5" outlineLevelRow="3"/>
  <cols>
    <col min="1" max="1" width="9" style="3405"/>
    <col min="2" max="2" width="31.375" style="3405" customWidth="1"/>
    <col min="3" max="3" width="33.25" style="3405" customWidth="1"/>
    <col min="4" max="4" width="9" style="3405"/>
    <col min="5" max="5" width="9.375" style="3405" customWidth="1"/>
    <col min="6" max="12" width="14.75" style="3405" customWidth="1"/>
    <col min="13" max="16384" width="9" style="3405"/>
  </cols>
  <sheetData>
    <row r="1" spans="1:13" s="3251" customFormat="1" ht="33" customHeight="1">
      <c r="A1" s="4064" t="s">
        <v>3649</v>
      </c>
      <c r="B1" s="4065"/>
      <c r="C1" s="4065"/>
      <c r="D1" s="4065"/>
      <c r="E1" s="4065"/>
      <c r="F1" s="4065"/>
      <c r="G1" s="4065"/>
      <c r="H1" s="4065"/>
      <c r="I1" s="4065"/>
      <c r="J1" s="4065"/>
      <c r="K1" s="4065"/>
      <c r="L1" s="4065"/>
      <c r="M1" s="4066"/>
    </row>
    <row r="2" spans="1:13" s="3251" customFormat="1" ht="15.75" customHeight="1">
      <c r="A2" s="4067" t="s">
        <v>3650</v>
      </c>
      <c r="B2" s="4067"/>
      <c r="C2" s="3252"/>
      <c r="D2" s="3253"/>
      <c r="E2" s="3253"/>
      <c r="F2" s="3253"/>
      <c r="G2" s="3253"/>
      <c r="H2" s="3254"/>
      <c r="I2" s="3254"/>
      <c r="J2" s="3254"/>
      <c r="K2" s="3254"/>
      <c r="L2" s="3254"/>
      <c r="M2" s="3255"/>
    </row>
    <row r="3" spans="1:13" s="3251" customFormat="1" ht="15.75" customHeight="1">
      <c r="A3" s="4067" t="s">
        <v>3651</v>
      </c>
      <c r="B3" s="4067"/>
      <c r="C3" s="3252"/>
      <c r="D3" s="3253"/>
      <c r="E3" s="3253"/>
      <c r="F3" s="3253"/>
      <c r="G3" s="3253"/>
      <c r="H3" s="3254"/>
      <c r="I3" s="3254"/>
      <c r="J3" s="3254"/>
      <c r="K3" s="3254"/>
      <c r="L3" s="3254"/>
      <c r="M3" s="3255"/>
    </row>
    <row r="4" spans="1:13" s="3251" customFormat="1" ht="15.75" customHeight="1">
      <c r="A4" s="4068" t="s">
        <v>3652</v>
      </c>
      <c r="B4" s="4068"/>
      <c r="C4" s="3252"/>
      <c r="D4" s="3253"/>
      <c r="E4" s="3253"/>
      <c r="F4" s="3253"/>
      <c r="G4" s="3256"/>
      <c r="H4" s="3256"/>
      <c r="I4" s="3257">
        <v>369886.73</v>
      </c>
      <c r="J4" s="3257">
        <v>294075.86</v>
      </c>
      <c r="K4" s="3257">
        <v>294075.86</v>
      </c>
      <c r="L4" s="3258"/>
      <c r="M4" s="3255"/>
    </row>
    <row r="5" spans="1:13" s="3251" customFormat="1" ht="36">
      <c r="A5" s="3259" t="s">
        <v>2375</v>
      </c>
      <c r="B5" s="3260" t="s">
        <v>3653</v>
      </c>
      <c r="C5" s="3261" t="s">
        <v>3654</v>
      </c>
      <c r="D5" s="3261" t="s">
        <v>3655</v>
      </c>
      <c r="E5" s="3261" t="s">
        <v>3656</v>
      </c>
      <c r="F5" s="3261" t="s">
        <v>3657</v>
      </c>
      <c r="G5" s="3261" t="s">
        <v>3658</v>
      </c>
      <c r="H5" s="3261" t="s">
        <v>3659</v>
      </c>
      <c r="I5" s="3261" t="s">
        <v>3660</v>
      </c>
      <c r="J5" s="3261" t="s">
        <v>3661</v>
      </c>
      <c r="K5" s="3261" t="s">
        <v>3662</v>
      </c>
      <c r="L5" s="3261" t="s">
        <v>3663</v>
      </c>
      <c r="M5" s="3261" t="s">
        <v>3664</v>
      </c>
    </row>
    <row r="6" spans="1:13" s="3251" customFormat="1" ht="31.5">
      <c r="A6" s="3262"/>
      <c r="B6" s="3263" t="s">
        <v>3665</v>
      </c>
      <c r="C6" s="3264"/>
      <c r="D6" s="3265"/>
      <c r="E6" s="3266"/>
      <c r="F6" s="3267"/>
      <c r="G6" s="3268">
        <v>422777.98945303331</v>
      </c>
      <c r="H6" s="3268"/>
      <c r="I6" s="3257">
        <v>11429.931250927368</v>
      </c>
      <c r="J6" s="3257">
        <v>14376.494196192551</v>
      </c>
      <c r="K6" s="3257">
        <v>14376.494196192551</v>
      </c>
      <c r="L6" s="3269"/>
      <c r="M6" s="3270"/>
    </row>
    <row r="7" spans="1:13" s="3277" customFormat="1" ht="28.5">
      <c r="A7" s="3271" t="s">
        <v>3666</v>
      </c>
      <c r="B7" s="3272" t="s">
        <v>3667</v>
      </c>
      <c r="C7" s="3273"/>
      <c r="D7" s="3274"/>
      <c r="E7" s="3266"/>
      <c r="F7" s="3267"/>
      <c r="G7" s="3268">
        <v>378495.71429471724</v>
      </c>
      <c r="H7" s="3268"/>
      <c r="I7" s="3257">
        <v>10232.74650309075</v>
      </c>
      <c r="J7" s="3257">
        <v>12870.682901164251</v>
      </c>
      <c r="K7" s="3257">
        <v>12870.682901164251</v>
      </c>
      <c r="L7" s="3275"/>
      <c r="M7" s="3276"/>
    </row>
    <row r="8" spans="1:13" s="3288" customFormat="1" ht="21" customHeight="1">
      <c r="A8" s="3278">
        <v>1</v>
      </c>
      <c r="B8" s="3279" t="s">
        <v>3668</v>
      </c>
      <c r="C8" s="3280" t="s">
        <v>3669</v>
      </c>
      <c r="D8" s="3281"/>
      <c r="E8" s="3282"/>
      <c r="F8" s="3283"/>
      <c r="G8" s="3284">
        <v>50901.856520054396</v>
      </c>
      <c r="H8" s="3285" t="s">
        <v>3670</v>
      </c>
      <c r="I8" s="3285">
        <v>1376.1471388836901</v>
      </c>
      <c r="J8" s="3285">
        <v>1730.9090423149453</v>
      </c>
      <c r="K8" s="3285">
        <v>1730.9090423149453</v>
      </c>
      <c r="L8" s="3286" t="s">
        <v>3671</v>
      </c>
      <c r="M8" s="3287"/>
    </row>
    <row r="9" spans="1:13" s="3251" customFormat="1" ht="23.25" customHeight="1" outlineLevel="1">
      <c r="A9" s="3289">
        <v>1.1000000000000001</v>
      </c>
      <c r="B9" s="3290" t="s">
        <v>3672</v>
      </c>
      <c r="C9" s="3291" t="s">
        <v>3673</v>
      </c>
      <c r="D9" s="3265" t="s">
        <v>3674</v>
      </c>
      <c r="E9" s="3292">
        <v>1</v>
      </c>
      <c r="F9" s="3268">
        <v>399939700</v>
      </c>
      <c r="G9" s="3293">
        <v>35572.135073667021</v>
      </c>
      <c r="H9" s="3268">
        <v>0.88943745953870101</v>
      </c>
      <c r="I9" s="3257">
        <v>961.70346726596608</v>
      </c>
      <c r="J9" s="3257">
        <v>1209.6244511081943</v>
      </c>
      <c r="K9" s="3257">
        <v>1209.6244511081943</v>
      </c>
      <c r="L9" s="3294" t="s">
        <v>3671</v>
      </c>
      <c r="M9" s="3295"/>
    </row>
    <row r="10" spans="1:13" s="3251" customFormat="1" ht="42" customHeight="1" outlineLevel="1">
      <c r="A10" s="3289">
        <v>1.2</v>
      </c>
      <c r="B10" s="3290" t="s">
        <v>3675</v>
      </c>
      <c r="C10" s="3291" t="s">
        <v>3676</v>
      </c>
      <c r="D10" s="3296" t="s">
        <v>3674</v>
      </c>
      <c r="E10" s="3292">
        <v>1</v>
      </c>
      <c r="F10" s="3268">
        <v>126774800</v>
      </c>
      <c r="G10" s="3293">
        <v>11275.82560455269</v>
      </c>
      <c r="H10" s="3297" t="s">
        <v>3677</v>
      </c>
      <c r="I10" s="3257">
        <v>304.84536724398549</v>
      </c>
      <c r="J10" s="3257">
        <v>383.43254711735574</v>
      </c>
      <c r="K10" s="3257">
        <v>383.43254711735574</v>
      </c>
      <c r="L10" s="3294" t="s">
        <v>3671</v>
      </c>
      <c r="M10" s="3295"/>
    </row>
    <row r="11" spans="1:13" s="3251" customFormat="1" ht="36" customHeight="1" outlineLevel="1">
      <c r="A11" s="3289">
        <v>1.3</v>
      </c>
      <c r="B11" s="3290" t="s">
        <v>3678</v>
      </c>
      <c r="C11" s="3291" t="s">
        <v>3679</v>
      </c>
      <c r="D11" s="3265" t="s">
        <v>3674</v>
      </c>
      <c r="E11" s="3292">
        <v>1</v>
      </c>
      <c r="F11" s="3268"/>
      <c r="G11" s="3268">
        <v>853.85996115715295</v>
      </c>
      <c r="H11" s="3268"/>
      <c r="I11" s="3257">
        <v>23.08436318213289</v>
      </c>
      <c r="J11" s="3257">
        <v>29.035363907705751</v>
      </c>
      <c r="K11" s="3257">
        <v>29.035363907705751</v>
      </c>
      <c r="L11" s="3294" t="s">
        <v>3671</v>
      </c>
      <c r="M11" s="3295"/>
    </row>
    <row r="12" spans="1:13" s="3305" customFormat="1" ht="39" customHeight="1" outlineLevel="1">
      <c r="A12" s="3298" t="s">
        <v>3680</v>
      </c>
      <c r="B12" s="3299" t="s">
        <v>3681</v>
      </c>
      <c r="C12" s="3299"/>
      <c r="D12" s="3300" t="s">
        <v>3674</v>
      </c>
      <c r="E12" s="3292">
        <v>1</v>
      </c>
      <c r="F12" s="3268">
        <v>9600000</v>
      </c>
      <c r="G12" s="3301">
        <v>853.85996115715295</v>
      </c>
      <c r="H12" s="3299" t="s">
        <v>3682</v>
      </c>
      <c r="I12" s="3302">
        <v>23.08436318213289</v>
      </c>
      <c r="J12" s="3302">
        <v>29.035363907705751</v>
      </c>
      <c r="K12" s="3302">
        <v>29.035363907705751</v>
      </c>
      <c r="L12" s="3303" t="s">
        <v>3671</v>
      </c>
      <c r="M12" s="3304"/>
    </row>
    <row r="13" spans="1:13" s="3251" customFormat="1" outlineLevel="1">
      <c r="A13" s="3306" t="s">
        <v>3683</v>
      </c>
      <c r="B13" s="3291" t="s">
        <v>3684</v>
      </c>
      <c r="C13" s="3291"/>
      <c r="D13" s="3265" t="s">
        <v>3674</v>
      </c>
      <c r="E13" s="3292">
        <v>1</v>
      </c>
      <c r="F13" s="3268"/>
      <c r="G13" s="3268">
        <v>0</v>
      </c>
      <c r="H13" s="3268"/>
      <c r="I13" s="3257">
        <v>0</v>
      </c>
      <c r="J13" s="3257">
        <v>0</v>
      </c>
      <c r="K13" s="3257">
        <v>0</v>
      </c>
      <c r="L13" s="3294" t="s">
        <v>3671</v>
      </c>
      <c r="M13" s="3295"/>
    </row>
    <row r="14" spans="1:13" s="3251" customFormat="1" ht="21" customHeight="1" outlineLevel="1">
      <c r="A14" s="3306" t="s">
        <v>3685</v>
      </c>
      <c r="B14" s="3291" t="s">
        <v>3686</v>
      </c>
      <c r="C14" s="3291"/>
      <c r="D14" s="3296" t="s">
        <v>3674</v>
      </c>
      <c r="E14" s="3292">
        <v>1</v>
      </c>
      <c r="F14" s="3268"/>
      <c r="G14" s="3268">
        <v>0</v>
      </c>
      <c r="H14" s="3291"/>
      <c r="I14" s="3257">
        <v>0</v>
      </c>
      <c r="J14" s="3257">
        <v>0</v>
      </c>
      <c r="K14" s="3257">
        <v>0</v>
      </c>
      <c r="L14" s="3294" t="s">
        <v>3671</v>
      </c>
      <c r="M14" s="3295"/>
    </row>
    <row r="15" spans="1:13" s="3251" customFormat="1" ht="24.75" customHeight="1" outlineLevel="1">
      <c r="A15" s="3289">
        <v>1.4</v>
      </c>
      <c r="B15" s="3290" t="s">
        <v>3687</v>
      </c>
      <c r="C15" s="3273" t="s">
        <v>3688</v>
      </c>
      <c r="D15" s="3265" t="s">
        <v>3674</v>
      </c>
      <c r="E15" s="3292">
        <v>1</v>
      </c>
      <c r="F15" s="3268"/>
      <c r="G15" s="3268">
        <v>0</v>
      </c>
      <c r="H15" s="3268"/>
      <c r="I15" s="3257">
        <v>0</v>
      </c>
      <c r="J15" s="3257">
        <v>0</v>
      </c>
      <c r="K15" s="3257">
        <v>0</v>
      </c>
      <c r="L15" s="3294" t="s">
        <v>3671</v>
      </c>
      <c r="M15" s="3295"/>
    </row>
    <row r="16" spans="1:13" s="3251" customFormat="1" outlineLevel="2">
      <c r="A16" s="3306" t="s">
        <v>3689</v>
      </c>
      <c r="B16" s="3291" t="s">
        <v>3690</v>
      </c>
      <c r="C16" s="3291"/>
      <c r="D16" s="3265" t="s">
        <v>3674</v>
      </c>
      <c r="E16" s="3292">
        <v>1</v>
      </c>
      <c r="F16" s="3268"/>
      <c r="G16" s="3268">
        <v>0</v>
      </c>
      <c r="H16" s="3268"/>
      <c r="I16" s="3257">
        <v>0</v>
      </c>
      <c r="J16" s="3257">
        <v>0</v>
      </c>
      <c r="K16" s="3257">
        <v>0</v>
      </c>
      <c r="L16" s="3294" t="s">
        <v>3671</v>
      </c>
      <c r="M16" s="3295"/>
    </row>
    <row r="17" spans="1:13" s="3251" customFormat="1" outlineLevel="2">
      <c r="A17" s="3306" t="s">
        <v>3691</v>
      </c>
      <c r="B17" s="3291" t="s">
        <v>3692</v>
      </c>
      <c r="C17" s="3291"/>
      <c r="D17" s="3265" t="s">
        <v>3674</v>
      </c>
      <c r="E17" s="3292">
        <v>1</v>
      </c>
      <c r="F17" s="3268"/>
      <c r="G17" s="3268">
        <v>0</v>
      </c>
      <c r="H17" s="3268"/>
      <c r="I17" s="3257">
        <v>0</v>
      </c>
      <c r="J17" s="3257">
        <v>0</v>
      </c>
      <c r="K17" s="3257">
        <v>0</v>
      </c>
      <c r="L17" s="3294" t="s">
        <v>3671</v>
      </c>
      <c r="M17" s="3295"/>
    </row>
    <row r="18" spans="1:13" s="3251" customFormat="1" outlineLevel="2">
      <c r="A18" s="3306" t="s">
        <v>3693</v>
      </c>
      <c r="B18" s="3291" t="s">
        <v>3694</v>
      </c>
      <c r="C18" s="3291"/>
      <c r="D18" s="3265" t="s">
        <v>3695</v>
      </c>
      <c r="E18" s="3292">
        <v>1</v>
      </c>
      <c r="F18" s="3268"/>
      <c r="G18" s="3268">
        <v>0</v>
      </c>
      <c r="H18" s="3268"/>
      <c r="I18" s="3257">
        <v>0</v>
      </c>
      <c r="J18" s="3257">
        <v>0</v>
      </c>
      <c r="K18" s="3257">
        <v>0</v>
      </c>
      <c r="L18" s="3294" t="s">
        <v>3696</v>
      </c>
      <c r="M18" s="3295"/>
    </row>
    <row r="19" spans="1:13" s="3251" customFormat="1" outlineLevel="2">
      <c r="A19" s="3306" t="s">
        <v>3697</v>
      </c>
      <c r="B19" s="3291" t="s">
        <v>3698</v>
      </c>
      <c r="C19" s="3291"/>
      <c r="D19" s="3265" t="s">
        <v>3695</v>
      </c>
      <c r="E19" s="3292">
        <v>1</v>
      </c>
      <c r="F19" s="3268"/>
      <c r="G19" s="3268">
        <v>0</v>
      </c>
      <c r="H19" s="3268"/>
      <c r="I19" s="3257">
        <v>0</v>
      </c>
      <c r="J19" s="3257">
        <v>0</v>
      </c>
      <c r="K19" s="3257">
        <v>0</v>
      </c>
      <c r="L19" s="3294" t="s">
        <v>3696</v>
      </c>
      <c r="M19" s="3295"/>
    </row>
    <row r="20" spans="1:13" s="3251" customFormat="1" ht="21.75" customHeight="1" outlineLevel="2">
      <c r="A20" s="3289">
        <v>1.5</v>
      </c>
      <c r="B20" s="3290" t="s">
        <v>3699</v>
      </c>
      <c r="C20" s="3291" t="s">
        <v>3700</v>
      </c>
      <c r="D20" s="3265" t="s">
        <v>3695</v>
      </c>
      <c r="E20" s="3292">
        <v>1</v>
      </c>
      <c r="F20" s="3268">
        <v>3597.82</v>
      </c>
      <c r="G20" s="3307">
        <v>3200.0358806775293</v>
      </c>
      <c r="H20" s="3291" t="s">
        <v>3701</v>
      </c>
      <c r="I20" s="3257">
        <v>86.513941191605596</v>
      </c>
      <c r="J20" s="3257">
        <v>108.81668018168949</v>
      </c>
      <c r="K20" s="3257">
        <v>108.81668018168949</v>
      </c>
      <c r="L20" s="3294" t="s">
        <v>3696</v>
      </c>
      <c r="M20" s="3295"/>
    </row>
    <row r="21" spans="1:13" s="3251" customFormat="1" ht="37.5" customHeight="1" outlineLevel="1">
      <c r="A21" s="3289">
        <v>1.6</v>
      </c>
      <c r="B21" s="3290" t="s">
        <v>3702</v>
      </c>
      <c r="C21" s="3291" t="s">
        <v>3703</v>
      </c>
      <c r="D21" s="3265" t="s">
        <v>3695</v>
      </c>
      <c r="E21" s="3292">
        <v>1</v>
      </c>
      <c r="F21" s="3268">
        <v>57229.27</v>
      </c>
      <c r="G21" s="3268">
        <v>0</v>
      </c>
      <c r="H21" s="3268"/>
      <c r="I21" s="3257">
        <v>0</v>
      </c>
      <c r="J21" s="3257">
        <v>0</v>
      </c>
      <c r="K21" s="3257">
        <v>0</v>
      </c>
      <c r="L21" s="3294" t="s">
        <v>3696</v>
      </c>
      <c r="M21" s="3295"/>
    </row>
    <row r="22" spans="1:13" s="3288" customFormat="1" ht="12">
      <c r="A22" s="3278">
        <v>2</v>
      </c>
      <c r="B22" s="3279" t="s">
        <v>3704</v>
      </c>
      <c r="C22" s="3308"/>
      <c r="D22" s="3309"/>
      <c r="E22" s="3282"/>
      <c r="F22" s="3283"/>
      <c r="G22" s="3284">
        <v>13289.090279771692</v>
      </c>
      <c r="H22" s="3285"/>
      <c r="I22" s="3285">
        <v>359.27458873076341</v>
      </c>
      <c r="J22" s="3285">
        <v>451.89327270084976</v>
      </c>
      <c r="K22" s="3285">
        <v>451.89327270084976</v>
      </c>
      <c r="L22" s="3286"/>
      <c r="M22" s="3287"/>
    </row>
    <row r="23" spans="1:13" s="3251" customFormat="1" ht="14.25" outlineLevel="1">
      <c r="A23" s="3289">
        <v>2.1</v>
      </c>
      <c r="B23" s="3290" t="s">
        <v>3705</v>
      </c>
      <c r="C23" s="3291"/>
      <c r="D23" s="3296"/>
      <c r="E23" s="3266"/>
      <c r="F23" s="3267"/>
      <c r="G23" s="3268">
        <v>645.56481355236156</v>
      </c>
      <c r="H23" s="3268"/>
      <c r="I23" s="3257">
        <v>17.453040652536021</v>
      </c>
      <c r="J23" s="3257">
        <v>21.95232255896018</v>
      </c>
      <c r="K23" s="3257">
        <v>21.95232255896018</v>
      </c>
      <c r="L23" s="3294"/>
      <c r="M23" s="3295"/>
    </row>
    <row r="24" spans="1:13" s="3251" customFormat="1" ht="25.5" customHeight="1" outlineLevel="3">
      <c r="A24" s="3306" t="s">
        <v>3706</v>
      </c>
      <c r="B24" s="3310" t="s">
        <v>3707</v>
      </c>
      <c r="C24" s="3291" t="s">
        <v>3708</v>
      </c>
      <c r="D24" s="3296" t="s">
        <v>3709</v>
      </c>
      <c r="E24" s="3292">
        <v>369886.73</v>
      </c>
      <c r="F24" s="3268">
        <v>13</v>
      </c>
      <c r="G24" s="3268">
        <v>480.85274900000002</v>
      </c>
      <c r="H24" s="3268" t="s">
        <v>3710</v>
      </c>
      <c r="I24" s="3257">
        <v>13.000000000000002</v>
      </c>
      <c r="J24" s="3257">
        <v>16.351316595656645</v>
      </c>
      <c r="K24" s="3257">
        <v>16.351316595656645</v>
      </c>
      <c r="L24" s="3294" t="s">
        <v>3711</v>
      </c>
      <c r="M24" s="3295"/>
    </row>
    <row r="25" spans="1:13" s="3251" customFormat="1" outlineLevel="3">
      <c r="A25" s="3306" t="s">
        <v>3712</v>
      </c>
      <c r="B25" s="3310" t="s">
        <v>3713</v>
      </c>
      <c r="C25" s="3291" t="s">
        <v>3714</v>
      </c>
      <c r="D25" s="3296" t="s">
        <v>3715</v>
      </c>
      <c r="E25" s="3292">
        <v>350</v>
      </c>
      <c r="F25" s="3268">
        <v>3278</v>
      </c>
      <c r="G25" s="3268">
        <v>114.73</v>
      </c>
      <c r="H25" s="3310" t="s">
        <v>3716</v>
      </c>
      <c r="I25" s="3257">
        <v>3.1017603686404214</v>
      </c>
      <c r="J25" s="3257">
        <v>3.9013742916538616</v>
      </c>
      <c r="K25" s="3257">
        <v>3.9013742916538616</v>
      </c>
      <c r="L25" s="3294" t="s">
        <v>3717</v>
      </c>
      <c r="M25" s="3295"/>
    </row>
    <row r="26" spans="1:13" s="3251" customFormat="1" ht="24" outlineLevel="3">
      <c r="A26" s="3306" t="s">
        <v>3718</v>
      </c>
      <c r="B26" s="3310" t="s">
        <v>3719</v>
      </c>
      <c r="C26" s="3291"/>
      <c r="D26" s="3296"/>
      <c r="E26" s="3292">
        <v>0</v>
      </c>
      <c r="F26" s="3268">
        <v>0</v>
      </c>
      <c r="G26" s="3268">
        <v>0</v>
      </c>
      <c r="H26" s="3310" t="s">
        <v>3720</v>
      </c>
      <c r="I26" s="3257">
        <v>0</v>
      </c>
      <c r="J26" s="3257">
        <v>0</v>
      </c>
      <c r="K26" s="3257">
        <v>0</v>
      </c>
      <c r="L26" s="3294" t="s">
        <v>3721</v>
      </c>
      <c r="M26" s="3295"/>
    </row>
    <row r="27" spans="1:13" s="3251" customFormat="1" ht="24" outlineLevel="3">
      <c r="A27" s="3306" t="s">
        <v>3722</v>
      </c>
      <c r="B27" s="3310" t="s">
        <v>3723</v>
      </c>
      <c r="C27" s="3291"/>
      <c r="D27" s="3296" t="s">
        <v>3709</v>
      </c>
      <c r="E27" s="3292">
        <v>364832.58797344199</v>
      </c>
      <c r="F27" s="3268">
        <v>1.37</v>
      </c>
      <c r="G27" s="3268">
        <v>49.982064552361557</v>
      </c>
      <c r="H27" s="3310" t="s">
        <v>3724</v>
      </c>
      <c r="I27" s="3257">
        <v>1.3512802838956011</v>
      </c>
      <c r="J27" s="3257">
        <v>1.6996316716496744</v>
      </c>
      <c r="K27" s="3257">
        <v>1.6996316716496744</v>
      </c>
      <c r="L27" s="3294"/>
      <c r="M27" s="3295"/>
    </row>
    <row r="28" spans="1:13" s="3251" customFormat="1" outlineLevel="3">
      <c r="A28" s="3306" t="s">
        <v>3725</v>
      </c>
      <c r="B28" s="3310" t="s">
        <v>3726</v>
      </c>
      <c r="C28" s="3291" t="s">
        <v>3727</v>
      </c>
      <c r="D28" s="3296" t="s">
        <v>3674</v>
      </c>
      <c r="E28" s="3292"/>
      <c r="F28" s="3268">
        <v>0</v>
      </c>
      <c r="G28" s="3307"/>
      <c r="H28" s="3268"/>
      <c r="I28" s="3257">
        <v>0</v>
      </c>
      <c r="J28" s="3257">
        <v>0</v>
      </c>
      <c r="K28" s="3257">
        <v>0</v>
      </c>
      <c r="L28" s="3294" t="s">
        <v>3721</v>
      </c>
      <c r="M28" s="3295"/>
    </row>
    <row r="29" spans="1:13" s="3251" customFormat="1" ht="24" customHeight="1" outlineLevel="1">
      <c r="A29" s="3289">
        <v>2.2000000000000002</v>
      </c>
      <c r="B29" s="3290" t="s">
        <v>3728</v>
      </c>
      <c r="C29" s="3291" t="s">
        <v>3729</v>
      </c>
      <c r="D29" s="3296"/>
      <c r="E29" s="3292"/>
      <c r="F29" s="3268"/>
      <c r="G29" s="3268">
        <v>5211.9164919413661</v>
      </c>
      <c r="H29" s="3268"/>
      <c r="I29" s="3257">
        <v>140.90574408931528</v>
      </c>
      <c r="J29" s="3257">
        <v>177.23034090392071</v>
      </c>
      <c r="K29" s="3257">
        <v>177.23034090392071</v>
      </c>
      <c r="L29" s="3294" t="s">
        <v>3730</v>
      </c>
      <c r="M29" s="3295"/>
    </row>
    <row r="30" spans="1:13" s="3251" customFormat="1" ht="21.75" customHeight="1" outlineLevel="2">
      <c r="A30" s="3306" t="s">
        <v>3731</v>
      </c>
      <c r="B30" s="3291" t="s">
        <v>3732</v>
      </c>
      <c r="C30" s="3291" t="s">
        <v>3733</v>
      </c>
      <c r="D30" s="3311" t="s">
        <v>3709</v>
      </c>
      <c r="E30" s="3292">
        <v>369886.73</v>
      </c>
      <c r="F30" s="3268">
        <v>35</v>
      </c>
      <c r="G30" s="3268">
        <v>1294.6035549999999</v>
      </c>
      <c r="H30" s="3268" t="s">
        <v>3734</v>
      </c>
      <c r="I30" s="3257">
        <v>35</v>
      </c>
      <c r="J30" s="3257">
        <v>44.022775449844808</v>
      </c>
      <c r="K30" s="3257">
        <v>44.022775449844808</v>
      </c>
      <c r="L30" s="3294" t="s">
        <v>3730</v>
      </c>
      <c r="M30" s="3295"/>
    </row>
    <row r="31" spans="1:13" s="3251" customFormat="1" outlineLevel="2">
      <c r="A31" s="3306" t="s">
        <v>3735</v>
      </c>
      <c r="B31" s="3291" t="s">
        <v>3736</v>
      </c>
      <c r="C31" s="3291" t="s">
        <v>3737</v>
      </c>
      <c r="D31" s="3311" t="s">
        <v>3709</v>
      </c>
      <c r="E31" s="3292">
        <v>369886.73</v>
      </c>
      <c r="F31" s="3268">
        <v>35</v>
      </c>
      <c r="G31" s="3268">
        <v>1294.6035549999999</v>
      </c>
      <c r="H31" s="3268" t="s">
        <v>3734</v>
      </c>
      <c r="I31" s="3257">
        <v>35</v>
      </c>
      <c r="J31" s="3257">
        <v>44.022775449844808</v>
      </c>
      <c r="K31" s="3257">
        <v>44.022775449844808</v>
      </c>
      <c r="L31" s="3294" t="s">
        <v>3730</v>
      </c>
      <c r="M31" s="3295"/>
    </row>
    <row r="32" spans="1:13" s="3251" customFormat="1" ht="24" outlineLevel="2">
      <c r="A32" s="3306" t="s">
        <v>3738</v>
      </c>
      <c r="B32" s="3291" t="s">
        <v>3739</v>
      </c>
      <c r="C32" s="3291" t="s">
        <v>3740</v>
      </c>
      <c r="D32" s="3311" t="s">
        <v>3709</v>
      </c>
      <c r="E32" s="3292">
        <v>233682.24698053417</v>
      </c>
      <c r="F32" s="3268">
        <v>30</v>
      </c>
      <c r="G32" s="3268">
        <v>701.04674094160259</v>
      </c>
      <c r="H32" s="3268" t="s">
        <v>3741</v>
      </c>
      <c r="I32" s="3257">
        <v>18.953011397343253</v>
      </c>
      <c r="J32" s="3257">
        <v>23.838976138388329</v>
      </c>
      <c r="K32" s="3257">
        <v>23.838976138388329</v>
      </c>
      <c r="L32" s="3294" t="s">
        <v>3730</v>
      </c>
      <c r="M32" s="3295"/>
    </row>
    <row r="33" spans="1:13" s="3251" customFormat="1" outlineLevel="2">
      <c r="A33" s="3306" t="s">
        <v>3742</v>
      </c>
      <c r="B33" s="3291" t="s">
        <v>3743</v>
      </c>
      <c r="C33" s="3291"/>
      <c r="D33" s="3311" t="s">
        <v>3709</v>
      </c>
      <c r="E33" s="3292">
        <v>50894.106</v>
      </c>
      <c r="F33" s="3268">
        <v>50</v>
      </c>
      <c r="G33" s="3268">
        <v>226.33562173066679</v>
      </c>
      <c r="H33" s="3268" t="s">
        <v>3744</v>
      </c>
      <c r="I33" s="3257">
        <v>6.1190522225727531</v>
      </c>
      <c r="J33" s="3257">
        <v>7.696504627434118</v>
      </c>
      <c r="K33" s="3257">
        <v>7.696504627434118</v>
      </c>
      <c r="L33" s="3294" t="s">
        <v>3730</v>
      </c>
      <c r="M33" s="3295"/>
    </row>
    <row r="34" spans="1:13" s="3251" customFormat="1" outlineLevel="2">
      <c r="A34" s="3306" t="s">
        <v>3745</v>
      </c>
      <c r="B34" s="3291" t="s">
        <v>3746</v>
      </c>
      <c r="C34" s="3291"/>
      <c r="D34" s="3311" t="s">
        <v>3709</v>
      </c>
      <c r="E34" s="3292"/>
      <c r="F34" s="3268">
        <v>0</v>
      </c>
      <c r="G34" s="3268">
        <v>359.54605352619211</v>
      </c>
      <c r="H34" s="3291"/>
      <c r="I34" s="3257">
        <v>9.7204366733078551</v>
      </c>
      <c r="J34" s="3257">
        <v>12.226302884099095</v>
      </c>
      <c r="K34" s="3257">
        <v>12.226302884099095</v>
      </c>
      <c r="L34" s="3294" t="s">
        <v>3730</v>
      </c>
      <c r="M34" s="3295"/>
    </row>
    <row r="35" spans="1:13" s="3251" customFormat="1" outlineLevel="2">
      <c r="A35" s="3306" t="s">
        <v>3747</v>
      </c>
      <c r="B35" s="3291" t="s">
        <v>3748</v>
      </c>
      <c r="C35" s="3291"/>
      <c r="D35" s="3311" t="s">
        <v>3709</v>
      </c>
      <c r="E35" s="3292">
        <v>0</v>
      </c>
      <c r="F35" s="3268">
        <v>0</v>
      </c>
      <c r="G35" s="3268">
        <v>0</v>
      </c>
      <c r="H35" s="3268"/>
      <c r="I35" s="3257">
        <v>0</v>
      </c>
      <c r="J35" s="3257">
        <v>0</v>
      </c>
      <c r="K35" s="3257">
        <v>0</v>
      </c>
      <c r="L35" s="3294" t="s">
        <v>3730</v>
      </c>
      <c r="M35" s="3295"/>
    </row>
    <row r="36" spans="1:13" s="3251" customFormat="1" ht="24" customHeight="1" outlineLevel="2">
      <c r="A36" s="3306" t="s">
        <v>3749</v>
      </c>
      <c r="B36" s="3291" t="s">
        <v>3750</v>
      </c>
      <c r="C36" s="3291" t="s">
        <v>3751</v>
      </c>
      <c r="D36" s="3311" t="s">
        <v>3674</v>
      </c>
      <c r="E36" s="3292">
        <v>1</v>
      </c>
      <c r="F36" s="3268">
        <v>160000</v>
      </c>
      <c r="G36" s="3268">
        <v>14.230999352619214</v>
      </c>
      <c r="H36" s="3268"/>
      <c r="I36" s="3257">
        <v>0.3847393863688815</v>
      </c>
      <c r="J36" s="3257">
        <v>0.48392273179509587</v>
      </c>
      <c r="K36" s="3257">
        <v>0.48392273179509587</v>
      </c>
      <c r="L36" s="3294" t="s">
        <v>3730</v>
      </c>
      <c r="M36" s="3295"/>
    </row>
    <row r="37" spans="1:13" s="3251" customFormat="1" outlineLevel="2">
      <c r="A37" s="3306" t="s">
        <v>3752</v>
      </c>
      <c r="B37" s="3291" t="s">
        <v>3753</v>
      </c>
      <c r="C37" s="3291"/>
      <c r="D37" s="3311" t="s">
        <v>3709</v>
      </c>
      <c r="E37" s="3292">
        <v>0</v>
      </c>
      <c r="F37" s="3268">
        <v>0</v>
      </c>
      <c r="G37" s="3268">
        <v>0</v>
      </c>
      <c r="H37" s="3268"/>
      <c r="I37" s="3257">
        <v>0</v>
      </c>
      <c r="J37" s="3257">
        <v>0</v>
      </c>
      <c r="K37" s="3257">
        <v>0</v>
      </c>
      <c r="L37" s="3294" t="s">
        <v>3730</v>
      </c>
      <c r="M37" s="3295"/>
    </row>
    <row r="38" spans="1:13" s="3251" customFormat="1" outlineLevel="2">
      <c r="A38" s="3306" t="s">
        <v>3754</v>
      </c>
      <c r="B38" s="3291" t="s">
        <v>3755</v>
      </c>
      <c r="C38" s="3291" t="s">
        <v>3756</v>
      </c>
      <c r="D38" s="3311" t="s">
        <v>3674</v>
      </c>
      <c r="E38" s="3292">
        <v>1</v>
      </c>
      <c r="F38" s="3268">
        <v>350000</v>
      </c>
      <c r="G38" s="3268">
        <v>31.130311083854536</v>
      </c>
      <c r="H38" s="3268"/>
      <c r="I38" s="3257">
        <v>0.84161740768192839</v>
      </c>
      <c r="J38" s="3257">
        <v>1.0585809758017724</v>
      </c>
      <c r="K38" s="3257">
        <v>1.0585809758017724</v>
      </c>
      <c r="L38" s="3294" t="s">
        <v>3730</v>
      </c>
      <c r="M38" s="3295"/>
    </row>
    <row r="39" spans="1:13" s="3251" customFormat="1" ht="24" customHeight="1" outlineLevel="2">
      <c r="A39" s="3306" t="s">
        <v>3757</v>
      </c>
      <c r="B39" s="3291" t="s">
        <v>3758</v>
      </c>
      <c r="C39" s="3291" t="s">
        <v>3759</v>
      </c>
      <c r="D39" s="3311" t="s">
        <v>3709</v>
      </c>
      <c r="E39" s="3292"/>
      <c r="F39" s="3268"/>
      <c r="G39" s="3268">
        <v>314.18474308971838</v>
      </c>
      <c r="H39" s="3291"/>
      <c r="I39" s="3257">
        <v>8.4940798792570469</v>
      </c>
      <c r="J39" s="3257">
        <v>10.683799176502227</v>
      </c>
      <c r="K39" s="3257">
        <v>10.683799176502227</v>
      </c>
      <c r="L39" s="3294" t="s">
        <v>3760</v>
      </c>
      <c r="M39" s="3295"/>
    </row>
    <row r="40" spans="1:13" s="3251" customFormat="1" outlineLevel="2">
      <c r="A40" s="3306" t="s">
        <v>3761</v>
      </c>
      <c r="B40" s="3291" t="s">
        <v>3762</v>
      </c>
      <c r="C40" s="3291"/>
      <c r="D40" s="3311" t="s">
        <v>3709</v>
      </c>
      <c r="E40" s="3292">
        <v>0</v>
      </c>
      <c r="F40" s="3268">
        <v>0</v>
      </c>
      <c r="G40" s="3268">
        <v>0</v>
      </c>
      <c r="H40" s="3291"/>
      <c r="I40" s="3257">
        <v>0</v>
      </c>
      <c r="J40" s="3257">
        <v>0</v>
      </c>
      <c r="K40" s="3257">
        <v>0</v>
      </c>
      <c r="L40" s="3294"/>
      <c r="M40" s="3295"/>
    </row>
    <row r="41" spans="1:13" s="3251" customFormat="1" ht="60" outlineLevel="2">
      <c r="A41" s="3306" t="s">
        <v>3763</v>
      </c>
      <c r="B41" s="3291" t="s">
        <v>3764</v>
      </c>
      <c r="C41" s="3291"/>
      <c r="D41" s="3311" t="s">
        <v>3709</v>
      </c>
      <c r="E41" s="3292">
        <v>12068.67</v>
      </c>
      <c r="F41" s="3268">
        <v>180</v>
      </c>
      <c r="G41" s="3268">
        <v>217.23606000000001</v>
      </c>
      <c r="H41" s="3291" t="s">
        <v>3765</v>
      </c>
      <c r="I41" s="3257">
        <v>5.8730428096190419</v>
      </c>
      <c r="J41" s="3257">
        <v>7.3870755661481375</v>
      </c>
      <c r="K41" s="3257">
        <v>7.3870755661481375</v>
      </c>
      <c r="L41" s="3294"/>
      <c r="M41" s="3295"/>
    </row>
    <row r="42" spans="1:13" s="3251" customFormat="1" outlineLevel="2">
      <c r="A42" s="3306" t="s">
        <v>3766</v>
      </c>
      <c r="B42" s="3291" t="s">
        <v>3767</v>
      </c>
      <c r="C42" s="3291"/>
      <c r="D42" s="3311" t="s">
        <v>3674</v>
      </c>
      <c r="E42" s="3292">
        <v>1</v>
      </c>
      <c r="F42" s="3268">
        <v>490000</v>
      </c>
      <c r="G42" s="3268">
        <v>43.582435517396348</v>
      </c>
      <c r="H42" s="3291"/>
      <c r="I42" s="3257">
        <v>1.1782643707546996</v>
      </c>
      <c r="J42" s="3257">
        <v>1.4820133661224812</v>
      </c>
      <c r="K42" s="3257">
        <v>1.4820133661224812</v>
      </c>
      <c r="L42" s="3294"/>
      <c r="M42" s="3295"/>
    </row>
    <row r="43" spans="1:13" s="3251" customFormat="1" outlineLevel="2">
      <c r="A43" s="3306" t="s">
        <v>3768</v>
      </c>
      <c r="B43" s="3291" t="s">
        <v>3769</v>
      </c>
      <c r="C43" s="3291"/>
      <c r="D43" s="3311" t="s">
        <v>3674</v>
      </c>
      <c r="E43" s="3292">
        <v>1</v>
      </c>
      <c r="F43" s="3268">
        <v>600000</v>
      </c>
      <c r="G43" s="3268">
        <v>53.36624757232206</v>
      </c>
      <c r="H43" s="3291"/>
      <c r="I43" s="3257">
        <v>1.4427726988833056</v>
      </c>
      <c r="J43" s="3257">
        <v>1.8147102442316094</v>
      </c>
      <c r="K43" s="3257">
        <v>1.8147102442316094</v>
      </c>
      <c r="L43" s="3294"/>
      <c r="M43" s="3295"/>
    </row>
    <row r="44" spans="1:13" s="3251" customFormat="1" outlineLevel="2">
      <c r="A44" s="3306" t="s">
        <v>3770</v>
      </c>
      <c r="B44" s="3291" t="s">
        <v>3771</v>
      </c>
      <c r="C44" s="3291" t="s">
        <v>3772</v>
      </c>
      <c r="D44" s="3311" t="s">
        <v>3709</v>
      </c>
      <c r="E44" s="3292">
        <v>0</v>
      </c>
      <c r="F44" s="3268">
        <v>0</v>
      </c>
      <c r="G44" s="3268">
        <v>0</v>
      </c>
      <c r="H44" s="3268"/>
      <c r="I44" s="3257">
        <v>0</v>
      </c>
      <c r="J44" s="3257">
        <v>0</v>
      </c>
      <c r="K44" s="3257">
        <v>0</v>
      </c>
      <c r="L44" s="3294" t="s">
        <v>3711</v>
      </c>
      <c r="M44" s="3295"/>
    </row>
    <row r="45" spans="1:13" s="3251" customFormat="1" outlineLevel="2">
      <c r="A45" s="3306" t="s">
        <v>3773</v>
      </c>
      <c r="B45" s="3291" t="s">
        <v>3774</v>
      </c>
      <c r="C45" s="3291"/>
      <c r="D45" s="3311" t="s">
        <v>3709</v>
      </c>
      <c r="E45" s="3292">
        <v>369886.73</v>
      </c>
      <c r="F45" s="3268">
        <v>1.8</v>
      </c>
      <c r="G45" s="3268">
        <v>66.57961139999999</v>
      </c>
      <c r="H45" s="3268"/>
      <c r="I45" s="3257">
        <v>1.7999999999999998</v>
      </c>
      <c r="J45" s="3257">
        <v>2.2640284517063045</v>
      </c>
      <c r="K45" s="3257">
        <v>2.2640284517063045</v>
      </c>
      <c r="L45" s="3294"/>
      <c r="M45" s="3295"/>
    </row>
    <row r="46" spans="1:13" s="3251" customFormat="1" ht="41.25" customHeight="1" outlineLevel="2">
      <c r="A46" s="3306" t="s">
        <v>3775</v>
      </c>
      <c r="B46" s="3291" t="s">
        <v>3776</v>
      </c>
      <c r="C46" s="3291"/>
      <c r="D46" s="3311" t="s">
        <v>3674</v>
      </c>
      <c r="E46" s="3292">
        <v>1</v>
      </c>
      <c r="F46" s="3268"/>
      <c r="G46" s="3307">
        <v>1269.2013543429046</v>
      </c>
      <c r="H46" s="3291" t="s">
        <v>3777</v>
      </c>
      <c r="I46" s="3257">
        <v>34.313243796091427</v>
      </c>
      <c r="J46" s="3257">
        <v>43.158977902603247</v>
      </c>
      <c r="K46" s="3257">
        <v>43.158977902603247</v>
      </c>
      <c r="L46" s="3294"/>
      <c r="M46" s="3295"/>
    </row>
    <row r="47" spans="1:13" s="3251" customFormat="1" ht="24.75" customHeight="1" outlineLevel="1">
      <c r="A47" s="3289">
        <v>2.2999999999999998</v>
      </c>
      <c r="B47" s="3290" t="s">
        <v>3778</v>
      </c>
      <c r="C47" s="3291" t="s">
        <v>3779</v>
      </c>
      <c r="D47" s="3296"/>
      <c r="E47" s="3292"/>
      <c r="F47" s="3268"/>
      <c r="G47" s="3268">
        <v>6477.439163660245</v>
      </c>
      <c r="H47" s="3268"/>
      <c r="I47" s="3257">
        <v>175.11953358424742</v>
      </c>
      <c r="J47" s="3257">
        <v>220.26422582459659</v>
      </c>
      <c r="K47" s="3257">
        <v>220.26422582459659</v>
      </c>
      <c r="L47" s="3294" t="s">
        <v>3711</v>
      </c>
      <c r="M47" s="3295"/>
    </row>
    <row r="48" spans="1:13" s="3251" customFormat="1" outlineLevel="2">
      <c r="A48" s="3306" t="s">
        <v>3780</v>
      </c>
      <c r="B48" s="3291" t="s">
        <v>3781</v>
      </c>
      <c r="C48" s="3291" t="s">
        <v>3782</v>
      </c>
      <c r="D48" s="3296" t="s">
        <v>3709</v>
      </c>
      <c r="E48" s="3292">
        <v>369886.73</v>
      </c>
      <c r="F48" s="3268">
        <v>134</v>
      </c>
      <c r="G48" s="3268">
        <v>4956.4821819999997</v>
      </c>
      <c r="H48" s="3268"/>
      <c r="I48" s="3257">
        <v>134</v>
      </c>
      <c r="J48" s="3257">
        <v>168.54434029369159</v>
      </c>
      <c r="K48" s="3257">
        <v>168.54434029369159</v>
      </c>
      <c r="L48" s="3294" t="s">
        <v>3711</v>
      </c>
      <c r="M48" s="3295"/>
    </row>
    <row r="49" spans="1:13" s="3251" customFormat="1" outlineLevel="2">
      <c r="A49" s="3306" t="s">
        <v>3783</v>
      </c>
      <c r="B49" s="3291" t="s">
        <v>3784</v>
      </c>
      <c r="C49" s="3291"/>
      <c r="D49" s="3296" t="s">
        <v>3785</v>
      </c>
      <c r="E49" s="3292">
        <v>369886.73</v>
      </c>
      <c r="F49" s="3268">
        <v>0</v>
      </c>
      <c r="G49" s="3268">
        <v>0</v>
      </c>
      <c r="H49" s="3268"/>
      <c r="I49" s="3257">
        <v>0</v>
      </c>
      <c r="J49" s="3257">
        <v>0</v>
      </c>
      <c r="K49" s="3257">
        <v>0</v>
      </c>
      <c r="L49" s="3294" t="s">
        <v>3786</v>
      </c>
      <c r="M49" s="3295"/>
    </row>
    <row r="50" spans="1:13" s="3251" customFormat="1" outlineLevel="2">
      <c r="A50" s="3306" t="s">
        <v>3787</v>
      </c>
      <c r="B50" s="3291" t="s">
        <v>3788</v>
      </c>
      <c r="C50" s="3291"/>
      <c r="D50" s="3296" t="s">
        <v>3789</v>
      </c>
      <c r="E50" s="3292">
        <v>100</v>
      </c>
      <c r="F50" s="3268">
        <v>20000</v>
      </c>
      <c r="G50" s="3268">
        <v>177.88749190774021</v>
      </c>
      <c r="H50" s="3268"/>
      <c r="I50" s="3257">
        <v>4.8092423296110196</v>
      </c>
      <c r="J50" s="3257">
        <v>6.0490341474386993</v>
      </c>
      <c r="K50" s="3257">
        <v>6.0490341474386993</v>
      </c>
      <c r="L50" s="3294" t="s">
        <v>3786</v>
      </c>
      <c r="M50" s="3295"/>
    </row>
    <row r="51" spans="1:13" s="3251" customFormat="1" outlineLevel="2">
      <c r="A51" s="3306" t="s">
        <v>3790</v>
      </c>
      <c r="B51" s="3291" t="s">
        <v>3791</v>
      </c>
      <c r="C51" s="3291" t="s">
        <v>3792</v>
      </c>
      <c r="D51" s="3296" t="s">
        <v>3709</v>
      </c>
      <c r="E51" s="3292">
        <v>0</v>
      </c>
      <c r="F51" s="3268">
        <v>50</v>
      </c>
      <c r="G51" s="3268">
        <v>0</v>
      </c>
      <c r="H51" s="3268" t="s">
        <v>3793</v>
      </c>
      <c r="I51" s="3257">
        <v>0</v>
      </c>
      <c r="J51" s="3257">
        <v>0</v>
      </c>
      <c r="K51" s="3257">
        <v>0</v>
      </c>
      <c r="L51" s="3294" t="s">
        <v>3711</v>
      </c>
      <c r="M51" s="3295"/>
    </row>
    <row r="52" spans="1:13" s="3251" customFormat="1" outlineLevel="2">
      <c r="A52" s="3306" t="s">
        <v>3794</v>
      </c>
      <c r="B52" s="3291" t="s">
        <v>3795</v>
      </c>
      <c r="C52" s="3291"/>
      <c r="D52" s="3296" t="s">
        <v>3709</v>
      </c>
      <c r="E52" s="3292">
        <v>1</v>
      </c>
      <c r="F52" s="3268">
        <v>3000000</v>
      </c>
      <c r="G52" s="3268">
        <v>37.409838956161025</v>
      </c>
      <c r="H52" s="3268"/>
      <c r="I52" s="3257">
        <v>1.0113863494416526</v>
      </c>
      <c r="J52" s="3257">
        <v>1.2721152615573759</v>
      </c>
      <c r="K52" s="3257">
        <v>1.2721152615573759</v>
      </c>
      <c r="L52" s="3294" t="s">
        <v>3711</v>
      </c>
      <c r="M52" s="3295"/>
    </row>
    <row r="53" spans="1:13" s="3251" customFormat="1" outlineLevel="3">
      <c r="A53" s="3306" t="s">
        <v>3796</v>
      </c>
      <c r="B53" s="3291" t="s">
        <v>3797</v>
      </c>
      <c r="C53" s="3291"/>
      <c r="D53" s="3296" t="s">
        <v>3709</v>
      </c>
      <c r="E53" s="3292">
        <v>369886.73</v>
      </c>
      <c r="F53" s="3268">
        <v>0.28999999999999998</v>
      </c>
      <c r="G53" s="3268">
        <v>10.726715169999999</v>
      </c>
      <c r="H53" s="3268"/>
      <c r="I53" s="3257">
        <v>0.28999999999999998</v>
      </c>
      <c r="J53" s="3257">
        <v>0.36476013944157132</v>
      </c>
      <c r="K53" s="3257">
        <v>0.36476013944157132</v>
      </c>
      <c r="L53" s="3294" t="s">
        <v>3711</v>
      </c>
      <c r="M53" s="3295"/>
    </row>
    <row r="54" spans="1:13" s="3251" customFormat="1" outlineLevel="3">
      <c r="A54" s="3306" t="s">
        <v>3798</v>
      </c>
      <c r="B54" s="3291" t="s">
        <v>3799</v>
      </c>
      <c r="C54" s="3291"/>
      <c r="D54" s="3296" t="s">
        <v>3674</v>
      </c>
      <c r="E54" s="3292">
        <v>1</v>
      </c>
      <c r="F54" s="3268">
        <v>300000</v>
      </c>
      <c r="G54" s="3268">
        <v>26.68312378616103</v>
      </c>
      <c r="H54" s="3268"/>
      <c r="I54" s="3257">
        <v>0.72138634944165281</v>
      </c>
      <c r="J54" s="3257">
        <v>0.90735512211580471</v>
      </c>
      <c r="K54" s="3257">
        <v>0.90735512211580471</v>
      </c>
      <c r="L54" s="3294" t="s">
        <v>3711</v>
      </c>
      <c r="M54" s="3295"/>
    </row>
    <row r="55" spans="1:13" s="3251" customFormat="1" ht="24" outlineLevel="2">
      <c r="A55" s="3306" t="s">
        <v>3800</v>
      </c>
      <c r="B55" s="3291" t="s">
        <v>3801</v>
      </c>
      <c r="C55" s="3291" t="s">
        <v>3802</v>
      </c>
      <c r="D55" s="3296" t="s">
        <v>3709</v>
      </c>
      <c r="E55" s="3292">
        <v>369886.73</v>
      </c>
      <c r="F55" s="3268">
        <v>1.05</v>
      </c>
      <c r="G55" s="3268">
        <v>38.83810665</v>
      </c>
      <c r="H55" s="3268"/>
      <c r="I55" s="3257">
        <v>1.05</v>
      </c>
      <c r="J55" s="3257">
        <v>1.3206832634953445</v>
      </c>
      <c r="K55" s="3257">
        <v>1.3206832634953445</v>
      </c>
      <c r="L55" s="3294" t="s">
        <v>3711</v>
      </c>
      <c r="M55" s="3295"/>
    </row>
    <row r="56" spans="1:13" s="3251" customFormat="1" outlineLevel="2">
      <c r="A56" s="3306" t="s">
        <v>3803</v>
      </c>
      <c r="B56" s="3291" t="s">
        <v>3804</v>
      </c>
      <c r="C56" s="3291" t="s">
        <v>3805</v>
      </c>
      <c r="D56" s="3296" t="s">
        <v>3709</v>
      </c>
      <c r="E56" s="3292">
        <v>369886.73</v>
      </c>
      <c r="F56" s="3268">
        <v>1.3</v>
      </c>
      <c r="G56" s="3268">
        <v>48.085274900000002</v>
      </c>
      <c r="H56" s="3268"/>
      <c r="I56" s="3257">
        <v>1.3000000000000003</v>
      </c>
      <c r="J56" s="3257">
        <v>1.6351316595656644</v>
      </c>
      <c r="K56" s="3257">
        <v>1.6351316595656644</v>
      </c>
      <c r="L56" s="3294" t="s">
        <v>3711</v>
      </c>
      <c r="M56" s="3295"/>
    </row>
    <row r="57" spans="1:13" s="3251" customFormat="1" outlineLevel="2">
      <c r="A57" s="3306" t="s">
        <v>3806</v>
      </c>
      <c r="B57" s="3291" t="s">
        <v>3807</v>
      </c>
      <c r="C57" s="3291" t="s">
        <v>3808</v>
      </c>
      <c r="D57" s="3296" t="s">
        <v>3709</v>
      </c>
      <c r="E57" s="3292">
        <v>369886.73</v>
      </c>
      <c r="F57" s="3268">
        <v>0.3</v>
      </c>
      <c r="G57" s="3268">
        <v>11.096601899999998</v>
      </c>
      <c r="H57" s="3268"/>
      <c r="I57" s="3257">
        <v>0.29999999999999993</v>
      </c>
      <c r="J57" s="3257">
        <v>0.37733807528438407</v>
      </c>
      <c r="K57" s="3257">
        <v>0.37733807528438407</v>
      </c>
      <c r="L57" s="3294" t="s">
        <v>3711</v>
      </c>
      <c r="M57" s="3295"/>
    </row>
    <row r="58" spans="1:13" s="3251" customFormat="1" ht="21.75" customHeight="1" outlineLevel="2">
      <c r="A58" s="3306" t="s">
        <v>3809</v>
      </c>
      <c r="B58" s="3291" t="s">
        <v>3810</v>
      </c>
      <c r="C58" s="3291" t="s">
        <v>3811</v>
      </c>
      <c r="D58" s="3296" t="s">
        <v>3709</v>
      </c>
      <c r="E58" s="3292">
        <v>0</v>
      </c>
      <c r="F58" s="3268">
        <v>0</v>
      </c>
      <c r="G58" s="3268">
        <v>0</v>
      </c>
      <c r="H58" s="3268"/>
      <c r="I58" s="3257">
        <v>0</v>
      </c>
      <c r="J58" s="3257">
        <v>0</v>
      </c>
      <c r="K58" s="3257">
        <v>0</v>
      </c>
      <c r="L58" s="3294" t="s">
        <v>3711</v>
      </c>
      <c r="M58" s="3295"/>
    </row>
    <row r="59" spans="1:13" s="3251" customFormat="1" outlineLevel="2">
      <c r="A59" s="3306" t="s">
        <v>3812</v>
      </c>
      <c r="B59" s="3291" t="s">
        <v>3813</v>
      </c>
      <c r="C59" s="3291" t="s">
        <v>3814</v>
      </c>
      <c r="D59" s="3296" t="s">
        <v>3709</v>
      </c>
      <c r="E59" s="3292">
        <v>0</v>
      </c>
      <c r="F59" s="3268">
        <v>0</v>
      </c>
      <c r="G59" s="3268">
        <v>0</v>
      </c>
      <c r="H59" s="3268"/>
      <c r="I59" s="3257">
        <v>0</v>
      </c>
      <c r="J59" s="3257">
        <v>0</v>
      </c>
      <c r="K59" s="3257">
        <v>0</v>
      </c>
      <c r="L59" s="3294" t="s">
        <v>3711</v>
      </c>
      <c r="M59" s="3295"/>
    </row>
    <row r="60" spans="1:13" s="3251" customFormat="1" outlineLevel="2">
      <c r="A60" s="3306" t="s">
        <v>3815</v>
      </c>
      <c r="B60" s="3291" t="s">
        <v>3816</v>
      </c>
      <c r="C60" s="3291"/>
      <c r="D60" s="3296" t="s">
        <v>3709</v>
      </c>
      <c r="E60" s="3292">
        <v>369886.73</v>
      </c>
      <c r="F60" s="3268">
        <v>1.5</v>
      </c>
      <c r="G60" s="3268">
        <v>55.483009499999994</v>
      </c>
      <c r="H60" s="3268"/>
      <c r="I60" s="3257">
        <v>1.4999999999999998</v>
      </c>
      <c r="J60" s="3257">
        <v>1.8866903764219205</v>
      </c>
      <c r="K60" s="3257">
        <v>1.8866903764219205</v>
      </c>
      <c r="L60" s="3294" t="s">
        <v>3711</v>
      </c>
      <c r="M60" s="3295"/>
    </row>
    <row r="61" spans="1:13" s="3315" customFormat="1" ht="14.25" outlineLevel="2">
      <c r="A61" s="3306" t="s">
        <v>3817</v>
      </c>
      <c r="B61" s="3312" t="s">
        <v>3818</v>
      </c>
      <c r="C61" s="3312"/>
      <c r="D61" s="3296" t="s">
        <v>3709</v>
      </c>
      <c r="E61" s="3292">
        <v>0</v>
      </c>
      <c r="F61" s="3268">
        <v>0</v>
      </c>
      <c r="G61" s="3268">
        <v>0</v>
      </c>
      <c r="H61" s="3313"/>
      <c r="I61" s="3257">
        <v>0</v>
      </c>
      <c r="J61" s="3257">
        <v>0</v>
      </c>
      <c r="K61" s="3257">
        <v>0</v>
      </c>
      <c r="L61" s="3294" t="s">
        <v>3711</v>
      </c>
      <c r="M61" s="3314"/>
    </row>
    <row r="62" spans="1:13" s="3251" customFormat="1" outlineLevel="2">
      <c r="A62" s="3306" t="s">
        <v>3819</v>
      </c>
      <c r="B62" s="3291" t="s">
        <v>3820</v>
      </c>
      <c r="C62" s="3291"/>
      <c r="D62" s="3296" t="s">
        <v>3674</v>
      </c>
      <c r="E62" s="3292">
        <v>0</v>
      </c>
      <c r="F62" s="3268">
        <v>0</v>
      </c>
      <c r="G62" s="3316">
        <v>0</v>
      </c>
      <c r="H62" s="3317"/>
      <c r="I62" s="3257">
        <v>0</v>
      </c>
      <c r="J62" s="3257">
        <v>0</v>
      </c>
      <c r="K62" s="3257">
        <v>0</v>
      </c>
      <c r="L62" s="3294" t="s">
        <v>3711</v>
      </c>
      <c r="M62" s="3295"/>
    </row>
    <row r="63" spans="1:13" s="3315" customFormat="1" ht="48" outlineLevel="2">
      <c r="A63" s="3306" t="s">
        <v>3821</v>
      </c>
      <c r="B63" s="3312" t="s">
        <v>3822</v>
      </c>
      <c r="C63" s="3312"/>
      <c r="D63" s="3296" t="s">
        <v>3823</v>
      </c>
      <c r="E63" s="3292">
        <v>3164</v>
      </c>
      <c r="F63" s="3268"/>
      <c r="G63" s="3268">
        <v>10.563499999999999</v>
      </c>
      <c r="H63" s="3297" t="s">
        <v>3824</v>
      </c>
      <c r="I63" s="3257">
        <v>0.28558742834596956</v>
      </c>
      <c r="J63" s="3257">
        <v>0.35921003512495042</v>
      </c>
      <c r="K63" s="3257">
        <v>0.35921003512495042</v>
      </c>
      <c r="L63" s="3294" t="s">
        <v>3711</v>
      </c>
      <c r="M63" s="3314"/>
    </row>
    <row r="64" spans="1:13" s="3315" customFormat="1" ht="36" outlineLevel="2">
      <c r="A64" s="3306" t="s">
        <v>3825</v>
      </c>
      <c r="B64" s="3312" t="s">
        <v>3826</v>
      </c>
      <c r="C64" s="3312"/>
      <c r="D64" s="3296" t="s">
        <v>3823</v>
      </c>
      <c r="E64" s="3292">
        <v>3164</v>
      </c>
      <c r="F64" s="3268"/>
      <c r="G64" s="3268">
        <v>101.17</v>
      </c>
      <c r="H64" s="3297" t="s">
        <v>3827</v>
      </c>
      <c r="I64" s="3257">
        <v>2.7351616534067063</v>
      </c>
      <c r="J64" s="3257">
        <v>3.440268779627135</v>
      </c>
      <c r="K64" s="3257">
        <v>3.440268779627135</v>
      </c>
      <c r="L64" s="3294" t="s">
        <v>3711</v>
      </c>
      <c r="M64" s="3314"/>
    </row>
    <row r="65" spans="1:13" s="3315" customFormat="1" ht="14.25" outlineLevel="2">
      <c r="A65" s="3306" t="s">
        <v>3828</v>
      </c>
      <c r="B65" s="3312" t="s">
        <v>3829</v>
      </c>
      <c r="C65" s="3312"/>
      <c r="D65" s="3296" t="s">
        <v>3709</v>
      </c>
      <c r="E65" s="3292">
        <v>369886.73</v>
      </c>
      <c r="F65" s="3268">
        <v>25.2</v>
      </c>
      <c r="G65" s="3268">
        <v>932.11455959999989</v>
      </c>
      <c r="H65" s="3313"/>
      <c r="I65" s="3257">
        <v>25.199999999999996</v>
      </c>
      <c r="J65" s="3257">
        <v>31.696398323888264</v>
      </c>
      <c r="K65" s="3257">
        <v>31.696398323888264</v>
      </c>
      <c r="L65" s="3294" t="s">
        <v>3711</v>
      </c>
      <c r="M65" s="3314"/>
    </row>
    <row r="66" spans="1:13" s="3251" customFormat="1" ht="36" outlineLevel="2">
      <c r="A66" s="3306" t="s">
        <v>3830</v>
      </c>
      <c r="B66" s="3291" t="s">
        <v>3831</v>
      </c>
      <c r="C66" s="3291"/>
      <c r="D66" s="3296" t="s">
        <v>3674</v>
      </c>
      <c r="E66" s="3292">
        <v>1</v>
      </c>
      <c r="F66" s="3268">
        <v>225500</v>
      </c>
      <c r="G66" s="3268">
        <v>20.05681471259771</v>
      </c>
      <c r="H66" s="3268"/>
      <c r="I66" s="3257">
        <v>0.54224207266364255</v>
      </c>
      <c r="J66" s="3257">
        <v>0.68202860012371336</v>
      </c>
      <c r="K66" s="3257">
        <v>0.68202860012371336</v>
      </c>
      <c r="L66" s="3294" t="s">
        <v>3711</v>
      </c>
      <c r="M66" s="3295"/>
    </row>
    <row r="67" spans="1:13" s="3251" customFormat="1" outlineLevel="2">
      <c r="A67" s="3306" t="s">
        <v>3832</v>
      </c>
      <c r="B67" s="3291" t="s">
        <v>3833</v>
      </c>
      <c r="C67" s="3291"/>
      <c r="D67" s="3296" t="s">
        <v>3834</v>
      </c>
      <c r="E67" s="3292">
        <v>1</v>
      </c>
      <c r="F67" s="3268">
        <v>500000</v>
      </c>
      <c r="G67" s="3268">
        <v>44.471872976935053</v>
      </c>
      <c r="H67" s="3268"/>
      <c r="I67" s="3257">
        <v>1.2023105824027549</v>
      </c>
      <c r="J67" s="3257">
        <v>1.5122585368596748</v>
      </c>
      <c r="K67" s="3257">
        <v>1.5122585368596748</v>
      </c>
      <c r="L67" s="3294" t="s">
        <v>3835</v>
      </c>
      <c r="M67" s="3295"/>
    </row>
    <row r="68" spans="1:13" s="3251" customFormat="1" outlineLevel="2">
      <c r="A68" s="3306" t="s">
        <v>3836</v>
      </c>
      <c r="B68" s="3291" t="s">
        <v>3837</v>
      </c>
      <c r="C68" s="3291"/>
      <c r="D68" s="3296" t="s">
        <v>3838</v>
      </c>
      <c r="E68" s="3292">
        <v>364832.58797344199</v>
      </c>
      <c r="F68" s="3268">
        <v>1.2</v>
      </c>
      <c r="G68" s="3268">
        <v>43.779910556813036</v>
      </c>
      <c r="H68" s="3268" t="s">
        <v>3839</v>
      </c>
      <c r="I68" s="3257"/>
      <c r="J68" s="3257"/>
      <c r="K68" s="3257"/>
      <c r="L68" s="3294"/>
      <c r="M68" s="3295"/>
    </row>
    <row r="69" spans="1:13" s="3251" customFormat="1" outlineLevel="3">
      <c r="A69" s="3306"/>
      <c r="B69" s="3291"/>
      <c r="C69" s="3291"/>
      <c r="D69" s="3296"/>
      <c r="E69" s="3292"/>
      <c r="F69" s="3268"/>
      <c r="G69" s="3307"/>
      <c r="H69" s="3268"/>
      <c r="I69" s="3257"/>
      <c r="J69" s="3257"/>
      <c r="K69" s="3257"/>
      <c r="L69" s="3294"/>
      <c r="M69" s="3295"/>
    </row>
    <row r="70" spans="1:13" s="3251" customFormat="1" ht="21.75" customHeight="1" outlineLevel="1">
      <c r="A70" s="3289">
        <v>2.4</v>
      </c>
      <c r="B70" s="3290" t="s">
        <v>3840</v>
      </c>
      <c r="C70" s="3291" t="s">
        <v>3841</v>
      </c>
      <c r="D70" s="3296"/>
      <c r="E70" s="3292"/>
      <c r="F70" s="3268"/>
      <c r="G70" s="3268">
        <v>954.16981061771889</v>
      </c>
      <c r="H70" s="3268"/>
      <c r="I70" s="3257">
        <v>25.796270404664664</v>
      </c>
      <c r="J70" s="3257">
        <v>32.446383413372281</v>
      </c>
      <c r="K70" s="3257">
        <v>32.446383413372281</v>
      </c>
      <c r="L70" s="3294" t="s">
        <v>3835</v>
      </c>
      <c r="M70" s="3295"/>
    </row>
    <row r="71" spans="1:13" s="3251" customFormat="1" ht="24" outlineLevel="2">
      <c r="A71" s="3306" t="s">
        <v>3842</v>
      </c>
      <c r="B71" s="3291" t="s">
        <v>3843</v>
      </c>
      <c r="C71" s="3291" t="s">
        <v>3844</v>
      </c>
      <c r="D71" s="3296" t="s">
        <v>3834</v>
      </c>
      <c r="E71" s="3292">
        <v>1</v>
      </c>
      <c r="F71" s="3268">
        <v>1045000</v>
      </c>
      <c r="G71" s="3268">
        <v>92.946214521794261</v>
      </c>
      <c r="H71" s="3268"/>
      <c r="I71" s="3257">
        <v>2.5128291172217576</v>
      </c>
      <c r="J71" s="3257">
        <v>3.16062034203672</v>
      </c>
      <c r="K71" s="3257">
        <v>3.16062034203672</v>
      </c>
      <c r="L71" s="3294" t="s">
        <v>3835</v>
      </c>
      <c r="M71" s="3295"/>
    </row>
    <row r="72" spans="1:13" s="3251" customFormat="1" ht="24" outlineLevel="2">
      <c r="A72" s="3306" t="s">
        <v>3845</v>
      </c>
      <c r="B72" s="3291" t="s">
        <v>3846</v>
      </c>
      <c r="C72" s="3291" t="s">
        <v>3847</v>
      </c>
      <c r="D72" s="3296" t="s">
        <v>3834</v>
      </c>
      <c r="E72" s="3292">
        <v>1</v>
      </c>
      <c r="F72" s="3268">
        <v>50000</v>
      </c>
      <c r="G72" s="3268">
        <v>4.447187297693505</v>
      </c>
      <c r="H72" s="3268"/>
      <c r="I72" s="3257">
        <v>0.12023105824027548</v>
      </c>
      <c r="J72" s="3257">
        <v>0.15122585368596747</v>
      </c>
      <c r="K72" s="3257">
        <v>0.15122585368596747</v>
      </c>
      <c r="L72" s="3294" t="s">
        <v>3835</v>
      </c>
      <c r="M72" s="3295"/>
    </row>
    <row r="73" spans="1:13" s="3251" customFormat="1" ht="26.25" customHeight="1" outlineLevel="2">
      <c r="A73" s="3306" t="s">
        <v>3848</v>
      </c>
      <c r="B73" s="3318" t="s">
        <v>3849</v>
      </c>
      <c r="C73" s="3291" t="s">
        <v>3850</v>
      </c>
      <c r="D73" s="3296" t="s">
        <v>3709</v>
      </c>
      <c r="E73" s="3292">
        <v>364832.58797344199</v>
      </c>
      <c r="F73" s="3268">
        <v>2.5</v>
      </c>
      <c r="G73" s="3316">
        <v>91.208146993360501</v>
      </c>
      <c r="H73" s="3268" t="s">
        <v>3724</v>
      </c>
      <c r="I73" s="3257">
        <v>2.4658399341160604</v>
      </c>
      <c r="J73" s="3257">
        <v>3.1015176489957557</v>
      </c>
      <c r="K73" s="3257">
        <v>3.1015176489957557</v>
      </c>
      <c r="L73" s="3294" t="s">
        <v>3711</v>
      </c>
      <c r="M73" s="3295"/>
    </row>
    <row r="74" spans="1:13" s="3251" customFormat="1" outlineLevel="2">
      <c r="A74" s="3306" t="s">
        <v>3851</v>
      </c>
      <c r="B74" s="3291" t="s">
        <v>3852</v>
      </c>
      <c r="C74" s="3291" t="s">
        <v>3853</v>
      </c>
      <c r="D74" s="3296"/>
      <c r="E74" s="3292">
        <v>0</v>
      </c>
      <c r="F74" s="3268">
        <v>0</v>
      </c>
      <c r="G74" s="3316">
        <v>0</v>
      </c>
      <c r="H74" s="3268"/>
      <c r="I74" s="3257">
        <v>0</v>
      </c>
      <c r="J74" s="3257">
        <v>0</v>
      </c>
      <c r="K74" s="3257">
        <v>0</v>
      </c>
      <c r="L74" s="3294" t="s">
        <v>3711</v>
      </c>
      <c r="M74" s="3295"/>
    </row>
    <row r="75" spans="1:13" s="3251" customFormat="1" ht="24" outlineLevel="2">
      <c r="A75" s="3306" t="s">
        <v>3854</v>
      </c>
      <c r="B75" s="3291" t="s">
        <v>3855</v>
      </c>
      <c r="C75" s="3291" t="s">
        <v>3856</v>
      </c>
      <c r="D75" s="3296"/>
      <c r="E75" s="3292">
        <v>0</v>
      </c>
      <c r="F75" s="3268">
        <v>0</v>
      </c>
      <c r="G75" s="3316">
        <v>0</v>
      </c>
      <c r="H75" s="3268"/>
      <c r="I75" s="3257">
        <v>0</v>
      </c>
      <c r="J75" s="3257">
        <v>0</v>
      </c>
      <c r="K75" s="3257">
        <v>0</v>
      </c>
      <c r="L75" s="3294" t="s">
        <v>3711</v>
      </c>
      <c r="M75" s="3295"/>
    </row>
    <row r="76" spans="1:13" s="3251" customFormat="1" outlineLevel="2">
      <c r="A76" s="3306" t="s">
        <v>3857</v>
      </c>
      <c r="B76" s="3310" t="s">
        <v>3858</v>
      </c>
      <c r="C76" s="3291"/>
      <c r="D76" s="3296"/>
      <c r="E76" s="3292">
        <v>0</v>
      </c>
      <c r="F76" s="3268">
        <v>0</v>
      </c>
      <c r="G76" s="3316">
        <v>0</v>
      </c>
      <c r="H76" s="3268"/>
      <c r="I76" s="3257">
        <v>0</v>
      </c>
      <c r="J76" s="3257">
        <v>0</v>
      </c>
      <c r="K76" s="3257">
        <v>0</v>
      </c>
      <c r="L76" s="3294" t="s">
        <v>3711</v>
      </c>
      <c r="M76" s="3295"/>
    </row>
    <row r="77" spans="1:13" s="3251" customFormat="1" outlineLevel="2">
      <c r="A77" s="3306" t="s">
        <v>3859</v>
      </c>
      <c r="B77" s="3310" t="s">
        <v>3860</v>
      </c>
      <c r="C77" s="3291"/>
      <c r="D77" s="3296"/>
      <c r="E77" s="3292">
        <v>0</v>
      </c>
      <c r="F77" s="3268">
        <v>0</v>
      </c>
      <c r="G77" s="3316">
        <v>0</v>
      </c>
      <c r="H77" s="3268"/>
      <c r="I77" s="3257">
        <v>0</v>
      </c>
      <c r="J77" s="3257">
        <v>0</v>
      </c>
      <c r="K77" s="3257">
        <v>0</v>
      </c>
      <c r="L77" s="3294" t="s">
        <v>3835</v>
      </c>
      <c r="M77" s="3295"/>
    </row>
    <row r="78" spans="1:13" s="3251" customFormat="1" outlineLevel="2">
      <c r="A78" s="3306" t="s">
        <v>3861</v>
      </c>
      <c r="B78" s="3310" t="s">
        <v>3862</v>
      </c>
      <c r="C78" s="3291"/>
      <c r="D78" s="3296" t="s">
        <v>3834</v>
      </c>
      <c r="E78" s="3292">
        <v>1</v>
      </c>
      <c r="F78" s="3268">
        <v>5000000</v>
      </c>
      <c r="G78" s="3268">
        <v>444.71872976935049</v>
      </c>
      <c r="H78" s="3268"/>
      <c r="I78" s="3257">
        <v>12.023105824027548</v>
      </c>
      <c r="J78" s="3257">
        <v>15.122585368596747</v>
      </c>
      <c r="K78" s="3257">
        <v>15.122585368596747</v>
      </c>
      <c r="L78" s="3294" t="s">
        <v>3835</v>
      </c>
      <c r="M78" s="3295"/>
    </row>
    <row r="79" spans="1:13" s="3251" customFormat="1" ht="26.25" customHeight="1" outlineLevel="2">
      <c r="A79" s="3306" t="s">
        <v>3863</v>
      </c>
      <c r="B79" s="3319" t="s">
        <v>3864</v>
      </c>
      <c r="C79" s="3291" t="s">
        <v>3865</v>
      </c>
      <c r="D79" s="3296"/>
      <c r="E79" s="3292">
        <v>0</v>
      </c>
      <c r="F79" s="3268">
        <v>0</v>
      </c>
      <c r="G79" s="3316">
        <v>0</v>
      </c>
      <c r="H79" s="3268"/>
      <c r="I79" s="3257">
        <v>0</v>
      </c>
      <c r="J79" s="3257">
        <v>0</v>
      </c>
      <c r="K79" s="3257">
        <v>0</v>
      </c>
      <c r="L79" s="3294" t="s">
        <v>3835</v>
      </c>
      <c r="M79" s="3295"/>
    </row>
    <row r="80" spans="1:13" s="3251" customFormat="1" outlineLevel="2">
      <c r="A80" s="3306" t="s">
        <v>3866</v>
      </c>
      <c r="B80" s="3319" t="s">
        <v>3867</v>
      </c>
      <c r="C80" s="3291"/>
      <c r="D80" s="3296"/>
      <c r="E80" s="3292">
        <v>0</v>
      </c>
      <c r="F80" s="3268">
        <v>0</v>
      </c>
      <c r="G80" s="3307">
        <v>320.84953203552021</v>
      </c>
      <c r="H80" s="3268" t="s">
        <v>3868</v>
      </c>
      <c r="I80" s="3257">
        <v>8.6742644710590238</v>
      </c>
      <c r="J80" s="3257">
        <v>10.910434200057095</v>
      </c>
      <c r="K80" s="3257">
        <v>10.910434200057095</v>
      </c>
      <c r="L80" s="3294" t="s">
        <v>3835</v>
      </c>
      <c r="M80" s="3295"/>
    </row>
    <row r="81" spans="1:13" s="3251" customFormat="1" ht="24" outlineLevel="2">
      <c r="A81" s="3320">
        <v>2.5</v>
      </c>
      <c r="B81" s="3321" t="s">
        <v>3869</v>
      </c>
      <c r="C81" s="3291" t="s">
        <v>3870</v>
      </c>
      <c r="D81" s="3296"/>
      <c r="E81" s="3292">
        <v>0</v>
      </c>
      <c r="F81" s="3268">
        <v>0</v>
      </c>
      <c r="G81" s="3316">
        <v>0</v>
      </c>
      <c r="H81" s="3316"/>
      <c r="I81" s="3257">
        <v>0</v>
      </c>
      <c r="J81" s="3257">
        <v>0</v>
      </c>
      <c r="K81" s="3257">
        <v>0</v>
      </c>
      <c r="L81" s="3322" t="s">
        <v>3871</v>
      </c>
      <c r="M81" s="3295"/>
    </row>
    <row r="82" spans="1:13" s="3288" customFormat="1" ht="23.25" customHeight="1">
      <c r="A82" s="3278">
        <v>3</v>
      </c>
      <c r="B82" s="3279" t="s">
        <v>3872</v>
      </c>
      <c r="C82" s="3308" t="s">
        <v>3873</v>
      </c>
      <c r="D82" s="3323"/>
      <c r="E82" s="3324">
        <v>369886.73</v>
      </c>
      <c r="F82" s="3284">
        <v>727.09661223917908</v>
      </c>
      <c r="G82" s="3284">
        <v>26894.338829522789</v>
      </c>
      <c r="H82" s="3285"/>
      <c r="I82" s="3257">
        <v>727.09661223917908</v>
      </c>
      <c r="J82" s="3257">
        <v>914.5374540270933</v>
      </c>
      <c r="K82" s="3257">
        <v>914.5374540270933</v>
      </c>
      <c r="L82" s="3286" t="s">
        <v>3711</v>
      </c>
      <c r="M82" s="3287"/>
    </row>
    <row r="83" spans="1:13" s="3331" customFormat="1" ht="36" outlineLevel="1">
      <c r="A83" s="3289">
        <v>3.1</v>
      </c>
      <c r="B83" s="3325" t="s">
        <v>3874</v>
      </c>
      <c r="C83" s="3326" t="s">
        <v>3875</v>
      </c>
      <c r="D83" s="3327"/>
      <c r="E83" s="3328"/>
      <c r="F83" s="3329"/>
      <c r="G83" s="3329">
        <v>2110.8929278724077</v>
      </c>
      <c r="H83" s="3330"/>
      <c r="I83" s="3257">
        <v>57.068630925808229</v>
      </c>
      <c r="J83" s="3257">
        <v>71.780557842197851</v>
      </c>
      <c r="K83" s="3257">
        <v>71.780557842197851</v>
      </c>
      <c r="L83" s="3294" t="s">
        <v>3711</v>
      </c>
      <c r="M83" s="3329"/>
    </row>
    <row r="84" spans="1:13" s="3331" customFormat="1" ht="27.75" customHeight="1" outlineLevel="2">
      <c r="A84" s="3306" t="s">
        <v>3876</v>
      </c>
      <c r="B84" s="3332" t="s">
        <v>3877</v>
      </c>
      <c r="C84" s="3326" t="s">
        <v>3878</v>
      </c>
      <c r="D84" s="3333" t="s">
        <v>3879</v>
      </c>
      <c r="E84" s="3292">
        <v>1550</v>
      </c>
      <c r="F84" s="3268">
        <v>3360</v>
      </c>
      <c r="G84" s="3316">
        <v>520.79999999999995</v>
      </c>
      <c r="H84" s="3329"/>
      <c r="I84" s="3257">
        <v>14.079986054109051</v>
      </c>
      <c r="J84" s="3257">
        <v>17.709716125628265</v>
      </c>
      <c r="K84" s="3257">
        <v>17.709716125628265</v>
      </c>
      <c r="L84" s="3294" t="s">
        <v>3880</v>
      </c>
      <c r="M84" s="3329"/>
    </row>
    <row r="85" spans="1:13" s="3331" customFormat="1" ht="26.25" customHeight="1" outlineLevel="2">
      <c r="A85" s="3306" t="s">
        <v>3881</v>
      </c>
      <c r="B85" s="3332" t="s">
        <v>3882</v>
      </c>
      <c r="C85" s="3326" t="s">
        <v>3878</v>
      </c>
      <c r="D85" s="3333" t="s">
        <v>3883</v>
      </c>
      <c r="E85" s="3292">
        <v>154912.04</v>
      </c>
      <c r="F85" s="3268">
        <v>3360</v>
      </c>
      <c r="G85" s="3316">
        <v>650.63056800000004</v>
      </c>
      <c r="H85" s="3329" t="s">
        <v>3884</v>
      </c>
      <c r="I85" s="3257">
        <v>17.58999486139987</v>
      </c>
      <c r="J85" s="3257">
        <v>22.124582684209443</v>
      </c>
      <c r="K85" s="3257">
        <v>22.124582684209443</v>
      </c>
      <c r="L85" s="3294" t="s">
        <v>3880</v>
      </c>
      <c r="M85" s="3329"/>
    </row>
    <row r="86" spans="1:13" s="3331" customFormat="1" ht="21" customHeight="1" outlineLevel="2">
      <c r="A86" s="3306"/>
      <c r="B86" s="3332" t="s">
        <v>3885</v>
      </c>
      <c r="C86" s="3326"/>
      <c r="D86" s="3333" t="s">
        <v>3886</v>
      </c>
      <c r="E86" s="3292">
        <v>1</v>
      </c>
      <c r="F86" s="3268">
        <v>1500000</v>
      </c>
      <c r="G86" s="3268">
        <v>133.41561893080515</v>
      </c>
      <c r="H86" s="3329"/>
      <c r="I86" s="3257">
        <v>3.6069317472082645</v>
      </c>
      <c r="J86" s="3257">
        <v>4.5367756105790242</v>
      </c>
      <c r="K86" s="3257">
        <v>4.5367756105790242</v>
      </c>
      <c r="L86" s="3294"/>
      <c r="M86" s="3329"/>
    </row>
    <row r="87" spans="1:13" s="3331" customFormat="1" ht="24" outlineLevel="2">
      <c r="A87" s="3306" t="s">
        <v>3887</v>
      </c>
      <c r="B87" s="3332" t="s">
        <v>3888</v>
      </c>
      <c r="C87" s="3326" t="s">
        <v>3889</v>
      </c>
      <c r="D87" s="3334"/>
      <c r="E87" s="3292"/>
      <c r="F87" s="3268"/>
      <c r="G87" s="3316"/>
      <c r="H87" s="3329"/>
      <c r="I87" s="3257">
        <v>0</v>
      </c>
      <c r="J87" s="3257">
        <v>0</v>
      </c>
      <c r="K87" s="3257">
        <v>0</v>
      </c>
      <c r="L87" s="3294" t="s">
        <v>3880</v>
      </c>
      <c r="M87" s="3329"/>
    </row>
    <row r="88" spans="1:13" s="3331" customFormat="1" ht="93.75" customHeight="1" outlineLevel="2">
      <c r="A88" s="3306" t="s">
        <v>3890</v>
      </c>
      <c r="B88" s="3332" t="s">
        <v>3891</v>
      </c>
      <c r="C88" s="3335" t="s">
        <v>3892</v>
      </c>
      <c r="D88" s="3333" t="s">
        <v>3709</v>
      </c>
      <c r="E88" s="3336">
        <v>268682.24698053417</v>
      </c>
      <c r="F88" s="3268">
        <v>30</v>
      </c>
      <c r="G88" s="3316">
        <v>806.04674094160259</v>
      </c>
      <c r="H88" s="3337" t="s">
        <v>3724</v>
      </c>
      <c r="I88" s="3257">
        <v>21.791718263091045</v>
      </c>
      <c r="J88" s="3257">
        <v>27.409483421781122</v>
      </c>
      <c r="K88" s="3257">
        <v>27.409483421781122</v>
      </c>
      <c r="L88" s="3294" t="s">
        <v>3711</v>
      </c>
      <c r="M88" s="3329"/>
    </row>
    <row r="89" spans="1:13" s="3331" customFormat="1" ht="21" customHeight="1" outlineLevel="2">
      <c r="A89" s="3306" t="s">
        <v>3893</v>
      </c>
      <c r="B89" s="3332" t="s">
        <v>3894</v>
      </c>
      <c r="C89" s="3335"/>
      <c r="D89" s="3334"/>
      <c r="E89" s="3292"/>
      <c r="F89" s="3268"/>
      <c r="G89" s="3316"/>
      <c r="H89" s="3329"/>
      <c r="I89" s="3257">
        <v>0</v>
      </c>
      <c r="J89" s="3257">
        <v>0</v>
      </c>
      <c r="K89" s="3257">
        <v>0</v>
      </c>
      <c r="L89" s="3294" t="s">
        <v>3711</v>
      </c>
      <c r="M89" s="3329"/>
    </row>
    <row r="90" spans="1:13" s="3331" customFormat="1" ht="20.25" customHeight="1" outlineLevel="2">
      <c r="A90" s="3306" t="s">
        <v>3895</v>
      </c>
      <c r="B90" s="3332" t="s">
        <v>3896</v>
      </c>
      <c r="C90" s="3335"/>
      <c r="D90" s="3334"/>
      <c r="E90" s="3292"/>
      <c r="F90" s="3268"/>
      <c r="G90" s="3316"/>
      <c r="H90" s="3329"/>
      <c r="I90" s="3257">
        <v>0</v>
      </c>
      <c r="J90" s="3257">
        <v>0</v>
      </c>
      <c r="K90" s="3257">
        <v>0</v>
      </c>
      <c r="L90" s="3294" t="s">
        <v>3711</v>
      </c>
      <c r="M90" s="3329"/>
    </row>
    <row r="91" spans="1:13" s="3331" customFormat="1" ht="36" outlineLevel="1">
      <c r="A91" s="3289" t="s">
        <v>3897</v>
      </c>
      <c r="B91" s="3325" t="s">
        <v>3898</v>
      </c>
      <c r="C91" s="3326" t="s">
        <v>3899</v>
      </c>
      <c r="D91" s="3333" t="s">
        <v>3823</v>
      </c>
      <c r="E91" s="3292">
        <v>1614</v>
      </c>
      <c r="F91" s="3268">
        <v>4910</v>
      </c>
      <c r="G91" s="3316">
        <v>792.47400000000005</v>
      </c>
      <c r="H91" s="3329"/>
      <c r="I91" s="3257">
        <v>21.424775092634441</v>
      </c>
      <c r="J91" s="3257">
        <v>26.947944656184976</v>
      </c>
      <c r="K91" s="3257">
        <v>26.947944656184976</v>
      </c>
      <c r="L91" s="3294" t="s">
        <v>3711</v>
      </c>
      <c r="M91" s="3329"/>
    </row>
    <row r="92" spans="1:13" s="3331" customFormat="1" ht="36" outlineLevel="1">
      <c r="A92" s="3289" t="s">
        <v>3900</v>
      </c>
      <c r="B92" s="3325" t="s">
        <v>3901</v>
      </c>
      <c r="C92" s="3326" t="s">
        <v>3899</v>
      </c>
      <c r="D92" s="3333" t="s">
        <v>3709</v>
      </c>
      <c r="E92" s="3292">
        <v>154912.04</v>
      </c>
      <c r="F92" s="3268">
        <v>60</v>
      </c>
      <c r="G92" s="3316">
        <v>929.47224000000006</v>
      </c>
      <c r="H92" s="3329"/>
      <c r="I92" s="3257">
        <v>25.1285640877141</v>
      </c>
      <c r="J92" s="3257">
        <v>31.606546691727775</v>
      </c>
      <c r="K92" s="3257">
        <v>31.606546691727775</v>
      </c>
      <c r="L92" s="3294" t="s">
        <v>3711</v>
      </c>
      <c r="M92" s="3329"/>
    </row>
    <row r="93" spans="1:13" s="3288" customFormat="1" ht="27" customHeight="1" outlineLevel="1">
      <c r="A93" s="3289" t="s">
        <v>3902</v>
      </c>
      <c r="B93" s="3290" t="s">
        <v>3903</v>
      </c>
      <c r="C93" s="3291" t="s">
        <v>3904</v>
      </c>
      <c r="D93" s="3296" t="s">
        <v>3709</v>
      </c>
      <c r="E93" s="3292">
        <v>139163.82</v>
      </c>
      <c r="F93" s="3268">
        <v>30</v>
      </c>
      <c r="G93" s="3316">
        <v>417.49146000000002</v>
      </c>
      <c r="H93" s="3338"/>
      <c r="I93" s="3257">
        <v>11.287008322791143</v>
      </c>
      <c r="J93" s="3257">
        <v>14.196726654136114</v>
      </c>
      <c r="K93" s="3257">
        <v>14.196726654136114</v>
      </c>
      <c r="L93" s="3294" t="s">
        <v>3711</v>
      </c>
      <c r="M93" s="3339"/>
    </row>
    <row r="94" spans="1:13" s="3288" customFormat="1" ht="27" customHeight="1" outlineLevel="1">
      <c r="A94" s="3289" t="s">
        <v>3905</v>
      </c>
      <c r="B94" s="3290" t="s">
        <v>3906</v>
      </c>
      <c r="C94" s="3291" t="s">
        <v>3904</v>
      </c>
      <c r="D94" s="3296" t="s">
        <v>3709</v>
      </c>
      <c r="E94" s="3292">
        <v>154912.04</v>
      </c>
      <c r="F94" s="3268">
        <v>60</v>
      </c>
      <c r="G94" s="3316">
        <v>929.47224000000006</v>
      </c>
      <c r="H94" s="3338"/>
      <c r="I94" s="3257">
        <v>25.1285640877141</v>
      </c>
      <c r="J94" s="3257">
        <v>31.606546691727775</v>
      </c>
      <c r="K94" s="3257">
        <v>31.606546691727775</v>
      </c>
      <c r="L94" s="3294" t="s">
        <v>3711</v>
      </c>
      <c r="M94" s="3339"/>
    </row>
    <row r="95" spans="1:13" s="3288" customFormat="1" ht="12" hidden="1" outlineLevel="1">
      <c r="A95" s="3306" t="s">
        <v>3907</v>
      </c>
      <c r="B95" s="3291" t="s">
        <v>3908</v>
      </c>
      <c r="C95" s="3291"/>
      <c r="D95" s="3296"/>
      <c r="E95" s="3292" t="e">
        <v>#REF!</v>
      </c>
      <c r="F95" s="3268" t="e">
        <v>#REF!</v>
      </c>
      <c r="G95" s="3316">
        <v>0</v>
      </c>
      <c r="H95" s="3338"/>
      <c r="I95" s="3257">
        <v>0</v>
      </c>
      <c r="J95" s="3257">
        <v>0</v>
      </c>
      <c r="K95" s="3257">
        <v>0</v>
      </c>
      <c r="L95" s="3294" t="s">
        <v>3711</v>
      </c>
      <c r="M95" s="3339"/>
    </row>
    <row r="96" spans="1:13" s="3288" customFormat="1" ht="12" hidden="1" outlineLevel="1">
      <c r="A96" s="3306" t="s">
        <v>3909</v>
      </c>
      <c r="B96" s="3291" t="s">
        <v>3910</v>
      </c>
      <c r="C96" s="3291"/>
      <c r="D96" s="3296"/>
      <c r="E96" s="3292" t="e">
        <v>#REF!</v>
      </c>
      <c r="F96" s="3268" t="e">
        <v>#REF!</v>
      </c>
      <c r="G96" s="3316">
        <v>0</v>
      </c>
      <c r="H96" s="3338"/>
      <c r="I96" s="3257">
        <v>0</v>
      </c>
      <c r="J96" s="3257">
        <v>0</v>
      </c>
      <c r="K96" s="3257">
        <v>0</v>
      </c>
      <c r="L96" s="3294" t="s">
        <v>3711</v>
      </c>
      <c r="M96" s="3339"/>
    </row>
    <row r="97" spans="1:13" s="3288" customFormat="1" ht="12" hidden="1" outlineLevel="1">
      <c r="A97" s="3306" t="s">
        <v>3911</v>
      </c>
      <c r="B97" s="3291" t="s">
        <v>3912</v>
      </c>
      <c r="C97" s="3291"/>
      <c r="D97" s="3296"/>
      <c r="E97" s="3292" t="e">
        <v>#REF!</v>
      </c>
      <c r="F97" s="3268" t="e">
        <v>#REF!</v>
      </c>
      <c r="G97" s="3316">
        <v>0</v>
      </c>
      <c r="H97" s="3338"/>
      <c r="I97" s="3257">
        <v>0</v>
      </c>
      <c r="J97" s="3257">
        <v>0</v>
      </c>
      <c r="K97" s="3257">
        <v>0</v>
      </c>
      <c r="L97" s="3294" t="s">
        <v>3711</v>
      </c>
      <c r="M97" s="3339"/>
    </row>
    <row r="98" spans="1:13" s="3288" customFormat="1" ht="12" hidden="1" outlineLevel="1">
      <c r="A98" s="3306" t="s">
        <v>3913</v>
      </c>
      <c r="B98" s="3291" t="s">
        <v>3914</v>
      </c>
      <c r="C98" s="3291" t="s">
        <v>3915</v>
      </c>
      <c r="D98" s="3296"/>
      <c r="E98" s="3292" t="e">
        <v>#REF!</v>
      </c>
      <c r="F98" s="3268" t="e">
        <v>#REF!</v>
      </c>
      <c r="G98" s="3316">
        <v>0</v>
      </c>
      <c r="H98" s="3338"/>
      <c r="I98" s="3257">
        <v>0</v>
      </c>
      <c r="J98" s="3257">
        <v>0</v>
      </c>
      <c r="K98" s="3257">
        <v>0</v>
      </c>
      <c r="L98" s="3294" t="s">
        <v>3711</v>
      </c>
      <c r="M98" s="3339"/>
    </row>
    <row r="99" spans="1:13" s="3288" customFormat="1" ht="12" hidden="1" outlineLevel="1">
      <c r="A99" s="3306" t="s">
        <v>3916</v>
      </c>
      <c r="B99" s="3291" t="s">
        <v>3917</v>
      </c>
      <c r="C99" s="3291" t="s">
        <v>3918</v>
      </c>
      <c r="D99" s="3296"/>
      <c r="E99" s="3292" t="e">
        <v>#REF!</v>
      </c>
      <c r="F99" s="3268" t="e">
        <v>#REF!</v>
      </c>
      <c r="G99" s="3316">
        <v>0</v>
      </c>
      <c r="H99" s="3338"/>
      <c r="I99" s="3257">
        <v>0</v>
      </c>
      <c r="J99" s="3257">
        <v>0</v>
      </c>
      <c r="K99" s="3257">
        <v>0</v>
      </c>
      <c r="L99" s="3294" t="s">
        <v>3711</v>
      </c>
      <c r="M99" s="3339"/>
    </row>
    <row r="100" spans="1:13" s="3288" customFormat="1" ht="17.25" hidden="1" customHeight="1" outlineLevel="1">
      <c r="A100" s="3306" t="s">
        <v>3919</v>
      </c>
      <c r="B100" s="3291" t="s">
        <v>3920</v>
      </c>
      <c r="C100" s="3291" t="s">
        <v>3921</v>
      </c>
      <c r="D100" s="3296"/>
      <c r="E100" s="3292" t="e">
        <v>#REF!</v>
      </c>
      <c r="F100" s="3268" t="e">
        <v>#REF!</v>
      </c>
      <c r="G100" s="3316">
        <v>0</v>
      </c>
      <c r="H100" s="3338"/>
      <c r="I100" s="3257">
        <v>0</v>
      </c>
      <c r="J100" s="3257">
        <v>0</v>
      </c>
      <c r="K100" s="3257">
        <v>0</v>
      </c>
      <c r="L100" s="3294" t="s">
        <v>3711</v>
      </c>
      <c r="M100" s="3339"/>
    </row>
    <row r="101" spans="1:13" s="3288" customFormat="1" ht="36" customHeight="1" outlineLevel="1">
      <c r="A101" s="3289">
        <v>3.5</v>
      </c>
      <c r="B101" s="3290" t="s">
        <v>3922</v>
      </c>
      <c r="C101" s="3291" t="s">
        <v>3923</v>
      </c>
      <c r="D101" s="3296" t="s">
        <v>3709</v>
      </c>
      <c r="E101" s="3292">
        <v>369886.73</v>
      </c>
      <c r="F101" s="3268">
        <v>60</v>
      </c>
      <c r="G101" s="3316">
        <v>2219.3203799999997</v>
      </c>
      <c r="H101" s="3338"/>
      <c r="I101" s="3257">
        <v>59.999999999999993</v>
      </c>
      <c r="J101" s="3257">
        <v>75.467615056876809</v>
      </c>
      <c r="K101" s="3257">
        <v>75.467615056876809</v>
      </c>
      <c r="L101" s="3294" t="s">
        <v>3711</v>
      </c>
      <c r="M101" s="3339"/>
    </row>
    <row r="102" spans="1:13" s="3288" customFormat="1" ht="12" outlineLevel="1">
      <c r="A102" s="3289">
        <v>3.6</v>
      </c>
      <c r="B102" s="3290" t="s">
        <v>3924</v>
      </c>
      <c r="C102" s="3291"/>
      <c r="D102" s="3296"/>
      <c r="E102" s="3292">
        <v>0</v>
      </c>
      <c r="F102" s="3268">
        <v>0</v>
      </c>
      <c r="G102" s="3316">
        <v>0</v>
      </c>
      <c r="H102" s="3338"/>
      <c r="I102" s="3257">
        <v>0</v>
      </c>
      <c r="J102" s="3257">
        <v>0</v>
      </c>
      <c r="K102" s="3257">
        <v>0</v>
      </c>
      <c r="L102" s="3294" t="s">
        <v>3711</v>
      </c>
      <c r="M102" s="3339"/>
    </row>
    <row r="103" spans="1:13" s="3288" customFormat="1" ht="12" outlineLevel="1">
      <c r="A103" s="3289">
        <v>3.7</v>
      </c>
      <c r="B103" s="3290" t="s">
        <v>3925</v>
      </c>
      <c r="C103" s="3291"/>
      <c r="D103" s="3296"/>
      <c r="E103" s="3292">
        <v>0</v>
      </c>
      <c r="F103" s="3268">
        <v>0</v>
      </c>
      <c r="G103" s="3316">
        <v>0</v>
      </c>
      <c r="H103" s="3338"/>
      <c r="I103" s="3257">
        <v>0</v>
      </c>
      <c r="J103" s="3257">
        <v>0</v>
      </c>
      <c r="K103" s="3257">
        <v>0</v>
      </c>
      <c r="L103" s="3294" t="s">
        <v>3711</v>
      </c>
      <c r="M103" s="3339"/>
    </row>
    <row r="104" spans="1:13" s="3288" customFormat="1" ht="12" outlineLevel="1">
      <c r="A104" s="3289">
        <v>3.8</v>
      </c>
      <c r="B104" s="3290" t="s">
        <v>3926</v>
      </c>
      <c r="C104" s="3291"/>
      <c r="D104" s="3296"/>
      <c r="E104" s="3292">
        <v>0</v>
      </c>
      <c r="F104" s="3268">
        <v>0</v>
      </c>
      <c r="G104" s="3316">
        <v>0</v>
      </c>
      <c r="H104" s="3338"/>
      <c r="I104" s="3257">
        <v>0</v>
      </c>
      <c r="J104" s="3257">
        <v>0</v>
      </c>
      <c r="K104" s="3257">
        <v>0</v>
      </c>
      <c r="L104" s="3294" t="s">
        <v>3711</v>
      </c>
      <c r="M104" s="3339"/>
    </row>
    <row r="105" spans="1:13" s="3288" customFormat="1" ht="23.25" customHeight="1" outlineLevel="1">
      <c r="A105" s="3289">
        <v>3.9</v>
      </c>
      <c r="B105" s="3290" t="s">
        <v>3927</v>
      </c>
      <c r="C105" s="3291" t="s">
        <v>3928</v>
      </c>
      <c r="D105" s="3340" t="s">
        <v>3709</v>
      </c>
      <c r="E105" s="3292">
        <v>15000</v>
      </c>
      <c r="F105" s="3268">
        <v>350</v>
      </c>
      <c r="G105" s="3316">
        <v>466.95466625781802</v>
      </c>
      <c r="H105" s="3338"/>
      <c r="I105" s="3257">
        <v>12.624261115228926</v>
      </c>
      <c r="J105" s="3257">
        <v>15.878714637026583</v>
      </c>
      <c r="K105" s="3257">
        <v>15.878714637026583</v>
      </c>
      <c r="L105" s="3294" t="s">
        <v>3711</v>
      </c>
      <c r="M105" s="3339"/>
    </row>
    <row r="106" spans="1:13" s="3288" customFormat="1" ht="25.5" customHeight="1" outlineLevel="1">
      <c r="A106" s="3289">
        <v>3.1</v>
      </c>
      <c r="B106" s="3290" t="s">
        <v>3929</v>
      </c>
      <c r="C106" s="3291" t="s">
        <v>3930</v>
      </c>
      <c r="D106" s="3340"/>
      <c r="E106" s="3292"/>
      <c r="F106" s="3268"/>
      <c r="G106" s="3316">
        <v>1423.0999352619215</v>
      </c>
      <c r="H106" s="3341"/>
      <c r="I106" s="3257">
        <v>38.47393863688815</v>
      </c>
      <c r="J106" s="3257">
        <v>48.392273179509587</v>
      </c>
      <c r="K106" s="3257">
        <v>48.392273179509587</v>
      </c>
      <c r="L106" s="3294" t="s">
        <v>3711</v>
      </c>
      <c r="M106" s="3339"/>
    </row>
    <row r="107" spans="1:13" s="3288" customFormat="1" ht="39" customHeight="1" outlineLevel="1">
      <c r="A107" s="3306" t="s">
        <v>3931</v>
      </c>
      <c r="B107" s="3291" t="s">
        <v>3932</v>
      </c>
      <c r="C107" s="3291" t="s">
        <v>3933</v>
      </c>
      <c r="D107" s="3340" t="s">
        <v>3709</v>
      </c>
      <c r="E107" s="3292">
        <v>20000</v>
      </c>
      <c r="F107" s="3268">
        <v>800</v>
      </c>
      <c r="G107" s="3316">
        <v>1423.0999352619215</v>
      </c>
      <c r="H107" s="3341" t="s">
        <v>3934</v>
      </c>
      <c r="I107" s="3257">
        <v>38.47393863688815</v>
      </c>
      <c r="J107" s="3257">
        <v>48.392273179509587</v>
      </c>
      <c r="K107" s="3257">
        <v>48.392273179509587</v>
      </c>
      <c r="L107" s="3294" t="s">
        <v>3711</v>
      </c>
      <c r="M107" s="3339"/>
    </row>
    <row r="108" spans="1:13" s="3288" customFormat="1" ht="12" outlineLevel="1">
      <c r="A108" s="3306" t="s">
        <v>3935</v>
      </c>
      <c r="B108" s="3291" t="s">
        <v>3936</v>
      </c>
      <c r="C108" s="3291"/>
      <c r="D108" s="3340"/>
      <c r="E108" s="3292">
        <v>0</v>
      </c>
      <c r="F108" s="3268">
        <v>0</v>
      </c>
      <c r="G108" s="3316">
        <v>0</v>
      </c>
      <c r="H108" s="3338"/>
      <c r="I108" s="3257">
        <v>0</v>
      </c>
      <c r="J108" s="3257">
        <v>0</v>
      </c>
      <c r="K108" s="3257">
        <v>0</v>
      </c>
      <c r="L108" s="3294" t="s">
        <v>3880</v>
      </c>
      <c r="M108" s="3339"/>
    </row>
    <row r="109" spans="1:13" s="3288" customFormat="1" ht="12" outlineLevel="1">
      <c r="A109" s="3306" t="s">
        <v>3937</v>
      </c>
      <c r="B109" s="3291" t="s">
        <v>3938</v>
      </c>
      <c r="C109" s="3291"/>
      <c r="D109" s="3340"/>
      <c r="E109" s="3292">
        <v>0</v>
      </c>
      <c r="F109" s="3268">
        <v>0</v>
      </c>
      <c r="G109" s="3316">
        <v>0</v>
      </c>
      <c r="H109" s="3338"/>
      <c r="I109" s="3257">
        <v>0</v>
      </c>
      <c r="J109" s="3257">
        <v>0</v>
      </c>
      <c r="K109" s="3257">
        <v>0</v>
      </c>
      <c r="L109" s="3294" t="s">
        <v>3835</v>
      </c>
      <c r="M109" s="3339"/>
    </row>
    <row r="110" spans="1:13" s="3288" customFormat="1" ht="12" outlineLevel="1">
      <c r="A110" s="3289">
        <v>3.11</v>
      </c>
      <c r="B110" s="3290" t="s">
        <v>3939</v>
      </c>
      <c r="C110" s="3326" t="s">
        <v>3940</v>
      </c>
      <c r="D110" s="3340"/>
      <c r="E110" s="3292">
        <v>0</v>
      </c>
      <c r="F110" s="3268">
        <v>0</v>
      </c>
      <c r="G110" s="3342">
        <v>0</v>
      </c>
      <c r="H110" s="3338"/>
      <c r="I110" s="3257">
        <v>0</v>
      </c>
      <c r="J110" s="3257">
        <v>0</v>
      </c>
      <c r="K110" s="3257">
        <v>0</v>
      </c>
      <c r="L110" s="3294" t="s">
        <v>3835</v>
      </c>
      <c r="M110" s="3339"/>
    </row>
    <row r="111" spans="1:13" s="3288" customFormat="1" ht="12" outlineLevel="1">
      <c r="A111" s="3289">
        <v>3.12</v>
      </c>
      <c r="B111" s="3290" t="s">
        <v>3941</v>
      </c>
      <c r="C111" s="3291"/>
      <c r="D111" s="3296"/>
      <c r="E111" s="3292">
        <v>0</v>
      </c>
      <c r="F111" s="3268">
        <v>0</v>
      </c>
      <c r="G111" s="3342">
        <v>17528.961170665239</v>
      </c>
      <c r="H111" s="3338"/>
      <c r="I111" s="3257">
        <v>473.90078499613219</v>
      </c>
      <c r="J111" s="3257">
        <v>596.06936695399747</v>
      </c>
      <c r="K111" s="3257">
        <v>596.06936695399747</v>
      </c>
      <c r="L111" s="3294" t="s">
        <v>3880</v>
      </c>
      <c r="M111" s="3339"/>
    </row>
    <row r="112" spans="1:13" s="3347" customFormat="1" ht="72" outlineLevel="2">
      <c r="A112" s="3298" t="s">
        <v>3942</v>
      </c>
      <c r="B112" s="3299" t="s">
        <v>3943</v>
      </c>
      <c r="C112" s="3299" t="s">
        <v>3944</v>
      </c>
      <c r="D112" s="3300" t="s">
        <v>3709</v>
      </c>
      <c r="E112" s="3343">
        <v>233682.24698053417</v>
      </c>
      <c r="F112" s="3344">
        <v>600</v>
      </c>
      <c r="G112" s="3344">
        <v>14020.934818832049</v>
      </c>
      <c r="H112" s="3345" t="s">
        <v>3945</v>
      </c>
      <c r="I112" s="3302">
        <v>379.06022794686493</v>
      </c>
      <c r="J112" s="3302">
        <v>476.77952276776648</v>
      </c>
      <c r="K112" s="3302">
        <v>476.77952276776648</v>
      </c>
      <c r="L112" s="3303" t="s">
        <v>3711</v>
      </c>
      <c r="M112" s="3346"/>
    </row>
    <row r="113" spans="1:13" s="3288" customFormat="1" ht="24" hidden="1" outlineLevel="2">
      <c r="A113" s="3306" t="s">
        <v>3946</v>
      </c>
      <c r="B113" s="3291" t="s">
        <v>3947</v>
      </c>
      <c r="C113" s="3291" t="s">
        <v>3944</v>
      </c>
      <c r="D113" s="3296" t="s">
        <v>3709</v>
      </c>
      <c r="E113" s="3343">
        <v>29412.517584427347</v>
      </c>
      <c r="F113" s="3344">
        <v>0</v>
      </c>
      <c r="G113" s="3344">
        <v>0</v>
      </c>
      <c r="H113" s="3268"/>
      <c r="I113" s="3257">
        <v>0</v>
      </c>
      <c r="J113" s="3257">
        <v>0</v>
      </c>
      <c r="K113" s="3257">
        <v>0</v>
      </c>
      <c r="L113" s="3294" t="s">
        <v>3711</v>
      </c>
      <c r="M113" s="3339"/>
    </row>
    <row r="114" spans="1:13" s="3347" customFormat="1" ht="72" outlineLevel="2">
      <c r="A114" s="3298" t="s">
        <v>3948</v>
      </c>
      <c r="B114" s="3299" t="s">
        <v>3949</v>
      </c>
      <c r="C114" s="3299"/>
      <c r="D114" s="3300" t="s">
        <v>3709</v>
      </c>
      <c r="E114" s="3343">
        <v>15000</v>
      </c>
      <c r="F114" s="3344">
        <v>859.78954422074423</v>
      </c>
      <c r="G114" s="3344">
        <v>1289.6843163311164</v>
      </c>
      <c r="H114" s="3345" t="s">
        <v>3950</v>
      </c>
      <c r="I114" s="3302"/>
      <c r="J114" s="3302"/>
      <c r="K114" s="3302"/>
      <c r="L114" s="3303"/>
      <c r="M114" s="3346"/>
    </row>
    <row r="115" spans="1:13" s="3288" customFormat="1" ht="12" outlineLevel="2">
      <c r="A115" s="3306" t="s">
        <v>3951</v>
      </c>
      <c r="B115" s="3291" t="s">
        <v>3952</v>
      </c>
      <c r="C115" s="3291" t="s">
        <v>3953</v>
      </c>
      <c r="D115" s="3296"/>
      <c r="E115" s="3292">
        <v>0</v>
      </c>
      <c r="F115" s="3268">
        <v>0</v>
      </c>
      <c r="G115" s="3268">
        <v>0</v>
      </c>
      <c r="H115" s="3338" t="s">
        <v>3954</v>
      </c>
      <c r="I115" s="3257">
        <v>0</v>
      </c>
      <c r="J115" s="3257">
        <v>0</v>
      </c>
      <c r="K115" s="3257">
        <v>0</v>
      </c>
      <c r="L115" s="3294" t="s">
        <v>3711</v>
      </c>
      <c r="M115" s="3339"/>
    </row>
    <row r="116" spans="1:13" s="3288" customFormat="1" ht="24" outlineLevel="2">
      <c r="A116" s="3306" t="s">
        <v>3955</v>
      </c>
      <c r="B116" s="3291" t="s">
        <v>3956</v>
      </c>
      <c r="C116" s="3291" t="s">
        <v>3957</v>
      </c>
      <c r="D116" s="3296" t="s">
        <v>3709</v>
      </c>
      <c r="E116" s="3292">
        <v>0</v>
      </c>
      <c r="F116" s="3268">
        <v>0</v>
      </c>
      <c r="G116" s="3316">
        <v>0</v>
      </c>
      <c r="H116" s="3338" t="s">
        <v>3954</v>
      </c>
      <c r="I116" s="3257">
        <v>0</v>
      </c>
      <c r="J116" s="3257">
        <v>0</v>
      </c>
      <c r="K116" s="3257">
        <v>0</v>
      </c>
      <c r="L116" s="3294" t="s">
        <v>3711</v>
      </c>
      <c r="M116" s="3339"/>
    </row>
    <row r="117" spans="1:13" s="3288" customFormat="1" ht="12" outlineLevel="2">
      <c r="A117" s="3306" t="s">
        <v>3958</v>
      </c>
      <c r="B117" s="3291" t="s">
        <v>3959</v>
      </c>
      <c r="C117" s="3291" t="s">
        <v>3960</v>
      </c>
      <c r="D117" s="3296"/>
      <c r="E117" s="3292">
        <v>0</v>
      </c>
      <c r="F117" s="3268">
        <v>0</v>
      </c>
      <c r="G117" s="3316"/>
      <c r="H117" s="3338" t="s">
        <v>3954</v>
      </c>
      <c r="I117" s="3257">
        <v>0</v>
      </c>
      <c r="J117" s="3257">
        <v>0</v>
      </c>
      <c r="K117" s="3257">
        <v>0</v>
      </c>
      <c r="L117" s="3294" t="s">
        <v>3711</v>
      </c>
      <c r="M117" s="3339"/>
    </row>
    <row r="118" spans="1:13" s="3288" customFormat="1" ht="72" outlineLevel="2">
      <c r="A118" s="3306" t="s">
        <v>3961</v>
      </c>
      <c r="B118" s="3291" t="s">
        <v>3962</v>
      </c>
      <c r="C118" s="3291" t="s">
        <v>3963</v>
      </c>
      <c r="D118" s="3296" t="s">
        <v>3709</v>
      </c>
      <c r="E118" s="3292">
        <v>233682.24698053417</v>
      </c>
      <c r="F118" s="3268">
        <v>15</v>
      </c>
      <c r="G118" s="3316">
        <v>350.5233704708013</v>
      </c>
      <c r="H118" s="3341" t="s">
        <v>3963</v>
      </c>
      <c r="I118" s="3257">
        <v>9.4765056986716267</v>
      </c>
      <c r="J118" s="3257">
        <v>11.919488069194164</v>
      </c>
      <c r="K118" s="3257">
        <v>11.919488069194164</v>
      </c>
      <c r="L118" s="3294" t="s">
        <v>3711</v>
      </c>
      <c r="M118" s="3339"/>
    </row>
    <row r="119" spans="1:13" s="3288" customFormat="1" ht="36" outlineLevel="2">
      <c r="A119" s="3306" t="s">
        <v>3964</v>
      </c>
      <c r="B119" s="3291" t="s">
        <v>3965</v>
      </c>
      <c r="C119" s="3291" t="s">
        <v>3966</v>
      </c>
      <c r="D119" s="3296" t="s">
        <v>3709</v>
      </c>
      <c r="E119" s="3292">
        <v>42000</v>
      </c>
      <c r="F119" s="3268">
        <v>500</v>
      </c>
      <c r="G119" s="3316">
        <v>1867.8186650312721</v>
      </c>
      <c r="H119" s="3341" t="s">
        <v>3967</v>
      </c>
      <c r="I119" s="3257">
        <v>50.497044460915703</v>
      </c>
      <c r="J119" s="3257">
        <v>63.514858548106332</v>
      </c>
      <c r="K119" s="3257">
        <v>63.514858548106332</v>
      </c>
      <c r="L119" s="3294" t="s">
        <v>3711</v>
      </c>
      <c r="M119" s="3339"/>
    </row>
    <row r="120" spans="1:13" s="3288" customFormat="1" ht="24" outlineLevel="2">
      <c r="A120" s="3306" t="s">
        <v>3968</v>
      </c>
      <c r="B120" s="3291" t="s">
        <v>3969</v>
      </c>
      <c r="C120" s="3291" t="s">
        <v>3970</v>
      </c>
      <c r="D120" s="3296"/>
      <c r="E120" s="3292">
        <v>0</v>
      </c>
      <c r="F120" s="3268">
        <v>0</v>
      </c>
      <c r="G120" s="3316"/>
      <c r="H120" s="3338" t="s">
        <v>3971</v>
      </c>
      <c r="I120" s="3257">
        <v>0</v>
      </c>
      <c r="J120" s="3257">
        <v>0</v>
      </c>
      <c r="K120" s="3257">
        <v>0</v>
      </c>
      <c r="L120" s="3294" t="s">
        <v>3711</v>
      </c>
      <c r="M120" s="3339"/>
    </row>
    <row r="121" spans="1:13" s="3288" customFormat="1" ht="12" outlineLevel="2">
      <c r="A121" s="3306" t="s">
        <v>3972</v>
      </c>
      <c r="B121" s="3291" t="s">
        <v>3973</v>
      </c>
      <c r="C121" s="3291"/>
      <c r="D121" s="3296" t="s">
        <v>3674</v>
      </c>
      <c r="E121" s="3292">
        <v>1</v>
      </c>
      <c r="F121" s="3268">
        <v>0</v>
      </c>
      <c r="G121" s="3316">
        <v>0</v>
      </c>
      <c r="H121" s="3338" t="s">
        <v>3974</v>
      </c>
      <c r="I121" s="3257">
        <v>0</v>
      </c>
      <c r="J121" s="3257">
        <v>0</v>
      </c>
      <c r="K121" s="3257">
        <v>0</v>
      </c>
      <c r="L121" s="3294"/>
      <c r="M121" s="3339"/>
    </row>
    <row r="122" spans="1:13" s="3288" customFormat="1" ht="13.5" customHeight="1" outlineLevel="2">
      <c r="A122" s="3289">
        <v>3.13</v>
      </c>
      <c r="B122" s="3290" t="s">
        <v>3975</v>
      </c>
      <c r="C122" s="3312" t="s">
        <v>3976</v>
      </c>
      <c r="D122" s="3296"/>
      <c r="E122" s="3292">
        <v>0</v>
      </c>
      <c r="F122" s="3268">
        <v>0</v>
      </c>
      <c r="G122" s="3342">
        <v>0</v>
      </c>
      <c r="H122" s="3338"/>
      <c r="I122" s="3257">
        <v>0</v>
      </c>
      <c r="J122" s="3257">
        <v>0</v>
      </c>
      <c r="K122" s="3257">
        <v>0</v>
      </c>
      <c r="L122" s="3294" t="s">
        <v>3711</v>
      </c>
      <c r="M122" s="3339"/>
    </row>
    <row r="123" spans="1:13" s="3288" customFormat="1" ht="12" outlineLevel="2">
      <c r="A123" s="3289">
        <v>3.14</v>
      </c>
      <c r="B123" s="3290" t="s">
        <v>3977</v>
      </c>
      <c r="C123" s="3312"/>
      <c r="D123" s="3296" t="s">
        <v>3709</v>
      </c>
      <c r="E123" s="3292">
        <v>0</v>
      </c>
      <c r="F123" s="3268">
        <v>0</v>
      </c>
      <c r="G123" s="3342">
        <v>0</v>
      </c>
      <c r="H123" s="3338" t="s">
        <v>3978</v>
      </c>
      <c r="I123" s="3257">
        <v>0</v>
      </c>
      <c r="J123" s="3257">
        <v>0</v>
      </c>
      <c r="K123" s="3257">
        <v>0</v>
      </c>
      <c r="L123" s="3294" t="s">
        <v>3711</v>
      </c>
      <c r="M123" s="3339"/>
    </row>
    <row r="124" spans="1:13" s="3288" customFormat="1" ht="12" outlineLevel="2">
      <c r="A124" s="3289">
        <v>3.15</v>
      </c>
      <c r="B124" s="3290" t="s">
        <v>3979</v>
      </c>
      <c r="C124" s="3312" t="s">
        <v>3980</v>
      </c>
      <c r="D124" s="3296" t="s">
        <v>3674</v>
      </c>
      <c r="E124" s="3292">
        <v>1</v>
      </c>
      <c r="F124" s="3268">
        <v>250000</v>
      </c>
      <c r="G124" s="3342">
        <v>22.235936488467527</v>
      </c>
      <c r="H124" s="3338"/>
      <c r="I124" s="3257">
        <v>0.60115529120137745</v>
      </c>
      <c r="J124" s="3257">
        <v>0.75612926842983741</v>
      </c>
      <c r="K124" s="3257">
        <v>0.75612926842983741</v>
      </c>
      <c r="L124" s="3294" t="s">
        <v>3711</v>
      </c>
      <c r="M124" s="3339"/>
    </row>
    <row r="125" spans="1:13" s="3288" customFormat="1" ht="15.75" customHeight="1" outlineLevel="2">
      <c r="A125" s="3289">
        <v>3.16</v>
      </c>
      <c r="B125" s="3290" t="s">
        <v>3981</v>
      </c>
      <c r="C125" s="3312" t="s">
        <v>3982</v>
      </c>
      <c r="D125" s="3296" t="s">
        <v>3674</v>
      </c>
      <c r="E125" s="3292">
        <v>1</v>
      </c>
      <c r="F125" s="3268">
        <v>500000</v>
      </c>
      <c r="G125" s="3342">
        <v>44.471872976935053</v>
      </c>
      <c r="H125" s="3338"/>
      <c r="I125" s="3257">
        <v>1.2023105824027549</v>
      </c>
      <c r="J125" s="3257">
        <v>1.5122585368596748</v>
      </c>
      <c r="K125" s="3257">
        <v>1.5122585368596748</v>
      </c>
      <c r="L125" s="3294" t="s">
        <v>3711</v>
      </c>
      <c r="M125" s="3339"/>
    </row>
    <row r="126" spans="1:13" s="3288" customFormat="1" ht="12" outlineLevel="2">
      <c r="A126" s="3289">
        <v>3.17</v>
      </c>
      <c r="B126" s="3290" t="s">
        <v>3983</v>
      </c>
      <c r="C126" s="3312"/>
      <c r="D126" s="3296" t="s">
        <v>3823</v>
      </c>
      <c r="E126" s="3292">
        <v>3164</v>
      </c>
      <c r="F126" s="3268">
        <v>30</v>
      </c>
      <c r="G126" s="3342">
        <v>9.4920000000000009</v>
      </c>
      <c r="H126" s="3338"/>
      <c r="I126" s="3257">
        <v>0.2566191006636005</v>
      </c>
      <c r="J126" s="3257">
        <v>0.32277385841870876</v>
      </c>
      <c r="K126" s="3257">
        <v>0.32277385841870876</v>
      </c>
      <c r="L126" s="3294" t="s">
        <v>3711</v>
      </c>
      <c r="M126" s="3339"/>
    </row>
    <row r="127" spans="1:13" s="3288" customFormat="1" ht="12" outlineLevel="1">
      <c r="A127" s="3289">
        <v>3.18</v>
      </c>
      <c r="B127" s="3290" t="s">
        <v>3984</v>
      </c>
      <c r="C127" s="3290"/>
      <c r="D127" s="3296" t="s">
        <v>3674</v>
      </c>
      <c r="E127" s="3292">
        <v>1</v>
      </c>
      <c r="F127" s="3268">
        <v>0</v>
      </c>
      <c r="G127" s="3348"/>
      <c r="H127" s="3338"/>
      <c r="I127" s="3257">
        <v>0</v>
      </c>
      <c r="J127" s="3257">
        <v>0</v>
      </c>
      <c r="K127" s="3257">
        <v>0</v>
      </c>
      <c r="L127" s="3294" t="s">
        <v>3711</v>
      </c>
      <c r="M127" s="3339"/>
    </row>
    <row r="128" spans="1:13" s="3288" customFormat="1" ht="18.75" customHeight="1">
      <c r="A128" s="3278">
        <v>4</v>
      </c>
      <c r="B128" s="3279" t="s">
        <v>3985</v>
      </c>
      <c r="C128" s="3349"/>
      <c r="D128" s="3350"/>
      <c r="E128" s="3351"/>
      <c r="F128" s="3350"/>
      <c r="G128" s="3350">
        <v>159490.4841896627</v>
      </c>
      <c r="H128" s="3285"/>
      <c r="I128" s="3285">
        <v>4311.8736427679551</v>
      </c>
      <c r="J128" s="3285">
        <v>5423.4470041050872</v>
      </c>
      <c r="K128" s="3285">
        <v>5423.4470041050872</v>
      </c>
      <c r="L128" s="3286" t="s">
        <v>3711</v>
      </c>
      <c r="M128" s="3287"/>
    </row>
    <row r="129" spans="1:13" s="3288" customFormat="1" ht="12">
      <c r="A129" s="3352">
        <v>4.0999999999999996</v>
      </c>
      <c r="B129" s="3353" t="s">
        <v>3986</v>
      </c>
      <c r="C129" s="3354"/>
      <c r="D129" s="3355"/>
      <c r="E129" s="3292"/>
      <c r="F129" s="3268"/>
      <c r="G129" s="3316">
        <v>5738.7191443919983</v>
      </c>
      <c r="H129" s="3356"/>
      <c r="I129" s="3257">
        <v>155.14801367413205</v>
      </c>
      <c r="J129" s="3257">
        <v>195.14417621330765</v>
      </c>
      <c r="K129" s="3257">
        <v>195.14417621330765</v>
      </c>
      <c r="L129" s="3294" t="s">
        <v>3711</v>
      </c>
      <c r="M129" s="3357"/>
    </row>
    <row r="130" spans="1:13" s="3288" customFormat="1" ht="12">
      <c r="A130" s="3358" t="s">
        <v>3987</v>
      </c>
      <c r="B130" s="3359" t="s">
        <v>3988</v>
      </c>
      <c r="C130" s="3354" t="s">
        <v>3989</v>
      </c>
      <c r="D130" s="3355"/>
      <c r="E130" s="3292"/>
      <c r="F130" s="3268"/>
      <c r="G130" s="3316"/>
      <c r="H130" s="3356"/>
      <c r="I130" s="3257">
        <v>0</v>
      </c>
      <c r="J130" s="3257">
        <v>0</v>
      </c>
      <c r="K130" s="3257">
        <v>0</v>
      </c>
      <c r="L130" s="3294" t="s">
        <v>3711</v>
      </c>
      <c r="M130" s="3357"/>
    </row>
    <row r="131" spans="1:13" s="3288" customFormat="1" ht="12">
      <c r="A131" s="3358" t="s">
        <v>3990</v>
      </c>
      <c r="B131" s="3359" t="s">
        <v>3991</v>
      </c>
      <c r="C131" s="3354" t="s">
        <v>3992</v>
      </c>
      <c r="D131" s="3355"/>
      <c r="E131" s="3292"/>
      <c r="F131" s="3268"/>
      <c r="G131" s="3316"/>
      <c r="H131" s="3356"/>
      <c r="I131" s="3257">
        <v>0</v>
      </c>
      <c r="J131" s="3257">
        <v>0</v>
      </c>
      <c r="K131" s="3257">
        <v>0</v>
      </c>
      <c r="L131" s="3294" t="s">
        <v>3711</v>
      </c>
      <c r="M131" s="3357"/>
    </row>
    <row r="132" spans="1:13" s="3288" customFormat="1" ht="12">
      <c r="A132" s="3358" t="s">
        <v>3993</v>
      </c>
      <c r="B132" s="3359" t="s">
        <v>3994</v>
      </c>
      <c r="C132" s="3354" t="s">
        <v>3995</v>
      </c>
      <c r="D132" s="3296" t="s">
        <v>3709</v>
      </c>
      <c r="E132" s="3292">
        <v>134446.79999999999</v>
      </c>
      <c r="F132" s="3268">
        <v>426.83939999999996</v>
      </c>
      <c r="G132" s="3268">
        <v>5738.7191443919983</v>
      </c>
      <c r="H132" s="3257"/>
      <c r="I132" s="3257">
        <v>155.14801367413205</v>
      </c>
      <c r="J132" s="3257">
        <v>195.14417621330765</v>
      </c>
      <c r="K132" s="3257">
        <v>195.14417621330765</v>
      </c>
      <c r="L132" s="3294" t="s">
        <v>3711</v>
      </c>
      <c r="M132" s="3357"/>
    </row>
    <row r="133" spans="1:13" s="3288" customFormat="1" ht="48">
      <c r="A133" s="3358" t="s">
        <v>3996</v>
      </c>
      <c r="B133" s="3359" t="s">
        <v>3997</v>
      </c>
      <c r="C133" s="3354"/>
      <c r="D133" s="3296" t="s">
        <v>3709</v>
      </c>
      <c r="E133" s="3292">
        <v>369886.73000000004</v>
      </c>
      <c r="F133" s="3268">
        <v>0</v>
      </c>
      <c r="G133" s="3268">
        <v>0</v>
      </c>
      <c r="H133" s="3360" t="s">
        <v>3998</v>
      </c>
      <c r="I133" s="3257"/>
      <c r="J133" s="3257"/>
      <c r="K133" s="3257"/>
      <c r="L133" s="3294"/>
      <c r="M133" s="3357"/>
    </row>
    <row r="134" spans="1:13" s="3251" customFormat="1" outlineLevel="1">
      <c r="A134" s="3352">
        <v>4.2</v>
      </c>
      <c r="B134" s="3361" t="s">
        <v>3999</v>
      </c>
      <c r="C134" s="3291"/>
      <c r="D134" s="3296"/>
      <c r="E134" s="3292"/>
      <c r="F134" s="3268"/>
      <c r="G134" s="3316">
        <v>127213.69783515482</v>
      </c>
      <c r="H134" s="3268"/>
      <c r="I134" s="3257">
        <v>3439.2609282078006</v>
      </c>
      <c r="J134" s="3257">
        <v>4325.8803301690532</v>
      </c>
      <c r="K134" s="3257">
        <v>4325.8803301690532</v>
      </c>
      <c r="L134" s="3294" t="s">
        <v>3711</v>
      </c>
      <c r="M134" s="3295"/>
    </row>
    <row r="135" spans="1:13" s="3251" customFormat="1" outlineLevel="2">
      <c r="A135" s="3298" t="s">
        <v>4000</v>
      </c>
      <c r="B135" s="3299" t="s">
        <v>4001</v>
      </c>
      <c r="C135" s="3291"/>
      <c r="D135" s="3296" t="s">
        <v>3709</v>
      </c>
      <c r="E135" s="3343">
        <v>104944.17</v>
      </c>
      <c r="F135" s="3344">
        <v>3779.3510000000006</v>
      </c>
      <c r="G135" s="3344">
        <v>39662.085383367004</v>
      </c>
      <c r="H135" s="3344"/>
      <c r="I135" s="3302">
        <v>1072.2765151203723</v>
      </c>
      <c r="J135" s="3302">
        <v>1348.7025212938936</v>
      </c>
      <c r="K135" s="3302">
        <v>1348.7025212938936</v>
      </c>
      <c r="L135" s="3303" t="s">
        <v>3711</v>
      </c>
      <c r="M135" s="3304"/>
    </row>
    <row r="136" spans="1:13" s="3251" customFormat="1" outlineLevel="2">
      <c r="A136" s="3298" t="s">
        <v>4002</v>
      </c>
      <c r="B136" s="3299" t="s">
        <v>4003</v>
      </c>
      <c r="C136" s="3291"/>
      <c r="D136" s="3296" t="s">
        <v>3709</v>
      </c>
      <c r="E136" s="3343">
        <v>81204.070000000007</v>
      </c>
      <c r="F136" s="3344">
        <v>3178.3544000000002</v>
      </c>
      <c r="G136" s="3344">
        <v>25809.531318240803</v>
      </c>
      <c r="H136" s="3344"/>
      <c r="I136" s="3302">
        <v>697.76851195069378</v>
      </c>
      <c r="J136" s="3302">
        <v>877.64875764507849</v>
      </c>
      <c r="K136" s="3302">
        <v>877.64875764507849</v>
      </c>
      <c r="L136" s="3303" t="s">
        <v>3711</v>
      </c>
      <c r="M136" s="3304"/>
    </row>
    <row r="137" spans="1:13" s="3251" customFormat="1" outlineLevel="2">
      <c r="A137" s="3298"/>
      <c r="B137" s="3299" t="s">
        <v>4004</v>
      </c>
      <c r="C137" s="3291" t="s">
        <v>4005</v>
      </c>
      <c r="D137" s="3296" t="s">
        <v>3709</v>
      </c>
      <c r="E137" s="3343">
        <v>11395.1</v>
      </c>
      <c r="F137" s="3344">
        <v>4652.4944000000005</v>
      </c>
      <c r="G137" s="3344">
        <v>5301.5638937440008</v>
      </c>
      <c r="H137" s="3344">
        <v>4584.5115449776195</v>
      </c>
      <c r="I137" s="3302"/>
      <c r="J137" s="3302"/>
      <c r="K137" s="3302"/>
      <c r="L137" s="3303"/>
      <c r="M137" s="3304"/>
    </row>
    <row r="138" spans="1:13" s="3251" customFormat="1" outlineLevel="2">
      <c r="A138" s="3298"/>
      <c r="B138" s="3299" t="s">
        <v>4006</v>
      </c>
      <c r="C138" s="3291" t="s">
        <v>4005</v>
      </c>
      <c r="D138" s="3296" t="s">
        <v>3709</v>
      </c>
      <c r="E138" s="3343">
        <v>64463.850000000006</v>
      </c>
      <c r="F138" s="3344">
        <v>4572.4943999999996</v>
      </c>
      <c r="G138" s="3344">
        <v>29476.059312744004</v>
      </c>
      <c r="H138" s="3344"/>
      <c r="I138" s="3302"/>
      <c r="J138" s="3302"/>
      <c r="K138" s="3302"/>
      <c r="L138" s="3303"/>
      <c r="M138" s="3304"/>
    </row>
    <row r="139" spans="1:13" s="3251" customFormat="1" hidden="1" outlineLevel="2">
      <c r="A139" s="3362" t="s">
        <v>4007</v>
      </c>
      <c r="B139" s="3296" t="s">
        <v>4008</v>
      </c>
      <c r="C139" s="3291"/>
      <c r="D139" s="3296" t="s">
        <v>3709</v>
      </c>
      <c r="E139" s="3336">
        <v>0</v>
      </c>
      <c r="F139" s="3363"/>
      <c r="G139" s="3363">
        <v>0</v>
      </c>
      <c r="H139" s="3363"/>
      <c r="I139" s="3257">
        <v>0</v>
      </c>
      <c r="J139" s="3257">
        <v>0</v>
      </c>
      <c r="K139" s="3257">
        <v>0</v>
      </c>
      <c r="L139" s="3364" t="s">
        <v>3711</v>
      </c>
      <c r="M139" s="3365"/>
    </row>
    <row r="140" spans="1:13" s="3251" customFormat="1" hidden="1" outlineLevel="2">
      <c r="A140" s="3362" t="s">
        <v>4009</v>
      </c>
      <c r="B140" s="3296" t="s">
        <v>4010</v>
      </c>
      <c r="C140" s="3291"/>
      <c r="D140" s="3296" t="s">
        <v>3709</v>
      </c>
      <c r="E140" s="3292">
        <v>0</v>
      </c>
      <c r="F140" s="3268"/>
      <c r="G140" s="3316">
        <v>0</v>
      </c>
      <c r="H140" s="3268"/>
      <c r="I140" s="3257">
        <v>0</v>
      </c>
      <c r="J140" s="3257">
        <v>0</v>
      </c>
      <c r="K140" s="3257">
        <v>0</v>
      </c>
      <c r="L140" s="3294" t="s">
        <v>3711</v>
      </c>
      <c r="M140" s="3295"/>
    </row>
    <row r="141" spans="1:13" s="3251" customFormat="1" hidden="1" outlineLevel="2">
      <c r="A141" s="3362" t="s">
        <v>4011</v>
      </c>
      <c r="B141" s="3296" t="s">
        <v>4012</v>
      </c>
      <c r="C141" s="3291"/>
      <c r="D141" s="3296" t="s">
        <v>3709</v>
      </c>
      <c r="E141" s="3292">
        <v>0</v>
      </c>
      <c r="F141" s="3268"/>
      <c r="G141" s="3316">
        <v>0</v>
      </c>
      <c r="H141" s="3268"/>
      <c r="I141" s="3257">
        <v>0</v>
      </c>
      <c r="J141" s="3257">
        <v>0</v>
      </c>
      <c r="K141" s="3257">
        <v>0</v>
      </c>
      <c r="L141" s="3294" t="s">
        <v>3711</v>
      </c>
      <c r="M141" s="3295"/>
    </row>
    <row r="142" spans="1:13" s="3251" customFormat="1" hidden="1" outlineLevel="2">
      <c r="A142" s="3362" t="s">
        <v>4013</v>
      </c>
      <c r="B142" s="3296" t="s">
        <v>4014</v>
      </c>
      <c r="C142" s="3291"/>
      <c r="D142" s="3296" t="s">
        <v>3709</v>
      </c>
      <c r="E142" s="3292">
        <v>0</v>
      </c>
      <c r="F142" s="3268"/>
      <c r="G142" s="3316">
        <v>0</v>
      </c>
      <c r="H142" s="3268"/>
      <c r="I142" s="3257">
        <v>0</v>
      </c>
      <c r="J142" s="3257">
        <v>0</v>
      </c>
      <c r="K142" s="3257">
        <v>0</v>
      </c>
      <c r="L142" s="3294" t="s">
        <v>3711</v>
      </c>
      <c r="M142" s="3295"/>
    </row>
    <row r="143" spans="1:13" s="3251" customFormat="1" outlineLevel="2">
      <c r="A143" s="3298" t="s">
        <v>4015</v>
      </c>
      <c r="B143" s="3299" t="s">
        <v>4016</v>
      </c>
      <c r="C143" s="3291"/>
      <c r="D143" s="3296" t="s">
        <v>3709</v>
      </c>
      <c r="E143" s="3343">
        <v>20000</v>
      </c>
      <c r="F143" s="3344">
        <v>6736.5990000000002</v>
      </c>
      <c r="G143" s="3344">
        <v>13473.198</v>
      </c>
      <c r="H143" s="3344"/>
      <c r="I143" s="3302">
        <v>364.25199682075652</v>
      </c>
      <c r="J143" s="3302">
        <v>458.15382466279283</v>
      </c>
      <c r="K143" s="3302">
        <v>458.15382466279283</v>
      </c>
      <c r="L143" s="3303" t="s">
        <v>3711</v>
      </c>
      <c r="M143" s="3295"/>
    </row>
    <row r="144" spans="1:13" s="3251" customFormat="1" outlineLevel="2">
      <c r="A144" s="3298" t="s">
        <v>4017</v>
      </c>
      <c r="B144" s="3299" t="s">
        <v>4018</v>
      </c>
      <c r="C144" s="3291"/>
      <c r="D144" s="3296" t="s">
        <v>3709</v>
      </c>
      <c r="E144" s="3343">
        <v>6731.01</v>
      </c>
      <c r="F144" s="3344">
        <v>11959.019</v>
      </c>
      <c r="G144" s="3344">
        <v>8049.627647919001</v>
      </c>
      <c r="H144" s="3344"/>
      <c r="I144" s="3302">
        <v>217.62412638915166</v>
      </c>
      <c r="J144" s="3302">
        <v>273.72622995709344</v>
      </c>
      <c r="K144" s="3302">
        <v>273.72622995709344</v>
      </c>
      <c r="L144" s="3303" t="s">
        <v>3711</v>
      </c>
      <c r="M144" s="3295"/>
    </row>
    <row r="145" spans="1:13" s="3251" customFormat="1" outlineLevel="2">
      <c r="A145" s="3298"/>
      <c r="B145" s="3299" t="s">
        <v>4019</v>
      </c>
      <c r="C145" s="3291"/>
      <c r="D145" s="3296" t="s">
        <v>3709</v>
      </c>
      <c r="E145" s="3343">
        <v>5337.66</v>
      </c>
      <c r="F145" s="3344">
        <v>10194.789999999999</v>
      </c>
      <c r="G145" s="3344">
        <v>5441.6322791399989</v>
      </c>
      <c r="H145" s="3344"/>
      <c r="I145" s="3302"/>
      <c r="J145" s="3302"/>
      <c r="K145" s="3302"/>
      <c r="L145" s="3303"/>
      <c r="M145" s="3295"/>
    </row>
    <row r="146" spans="1:13" s="3251" customFormat="1" outlineLevel="2">
      <c r="A146" s="3306" t="s">
        <v>4020</v>
      </c>
      <c r="B146" s="3291" t="s">
        <v>4021</v>
      </c>
      <c r="C146" s="3291"/>
      <c r="D146" s="3296" t="s">
        <v>3709</v>
      </c>
      <c r="E146" s="3292"/>
      <c r="F146" s="3268"/>
      <c r="G146" s="3316">
        <v>0</v>
      </c>
      <c r="H146" s="3268"/>
      <c r="I146" s="3257">
        <v>0</v>
      </c>
      <c r="J146" s="3257">
        <v>0</v>
      </c>
      <c r="K146" s="3257">
        <v>0</v>
      </c>
      <c r="L146" s="3294" t="s">
        <v>3711</v>
      </c>
      <c r="M146" s="3295"/>
    </row>
    <row r="147" spans="1:13" s="3251" customFormat="1" ht="27.75" customHeight="1" outlineLevel="1">
      <c r="A147" s="3352">
        <v>4.3</v>
      </c>
      <c r="B147" s="3361" t="s">
        <v>4022</v>
      </c>
      <c r="C147" s="3291"/>
      <c r="D147" s="3296" t="s">
        <v>3709</v>
      </c>
      <c r="E147" s="3292">
        <v>75810.87</v>
      </c>
      <c r="F147" s="3268">
        <v>3493.4657000000002</v>
      </c>
      <c r="G147" s="3316">
        <v>26484.267403215901</v>
      </c>
      <c r="H147" s="3268"/>
      <c r="I147" s="3257">
        <v>716.01020677913755</v>
      </c>
      <c r="J147" s="3257">
        <v>900.59304436671209</v>
      </c>
      <c r="K147" s="3257">
        <v>900.59304436671209</v>
      </c>
      <c r="L147" s="3294" t="s">
        <v>3711</v>
      </c>
      <c r="M147" s="3295"/>
    </row>
    <row r="148" spans="1:13" s="3251" customFormat="1" ht="19.5" customHeight="1" outlineLevel="1">
      <c r="A148" s="3289">
        <v>4.4000000000000004</v>
      </c>
      <c r="B148" s="3290" t="s">
        <v>4023</v>
      </c>
      <c r="C148" s="3291" t="s">
        <v>4024</v>
      </c>
      <c r="D148" s="3296" t="s">
        <v>3709</v>
      </c>
      <c r="E148" s="3292">
        <v>369886.73000000004</v>
      </c>
      <c r="F148" s="3268" t="s">
        <v>4025</v>
      </c>
      <c r="G148" s="3268">
        <v>53.799806900000014</v>
      </c>
      <c r="H148" s="3268"/>
      <c r="I148" s="3257">
        <v>1.4544941068851003</v>
      </c>
      <c r="J148" s="3257">
        <v>1.8294533560150097</v>
      </c>
      <c r="K148" s="3257">
        <v>1.8294533560150097</v>
      </c>
      <c r="L148" s="3294" t="s">
        <v>3711</v>
      </c>
      <c r="M148" s="3295"/>
    </row>
    <row r="149" spans="1:13" s="3288" customFormat="1" ht="36">
      <c r="A149" s="3278">
        <v>5</v>
      </c>
      <c r="B149" s="3279" t="s">
        <v>4026</v>
      </c>
      <c r="C149" s="3366" t="s">
        <v>4027</v>
      </c>
      <c r="D149" s="3323"/>
      <c r="E149" s="3367"/>
      <c r="F149" s="3323"/>
      <c r="G149" s="3323">
        <v>0</v>
      </c>
      <c r="H149" s="3285"/>
      <c r="I149" s="3285">
        <v>0</v>
      </c>
      <c r="J149" s="3285">
        <v>0</v>
      </c>
      <c r="K149" s="3285">
        <v>0</v>
      </c>
      <c r="L149" s="3286" t="s">
        <v>3711</v>
      </c>
      <c r="M149" s="3287"/>
    </row>
    <row r="150" spans="1:13" s="3251" customFormat="1" ht="36" outlineLevel="1">
      <c r="A150" s="3289">
        <v>5.0999999999999996</v>
      </c>
      <c r="B150" s="3290" t="s">
        <v>4028</v>
      </c>
      <c r="C150" s="3291" t="s">
        <v>4029</v>
      </c>
      <c r="D150" s="3311" t="s">
        <v>3709</v>
      </c>
      <c r="E150" s="3292">
        <v>0</v>
      </c>
      <c r="F150" s="3268">
        <v>0</v>
      </c>
      <c r="G150" s="3316">
        <v>0</v>
      </c>
      <c r="H150" s="3268"/>
      <c r="I150" s="3257">
        <v>0</v>
      </c>
      <c r="J150" s="3257">
        <v>0</v>
      </c>
      <c r="K150" s="3257">
        <v>0</v>
      </c>
      <c r="L150" s="3294" t="s">
        <v>3711</v>
      </c>
      <c r="M150" s="3295"/>
    </row>
    <row r="151" spans="1:13" s="3251" customFormat="1" ht="36" outlineLevel="1">
      <c r="A151" s="3289">
        <v>5.2</v>
      </c>
      <c r="B151" s="3368" t="s">
        <v>4030</v>
      </c>
      <c r="C151" s="3326" t="s">
        <v>4031</v>
      </c>
      <c r="D151" s="3369"/>
      <c r="E151" s="3292"/>
      <c r="F151" s="3268"/>
      <c r="G151" s="3316">
        <v>0</v>
      </c>
      <c r="H151" s="3268"/>
      <c r="I151" s="3257">
        <v>0</v>
      </c>
      <c r="J151" s="3257">
        <v>0</v>
      </c>
      <c r="K151" s="3257">
        <v>0</v>
      </c>
      <c r="L151" s="3294" t="s">
        <v>3711</v>
      </c>
      <c r="M151" s="3295"/>
    </row>
    <row r="152" spans="1:13" s="3251" customFormat="1" ht="36" outlineLevel="1">
      <c r="A152" s="3289">
        <v>5.3</v>
      </c>
      <c r="B152" s="3368" t="s">
        <v>4032</v>
      </c>
      <c r="C152" s="3326" t="s">
        <v>4033</v>
      </c>
      <c r="D152" s="3369"/>
      <c r="E152" s="3292"/>
      <c r="F152" s="3268"/>
      <c r="G152" s="3316">
        <v>0</v>
      </c>
      <c r="H152" s="3268"/>
      <c r="I152" s="3257">
        <v>0</v>
      </c>
      <c r="J152" s="3257">
        <v>0</v>
      </c>
      <c r="K152" s="3257">
        <v>0</v>
      </c>
      <c r="L152" s="3294" t="s">
        <v>3711</v>
      </c>
      <c r="M152" s="3295"/>
    </row>
    <row r="153" spans="1:13" s="3251" customFormat="1" ht="36" outlineLevel="1">
      <c r="A153" s="3289">
        <v>5.4</v>
      </c>
      <c r="B153" s="3290" t="s">
        <v>4034</v>
      </c>
      <c r="C153" s="3291" t="s">
        <v>4035</v>
      </c>
      <c r="D153" s="3370"/>
      <c r="E153" s="3292"/>
      <c r="F153" s="3268"/>
      <c r="G153" s="3316">
        <v>0</v>
      </c>
      <c r="H153" s="3268"/>
      <c r="I153" s="3257">
        <v>0</v>
      </c>
      <c r="J153" s="3257">
        <v>0</v>
      </c>
      <c r="K153" s="3257">
        <v>0</v>
      </c>
      <c r="L153" s="3294" t="s">
        <v>3711</v>
      </c>
      <c r="M153" s="3295"/>
    </row>
    <row r="154" spans="1:13" s="3251" customFormat="1" outlineLevel="1">
      <c r="A154" s="3289">
        <v>5.5</v>
      </c>
      <c r="B154" s="3290" t="s">
        <v>4036</v>
      </c>
      <c r="C154" s="3291" t="s">
        <v>4037</v>
      </c>
      <c r="D154" s="3370"/>
      <c r="E154" s="3292"/>
      <c r="F154" s="3268"/>
      <c r="G154" s="3316">
        <v>0</v>
      </c>
      <c r="H154" s="3268"/>
      <c r="I154" s="3257">
        <v>0</v>
      </c>
      <c r="J154" s="3257">
        <v>0</v>
      </c>
      <c r="K154" s="3257">
        <v>0</v>
      </c>
      <c r="L154" s="3294" t="s">
        <v>3711</v>
      </c>
      <c r="M154" s="3295"/>
    </row>
    <row r="155" spans="1:13" s="3251" customFormat="1" ht="36" outlineLevel="1">
      <c r="A155" s="3289">
        <v>5.6</v>
      </c>
      <c r="B155" s="3290" t="s">
        <v>4038</v>
      </c>
      <c r="C155" s="3297" t="s">
        <v>4039</v>
      </c>
      <c r="D155" s="3369"/>
      <c r="E155" s="3292"/>
      <c r="F155" s="3268"/>
      <c r="G155" s="3316">
        <v>0</v>
      </c>
      <c r="H155" s="3268"/>
      <c r="I155" s="3257">
        <v>0</v>
      </c>
      <c r="J155" s="3257">
        <v>0</v>
      </c>
      <c r="K155" s="3257">
        <v>0</v>
      </c>
      <c r="L155" s="3294" t="s">
        <v>3711</v>
      </c>
      <c r="M155" s="3295"/>
    </row>
    <row r="156" spans="1:13" s="3251" customFormat="1" outlineLevel="1">
      <c r="A156" s="3289">
        <v>5.7</v>
      </c>
      <c r="B156" s="3368" t="s">
        <v>4040</v>
      </c>
      <c r="C156" s="3326" t="s">
        <v>4041</v>
      </c>
      <c r="D156" s="3369"/>
      <c r="E156" s="3292"/>
      <c r="F156" s="3268"/>
      <c r="G156" s="3316">
        <v>0</v>
      </c>
      <c r="H156" s="3268"/>
      <c r="I156" s="3257">
        <v>0</v>
      </c>
      <c r="J156" s="3257">
        <v>0</v>
      </c>
      <c r="K156" s="3257">
        <v>0</v>
      </c>
      <c r="L156" s="3294" t="s">
        <v>3711</v>
      </c>
      <c r="M156" s="3295"/>
    </row>
    <row r="157" spans="1:13" s="3251" customFormat="1" outlineLevel="1">
      <c r="A157" s="3289">
        <v>5.8</v>
      </c>
      <c r="B157" s="3371" t="s">
        <v>4042</v>
      </c>
      <c r="C157" s="3326"/>
      <c r="D157" s="3369"/>
      <c r="E157" s="3292"/>
      <c r="F157" s="3268"/>
      <c r="G157" s="3316">
        <v>0</v>
      </c>
      <c r="H157" s="3268"/>
      <c r="I157" s="3257">
        <v>0</v>
      </c>
      <c r="J157" s="3257">
        <v>0</v>
      </c>
      <c r="K157" s="3257">
        <v>0</v>
      </c>
      <c r="L157" s="3294" t="s">
        <v>3711</v>
      </c>
      <c r="M157" s="3295"/>
    </row>
    <row r="158" spans="1:13" s="3251" customFormat="1" outlineLevel="1">
      <c r="A158" s="3289">
        <v>5.9</v>
      </c>
      <c r="B158" s="3290" t="s">
        <v>4043</v>
      </c>
      <c r="C158" s="3318"/>
      <c r="D158" s="3370"/>
      <c r="E158" s="3292"/>
      <c r="F158" s="3268"/>
      <c r="G158" s="3316">
        <v>0</v>
      </c>
      <c r="H158" s="3268"/>
      <c r="I158" s="3257">
        <v>0</v>
      </c>
      <c r="J158" s="3257">
        <v>0</v>
      </c>
      <c r="K158" s="3257">
        <v>0</v>
      </c>
      <c r="L158" s="3294" t="s">
        <v>3711</v>
      </c>
      <c r="M158" s="3295"/>
    </row>
    <row r="159" spans="1:13" s="3251" customFormat="1" outlineLevel="1">
      <c r="A159" s="3289">
        <v>5.0999999999999996</v>
      </c>
      <c r="B159" s="3290" t="s">
        <v>4044</v>
      </c>
      <c r="C159" s="3318"/>
      <c r="D159" s="3372"/>
      <c r="E159" s="3292"/>
      <c r="F159" s="3268"/>
      <c r="G159" s="3316">
        <v>0</v>
      </c>
      <c r="H159" s="3268"/>
      <c r="I159" s="3257">
        <v>0</v>
      </c>
      <c r="J159" s="3257">
        <v>0</v>
      </c>
      <c r="K159" s="3257">
        <v>0</v>
      </c>
      <c r="L159" s="3294" t="s">
        <v>3711</v>
      </c>
      <c r="M159" s="3295"/>
    </row>
    <row r="160" spans="1:13" s="3251" customFormat="1" ht="36" outlineLevel="1">
      <c r="A160" s="3289">
        <v>5.1100000000000003</v>
      </c>
      <c r="B160" s="3290" t="s">
        <v>4045</v>
      </c>
      <c r="C160" s="3291" t="s">
        <v>4046</v>
      </c>
      <c r="D160" s="3311"/>
      <c r="E160" s="3292"/>
      <c r="F160" s="3268"/>
      <c r="G160" s="3316">
        <v>0</v>
      </c>
      <c r="H160" s="3268"/>
      <c r="I160" s="3257">
        <v>0</v>
      </c>
      <c r="J160" s="3257">
        <v>0</v>
      </c>
      <c r="K160" s="3257">
        <v>0</v>
      </c>
      <c r="L160" s="3294" t="s">
        <v>3711</v>
      </c>
      <c r="M160" s="3295"/>
    </row>
    <row r="161" spans="1:13" s="3251" customFormat="1">
      <c r="A161" s="3278">
        <v>6</v>
      </c>
      <c r="B161" s="3279" t="s">
        <v>4047</v>
      </c>
      <c r="C161" s="3349"/>
      <c r="D161" s="3350"/>
      <c r="E161" s="3351"/>
      <c r="F161" s="3350"/>
      <c r="G161" s="3350">
        <v>109745.11328073697</v>
      </c>
      <c r="H161" s="3284">
        <v>17295.787880736971</v>
      </c>
      <c r="I161" s="3285">
        <v>2966.9924433552123</v>
      </c>
      <c r="J161" s="3285">
        <v>3731.8640598632264</v>
      </c>
      <c r="K161" s="3285">
        <v>3731.8640598632264</v>
      </c>
      <c r="L161" s="3286"/>
      <c r="M161" s="3373"/>
    </row>
    <row r="162" spans="1:13" s="3251" customFormat="1" outlineLevel="1">
      <c r="A162" s="3289">
        <v>6.1</v>
      </c>
      <c r="B162" s="3374" t="s">
        <v>4048</v>
      </c>
      <c r="C162" s="3326"/>
      <c r="D162" s="3333"/>
      <c r="E162" s="3292"/>
      <c r="F162" s="3268"/>
      <c r="G162" s="3316">
        <v>2669.2262807369661</v>
      </c>
      <c r="H162" s="3268"/>
      <c r="I162" s="3257">
        <v>72.163342565356871</v>
      </c>
      <c r="J162" s="3257">
        <v>90.766589298998099</v>
      </c>
      <c r="K162" s="3257">
        <v>90.766589298998099</v>
      </c>
      <c r="L162" s="3294" t="s">
        <v>3711</v>
      </c>
      <c r="M162" s="3295"/>
    </row>
    <row r="163" spans="1:13" s="3251" customFormat="1" outlineLevel="2">
      <c r="A163" s="3306" t="s">
        <v>4049</v>
      </c>
      <c r="B163" s="3291" t="s">
        <v>4050</v>
      </c>
      <c r="C163" s="3291" t="s">
        <v>4051</v>
      </c>
      <c r="D163" s="3296" t="s">
        <v>3709</v>
      </c>
      <c r="E163" s="3292">
        <v>369886.73000000004</v>
      </c>
      <c r="F163" s="3268">
        <v>20</v>
      </c>
      <c r="G163" s="3316">
        <v>739.77346</v>
      </c>
      <c r="H163" s="3268"/>
      <c r="I163" s="3257">
        <v>20</v>
      </c>
      <c r="J163" s="3257">
        <v>25.155871685625609</v>
      </c>
      <c r="K163" s="3257">
        <v>25.155871685625609</v>
      </c>
      <c r="L163" s="3294" t="s">
        <v>3711</v>
      </c>
      <c r="M163" s="3295"/>
    </row>
    <row r="164" spans="1:13" s="3251" customFormat="1" outlineLevel="2">
      <c r="A164" s="3306" t="s">
        <v>4052</v>
      </c>
      <c r="B164" s="3291" t="s">
        <v>4053</v>
      </c>
      <c r="C164" s="3375" t="s">
        <v>4054</v>
      </c>
      <c r="D164" s="3296" t="s">
        <v>3709</v>
      </c>
      <c r="E164" s="3292">
        <v>369886.73000000004</v>
      </c>
      <c r="F164" s="3268">
        <v>20</v>
      </c>
      <c r="G164" s="3316">
        <v>739.77346</v>
      </c>
      <c r="H164" s="3268"/>
      <c r="I164" s="3257">
        <v>20</v>
      </c>
      <c r="J164" s="3257">
        <v>25.155871685625609</v>
      </c>
      <c r="K164" s="3257">
        <v>25.155871685625609</v>
      </c>
      <c r="L164" s="3294" t="s">
        <v>3711</v>
      </c>
      <c r="M164" s="3295"/>
    </row>
    <row r="165" spans="1:13" s="3251" customFormat="1" ht="36" outlineLevel="2">
      <c r="A165" s="3306" t="s">
        <v>4055</v>
      </c>
      <c r="B165" s="3312" t="s">
        <v>4056</v>
      </c>
      <c r="C165" s="3312" t="s">
        <v>4057</v>
      </c>
      <c r="D165" s="3296" t="s">
        <v>3674</v>
      </c>
      <c r="E165" s="3292">
        <v>1</v>
      </c>
      <c r="F165" s="3268">
        <v>1500000</v>
      </c>
      <c r="G165" s="3316">
        <v>133.41561893080515</v>
      </c>
      <c r="H165" s="3268"/>
      <c r="I165" s="3257">
        <v>3.6069317472082645</v>
      </c>
      <c r="J165" s="3257">
        <v>4.5367756105790242</v>
      </c>
      <c r="K165" s="3257">
        <v>4.5367756105790242</v>
      </c>
      <c r="L165" s="3294" t="s">
        <v>3711</v>
      </c>
      <c r="M165" s="3295"/>
    </row>
    <row r="166" spans="1:13" s="3251" customFormat="1" outlineLevel="2">
      <c r="A166" s="3306" t="s">
        <v>4058</v>
      </c>
      <c r="B166" s="3312" t="s">
        <v>4059</v>
      </c>
      <c r="C166" s="3312" t="s">
        <v>4060</v>
      </c>
      <c r="D166" s="3296" t="s">
        <v>3709</v>
      </c>
      <c r="E166" s="3292">
        <v>0</v>
      </c>
      <c r="F166" s="3268">
        <v>0</v>
      </c>
      <c r="G166" s="3316">
        <v>0</v>
      </c>
      <c r="H166" s="3268"/>
      <c r="I166" s="3257">
        <v>0</v>
      </c>
      <c r="J166" s="3257">
        <v>0</v>
      </c>
      <c r="K166" s="3257">
        <v>0</v>
      </c>
      <c r="L166" s="3294" t="s">
        <v>3711</v>
      </c>
      <c r="M166" s="3295"/>
    </row>
    <row r="167" spans="1:13" s="3251" customFormat="1" outlineLevel="2">
      <c r="A167" s="3306" t="s">
        <v>4061</v>
      </c>
      <c r="B167" s="3312" t="s">
        <v>4062</v>
      </c>
      <c r="C167" s="3312"/>
      <c r="D167" s="3296" t="s">
        <v>3709</v>
      </c>
      <c r="E167" s="3292">
        <v>0</v>
      </c>
      <c r="F167" s="3268">
        <v>0</v>
      </c>
      <c r="G167" s="3316">
        <v>0</v>
      </c>
      <c r="H167" s="3268"/>
      <c r="I167" s="3257">
        <v>0</v>
      </c>
      <c r="J167" s="3257">
        <v>0</v>
      </c>
      <c r="K167" s="3257">
        <v>0</v>
      </c>
      <c r="L167" s="3294" t="s">
        <v>3711</v>
      </c>
      <c r="M167" s="3295"/>
    </row>
    <row r="168" spans="1:13" s="3251" customFormat="1" outlineLevel="2">
      <c r="A168" s="3306" t="s">
        <v>4063</v>
      </c>
      <c r="B168" s="3291" t="s">
        <v>4064</v>
      </c>
      <c r="C168" s="3291"/>
      <c r="D168" s="3296" t="s">
        <v>3709</v>
      </c>
      <c r="E168" s="3292">
        <v>0</v>
      </c>
      <c r="F168" s="3268">
        <v>0</v>
      </c>
      <c r="G168" s="3316">
        <v>0</v>
      </c>
      <c r="H168" s="3268"/>
      <c r="I168" s="3257">
        <v>0</v>
      </c>
      <c r="J168" s="3257">
        <v>0</v>
      </c>
      <c r="K168" s="3257">
        <v>0</v>
      </c>
      <c r="L168" s="3294" t="s">
        <v>3711</v>
      </c>
      <c r="M168" s="3295"/>
    </row>
    <row r="169" spans="1:13" s="3251" customFormat="1" ht="17.25" customHeight="1" outlineLevel="2">
      <c r="A169" s="3306" t="s">
        <v>4065</v>
      </c>
      <c r="B169" s="3291" t="s">
        <v>3774</v>
      </c>
      <c r="C169" s="3291" t="s">
        <v>4066</v>
      </c>
      <c r="D169" s="3296" t="s">
        <v>3709</v>
      </c>
      <c r="E169" s="3292">
        <v>0</v>
      </c>
      <c r="F169" s="3268">
        <v>1.5</v>
      </c>
      <c r="G169" s="3316">
        <v>0</v>
      </c>
      <c r="H169" s="3268"/>
      <c r="I169" s="3257">
        <v>0</v>
      </c>
      <c r="J169" s="3257">
        <v>0</v>
      </c>
      <c r="K169" s="3257">
        <v>0</v>
      </c>
      <c r="L169" s="3294" t="s">
        <v>3730</v>
      </c>
      <c r="M169" s="3295"/>
    </row>
    <row r="170" spans="1:13" s="3251" customFormat="1" outlineLevel="2">
      <c r="A170" s="3306" t="s">
        <v>4067</v>
      </c>
      <c r="B170" s="3291" t="s">
        <v>4068</v>
      </c>
      <c r="C170" s="3291" t="s">
        <v>4069</v>
      </c>
      <c r="D170" s="3333"/>
      <c r="E170" s="3292">
        <v>1</v>
      </c>
      <c r="F170" s="3268">
        <v>300000</v>
      </c>
      <c r="G170" s="3316">
        <v>26.68312378616103</v>
      </c>
      <c r="H170" s="3268"/>
      <c r="I170" s="3257">
        <v>0.72138634944165281</v>
      </c>
      <c r="J170" s="3257">
        <v>0.90735512211580471</v>
      </c>
      <c r="K170" s="3257">
        <v>0.90735512211580471</v>
      </c>
      <c r="L170" s="3294" t="s">
        <v>3711</v>
      </c>
      <c r="M170" s="3295"/>
    </row>
    <row r="171" spans="1:13" s="3251" customFormat="1" outlineLevel="3">
      <c r="A171" s="3306" t="s">
        <v>4070</v>
      </c>
      <c r="B171" s="3291" t="s">
        <v>4071</v>
      </c>
      <c r="C171" s="3291"/>
      <c r="D171" s="3296"/>
      <c r="E171" s="3292">
        <v>1</v>
      </c>
      <c r="F171" s="3268">
        <v>100000</v>
      </c>
      <c r="G171" s="3316">
        <v>8.8943745953870099</v>
      </c>
      <c r="H171" s="3268"/>
      <c r="I171" s="3257">
        <v>0.24046211648055096</v>
      </c>
      <c r="J171" s="3257">
        <v>0.30245170737193494</v>
      </c>
      <c r="K171" s="3257">
        <v>0.30245170737193494</v>
      </c>
      <c r="L171" s="3294" t="s">
        <v>3711</v>
      </c>
      <c r="M171" s="3295"/>
    </row>
    <row r="172" spans="1:13" s="3251" customFormat="1" outlineLevel="3">
      <c r="A172" s="3306" t="s">
        <v>4072</v>
      </c>
      <c r="B172" s="3291" t="s">
        <v>4073</v>
      </c>
      <c r="C172" s="3291"/>
      <c r="D172" s="3296"/>
      <c r="E172" s="3292">
        <v>0</v>
      </c>
      <c r="F172" s="3268">
        <v>0</v>
      </c>
      <c r="G172" s="3316">
        <v>0</v>
      </c>
      <c r="H172" s="3268"/>
      <c r="I172" s="3257">
        <v>0</v>
      </c>
      <c r="J172" s="3257">
        <v>0</v>
      </c>
      <c r="K172" s="3257">
        <v>0</v>
      </c>
      <c r="L172" s="3294" t="s">
        <v>3711</v>
      </c>
      <c r="M172" s="3295"/>
    </row>
    <row r="173" spans="1:13" s="3251" customFormat="1" outlineLevel="3">
      <c r="A173" s="3306" t="s">
        <v>4074</v>
      </c>
      <c r="B173" s="3291" t="s">
        <v>4075</v>
      </c>
      <c r="C173" s="3291"/>
      <c r="D173" s="3296" t="s">
        <v>3674</v>
      </c>
      <c r="E173" s="3292">
        <v>1</v>
      </c>
      <c r="F173" s="3268">
        <v>200000</v>
      </c>
      <c r="G173" s="3316">
        <v>17.78874919077402</v>
      </c>
      <c r="H173" s="3268"/>
      <c r="I173" s="3257">
        <v>0.48092423296110193</v>
      </c>
      <c r="J173" s="3257">
        <v>0.60490341474386988</v>
      </c>
      <c r="K173" s="3257">
        <v>0.60490341474386988</v>
      </c>
      <c r="L173" s="3294" t="s">
        <v>3711</v>
      </c>
      <c r="M173" s="3295"/>
    </row>
    <row r="174" spans="1:13" s="3251" customFormat="1" outlineLevel="3">
      <c r="A174" s="3306" t="s">
        <v>4076</v>
      </c>
      <c r="B174" s="3291" t="s">
        <v>4077</v>
      </c>
      <c r="C174" s="3291"/>
      <c r="D174" s="3296"/>
      <c r="E174" s="3292">
        <v>0</v>
      </c>
      <c r="F174" s="3268">
        <v>0</v>
      </c>
      <c r="G174" s="3316">
        <v>0</v>
      </c>
      <c r="H174" s="3268"/>
      <c r="I174" s="3257">
        <v>0</v>
      </c>
      <c r="J174" s="3257">
        <v>0</v>
      </c>
      <c r="K174" s="3257">
        <v>0</v>
      </c>
      <c r="L174" s="3294" t="s">
        <v>3711</v>
      </c>
      <c r="M174" s="3295"/>
    </row>
    <row r="175" spans="1:13" s="3251" customFormat="1" outlineLevel="3">
      <c r="A175" s="3306" t="s">
        <v>4078</v>
      </c>
      <c r="B175" s="3291" t="s">
        <v>4079</v>
      </c>
      <c r="C175" s="3291"/>
      <c r="D175" s="3296"/>
      <c r="E175" s="3292">
        <v>0</v>
      </c>
      <c r="F175" s="3268">
        <v>0</v>
      </c>
      <c r="G175" s="3316">
        <v>0</v>
      </c>
      <c r="H175" s="3268"/>
      <c r="I175" s="3257">
        <v>0</v>
      </c>
      <c r="J175" s="3257">
        <v>0</v>
      </c>
      <c r="K175" s="3257">
        <v>0</v>
      </c>
      <c r="L175" s="3294" t="s">
        <v>3711</v>
      </c>
      <c r="M175" s="3295"/>
    </row>
    <row r="176" spans="1:13" s="3251" customFormat="1" outlineLevel="3">
      <c r="A176" s="3306" t="s">
        <v>4080</v>
      </c>
      <c r="B176" s="3291" t="s">
        <v>4081</v>
      </c>
      <c r="C176" s="3291"/>
      <c r="D176" s="3296"/>
      <c r="E176" s="3292">
        <v>0</v>
      </c>
      <c r="F176" s="3268">
        <v>0</v>
      </c>
      <c r="G176" s="3316">
        <v>0</v>
      </c>
      <c r="H176" s="3268"/>
      <c r="I176" s="3257">
        <v>0</v>
      </c>
      <c r="J176" s="3257">
        <v>0</v>
      </c>
      <c r="K176" s="3257">
        <v>0</v>
      </c>
      <c r="L176" s="3294" t="s">
        <v>3711</v>
      </c>
      <c r="M176" s="3295"/>
    </row>
    <row r="177" spans="1:13" s="3251" customFormat="1" ht="62.25" customHeight="1" outlineLevel="2">
      <c r="A177" s="3306" t="s">
        <v>4082</v>
      </c>
      <c r="B177" s="3291" t="s">
        <v>4083</v>
      </c>
      <c r="C177" s="3291" t="s">
        <v>4084</v>
      </c>
      <c r="D177" s="3296" t="s">
        <v>3674</v>
      </c>
      <c r="E177" s="3292">
        <v>1</v>
      </c>
      <c r="F177" s="3291" t="s">
        <v>4085</v>
      </c>
      <c r="G177" s="3316">
        <v>950.08189649999997</v>
      </c>
      <c r="H177" s="3291" t="s">
        <v>4086</v>
      </c>
      <c r="I177" s="3257">
        <v>25.685752405878418</v>
      </c>
      <c r="J177" s="3257">
        <v>32.307374583551336</v>
      </c>
      <c r="K177" s="3257">
        <v>32.307374583551336</v>
      </c>
      <c r="L177" s="3294" t="s">
        <v>3711</v>
      </c>
      <c r="M177" s="3295"/>
    </row>
    <row r="178" spans="1:13" s="3251" customFormat="1" ht="24" outlineLevel="2">
      <c r="A178" s="3306" t="s">
        <v>4087</v>
      </c>
      <c r="B178" s="3291" t="s">
        <v>4088</v>
      </c>
      <c r="C178" s="3291" t="s">
        <v>4089</v>
      </c>
      <c r="D178" s="3296" t="s">
        <v>3674</v>
      </c>
      <c r="E178" s="3292">
        <v>1</v>
      </c>
      <c r="F178" s="3291" t="s">
        <v>4090</v>
      </c>
      <c r="G178" s="3316">
        <v>79.498721520000004</v>
      </c>
      <c r="H178" s="3268"/>
      <c r="I178" s="3257">
        <v>2.1492720628285316</v>
      </c>
      <c r="J178" s="3257">
        <v>2.7033406115007197</v>
      </c>
      <c r="K178" s="3257">
        <v>2.7033406115007197</v>
      </c>
      <c r="L178" s="3294" t="s">
        <v>3711</v>
      </c>
      <c r="M178" s="3295"/>
    </row>
    <row r="179" spans="1:13" s="3251" customFormat="1" outlineLevel="2">
      <c r="A179" s="3306" t="s">
        <v>4091</v>
      </c>
      <c r="B179" s="3291" t="s">
        <v>4092</v>
      </c>
      <c r="C179" s="3291" t="s">
        <v>4093</v>
      </c>
      <c r="D179" s="3296" t="s">
        <v>3674</v>
      </c>
      <c r="E179" s="3292">
        <v>1</v>
      </c>
      <c r="F179" s="3268"/>
      <c r="G179" s="3316">
        <v>0</v>
      </c>
      <c r="H179" s="3268"/>
      <c r="I179" s="3257">
        <v>0</v>
      </c>
      <c r="J179" s="3257">
        <v>0</v>
      </c>
      <c r="K179" s="3257">
        <v>0</v>
      </c>
      <c r="L179" s="3294" t="s">
        <v>3711</v>
      </c>
      <c r="M179" s="3295"/>
    </row>
    <row r="180" spans="1:13" s="3251" customFormat="1" outlineLevel="2">
      <c r="A180" s="3306" t="s">
        <v>4094</v>
      </c>
      <c r="B180" s="3291" t="s">
        <v>4095</v>
      </c>
      <c r="C180" s="3291" t="s">
        <v>4096</v>
      </c>
      <c r="D180" s="3296"/>
      <c r="E180" s="3292">
        <v>0</v>
      </c>
      <c r="F180" s="3268">
        <v>0</v>
      </c>
      <c r="G180" s="3268">
        <v>0</v>
      </c>
      <c r="H180" s="3268"/>
      <c r="I180" s="3257">
        <v>0</v>
      </c>
      <c r="J180" s="3257">
        <v>0</v>
      </c>
      <c r="K180" s="3257">
        <v>0</v>
      </c>
      <c r="L180" s="3294" t="s">
        <v>3711</v>
      </c>
      <c r="M180" s="3295"/>
    </row>
    <row r="181" spans="1:13" s="3251" customFormat="1" ht="24" outlineLevel="1">
      <c r="A181" s="3289">
        <v>6.2</v>
      </c>
      <c r="B181" s="3376" t="s">
        <v>4097</v>
      </c>
      <c r="C181" s="3326" t="s">
        <v>4098</v>
      </c>
      <c r="D181" s="3296" t="s">
        <v>3674</v>
      </c>
      <c r="E181" s="3292">
        <v>1</v>
      </c>
      <c r="F181" s="3268">
        <v>7484000</v>
      </c>
      <c r="G181" s="3268">
        <v>748.4</v>
      </c>
      <c r="H181" s="3268" t="s">
        <v>4099</v>
      </c>
      <c r="I181" s="3257">
        <v>20.23322112691093</v>
      </c>
      <c r="J181" s="3257">
        <v>25.449215722773026</v>
      </c>
      <c r="K181" s="3257">
        <v>25.449215722773026</v>
      </c>
      <c r="L181" s="3294" t="s">
        <v>3711</v>
      </c>
      <c r="M181" s="3295"/>
    </row>
    <row r="182" spans="1:13" s="3251" customFormat="1" outlineLevel="1">
      <c r="A182" s="3289">
        <v>6.3</v>
      </c>
      <c r="B182" s="3290" t="s">
        <v>4100</v>
      </c>
      <c r="C182" s="3291" t="s">
        <v>4101</v>
      </c>
      <c r="D182" s="3296"/>
      <c r="E182" s="3292">
        <v>0</v>
      </c>
      <c r="F182" s="3268">
        <v>0</v>
      </c>
      <c r="G182" s="3268">
        <v>0</v>
      </c>
      <c r="H182" s="3268"/>
      <c r="I182" s="3257">
        <v>0</v>
      </c>
      <c r="J182" s="3257">
        <v>0</v>
      </c>
      <c r="K182" s="3257">
        <v>0</v>
      </c>
      <c r="L182" s="3294" t="s">
        <v>3711</v>
      </c>
      <c r="M182" s="3295"/>
    </row>
    <row r="183" spans="1:13" s="3382" customFormat="1" ht="14.25" outlineLevel="1">
      <c r="A183" s="3377">
        <v>6.4</v>
      </c>
      <c r="B183" s="3378" t="s">
        <v>4102</v>
      </c>
      <c r="C183" s="3312"/>
      <c r="D183" s="3379"/>
      <c r="E183" s="3292"/>
      <c r="F183" s="3268"/>
      <c r="G183" s="3316">
        <v>0</v>
      </c>
      <c r="H183" s="3313"/>
      <c r="I183" s="3257">
        <v>0</v>
      </c>
      <c r="J183" s="3257">
        <v>0</v>
      </c>
      <c r="K183" s="3257">
        <v>0</v>
      </c>
      <c r="L183" s="3380" t="s">
        <v>4103</v>
      </c>
      <c r="M183" s="3381"/>
    </row>
    <row r="184" spans="1:13" s="3315" customFormat="1" ht="14.25" outlineLevel="2">
      <c r="A184" s="3383" t="s">
        <v>4104</v>
      </c>
      <c r="B184" s="3384" t="s">
        <v>4105</v>
      </c>
      <c r="C184" s="3385"/>
      <c r="D184" s="3386"/>
      <c r="E184" s="3292">
        <v>369886.73000000004</v>
      </c>
      <c r="F184" s="3268">
        <v>0</v>
      </c>
      <c r="G184" s="3316">
        <v>0</v>
      </c>
      <c r="H184" s="3387"/>
      <c r="I184" s="3257">
        <v>0</v>
      </c>
      <c r="J184" s="3257">
        <v>0</v>
      </c>
      <c r="K184" s="3257">
        <v>0</v>
      </c>
      <c r="L184" s="3380" t="s">
        <v>4103</v>
      </c>
      <c r="M184" s="3314"/>
    </row>
    <row r="185" spans="1:13" s="3315" customFormat="1" ht="14.25" outlineLevel="2">
      <c r="A185" s="3383" t="s">
        <v>4106</v>
      </c>
      <c r="B185" s="3384" t="s">
        <v>4107</v>
      </c>
      <c r="C185" s="3385"/>
      <c r="D185" s="3386"/>
      <c r="E185" s="3292"/>
      <c r="F185" s="3268"/>
      <c r="G185" s="3316">
        <v>0</v>
      </c>
      <c r="H185" s="3387"/>
      <c r="I185" s="3257">
        <v>0</v>
      </c>
      <c r="J185" s="3257">
        <v>0</v>
      </c>
      <c r="K185" s="3257">
        <v>0</v>
      </c>
      <c r="L185" s="3380" t="s">
        <v>4103</v>
      </c>
      <c r="M185" s="3314"/>
    </row>
    <row r="186" spans="1:13" s="3315" customFormat="1" ht="14.25" outlineLevel="2">
      <c r="A186" s="3383" t="s">
        <v>4108</v>
      </c>
      <c r="B186" s="3384" t="s">
        <v>4109</v>
      </c>
      <c r="C186" s="3385"/>
      <c r="D186" s="3386"/>
      <c r="E186" s="3292"/>
      <c r="F186" s="3268"/>
      <c r="G186" s="3316">
        <v>0</v>
      </c>
      <c r="H186" s="3387"/>
      <c r="I186" s="3257">
        <v>0</v>
      </c>
      <c r="J186" s="3257">
        <v>0</v>
      </c>
      <c r="K186" s="3257">
        <v>0</v>
      </c>
      <c r="L186" s="3380" t="s">
        <v>4103</v>
      </c>
      <c r="M186" s="3314"/>
    </row>
    <row r="187" spans="1:13" s="3315" customFormat="1" ht="14.25" outlineLevel="2">
      <c r="A187" s="3383" t="s">
        <v>4110</v>
      </c>
      <c r="B187" s="3384" t="s">
        <v>4111</v>
      </c>
      <c r="C187" s="3385"/>
      <c r="D187" s="3386" t="s">
        <v>3674</v>
      </c>
      <c r="E187" s="3292">
        <v>0</v>
      </c>
      <c r="F187" s="3268">
        <v>0</v>
      </c>
      <c r="G187" s="3316">
        <v>0</v>
      </c>
      <c r="H187" s="3387"/>
      <c r="I187" s="3257">
        <v>0</v>
      </c>
      <c r="J187" s="3257">
        <v>0</v>
      </c>
      <c r="K187" s="3257">
        <v>0</v>
      </c>
      <c r="L187" s="3380"/>
      <c r="M187" s="3314"/>
    </row>
    <row r="188" spans="1:13" s="3251" customFormat="1" ht="47.25" customHeight="1" outlineLevel="1">
      <c r="A188" s="3289">
        <v>6.5</v>
      </c>
      <c r="B188" s="3325" t="s">
        <v>4112</v>
      </c>
      <c r="C188" s="3297" t="s">
        <v>4113</v>
      </c>
      <c r="D188" s="3296"/>
      <c r="E188" s="3292">
        <v>369886.73000000004</v>
      </c>
      <c r="F188" s="3268"/>
      <c r="G188" s="3268">
        <v>10191.7104</v>
      </c>
      <c r="H188" s="3388" t="s">
        <v>4114</v>
      </c>
      <c r="I188" s="3257">
        <v>275.53598367803028</v>
      </c>
      <c r="J188" s="3257">
        <v>346.56739250885812</v>
      </c>
      <c r="K188" s="3257">
        <v>346.56739250885812</v>
      </c>
      <c r="L188" s="3294" t="s">
        <v>4115</v>
      </c>
      <c r="M188" s="3295"/>
    </row>
    <row r="189" spans="1:13" s="3251" customFormat="1" ht="24" hidden="1" outlineLevel="2">
      <c r="A189" s="3306" t="s">
        <v>4116</v>
      </c>
      <c r="B189" s="3389" t="s">
        <v>4117</v>
      </c>
      <c r="C189" s="3326" t="s">
        <v>4118</v>
      </c>
      <c r="D189" s="3296"/>
      <c r="E189" s="3292"/>
      <c r="F189" s="3268"/>
      <c r="G189" s="3316"/>
      <c r="H189" s="3268"/>
      <c r="I189" s="3257">
        <v>0</v>
      </c>
      <c r="J189" s="3257">
        <v>0</v>
      </c>
      <c r="K189" s="3257">
        <v>0</v>
      </c>
      <c r="L189" s="3294" t="s">
        <v>4115</v>
      </c>
      <c r="M189" s="3295"/>
    </row>
    <row r="190" spans="1:13" s="3251" customFormat="1" hidden="1" outlineLevel="2">
      <c r="A190" s="3306" t="s">
        <v>4119</v>
      </c>
      <c r="B190" s="3389" t="s">
        <v>4120</v>
      </c>
      <c r="C190" s="3326"/>
      <c r="D190" s="3296"/>
      <c r="E190" s="3292"/>
      <c r="F190" s="3268"/>
      <c r="G190" s="3316"/>
      <c r="H190" s="3268"/>
      <c r="I190" s="3257">
        <v>0</v>
      </c>
      <c r="J190" s="3257">
        <v>0</v>
      </c>
      <c r="K190" s="3257">
        <v>0</v>
      </c>
      <c r="L190" s="3294" t="s">
        <v>4115</v>
      </c>
      <c r="M190" s="3295"/>
    </row>
    <row r="191" spans="1:13" s="3251" customFormat="1" hidden="1" outlineLevel="2">
      <c r="A191" s="3306" t="s">
        <v>4121</v>
      </c>
      <c r="B191" s="3389" t="s">
        <v>4122</v>
      </c>
      <c r="C191" s="3326"/>
      <c r="D191" s="3296"/>
      <c r="E191" s="3292"/>
      <c r="F191" s="3268"/>
      <c r="G191" s="3316"/>
      <c r="H191" s="3268"/>
      <c r="I191" s="3257">
        <v>0</v>
      </c>
      <c r="J191" s="3257">
        <v>0</v>
      </c>
      <c r="K191" s="3257">
        <v>0</v>
      </c>
      <c r="L191" s="3294" t="s">
        <v>4115</v>
      </c>
      <c r="M191" s="3295"/>
    </row>
    <row r="192" spans="1:13" s="3251" customFormat="1" ht="24" hidden="1" outlineLevel="2">
      <c r="A192" s="3306" t="s">
        <v>4123</v>
      </c>
      <c r="B192" s="3389" t="s">
        <v>4124</v>
      </c>
      <c r="C192" s="3326" t="s">
        <v>4125</v>
      </c>
      <c r="D192" s="3296"/>
      <c r="E192" s="3292"/>
      <c r="F192" s="3268"/>
      <c r="G192" s="3316"/>
      <c r="H192" s="3268"/>
      <c r="I192" s="3257">
        <v>0</v>
      </c>
      <c r="J192" s="3257">
        <v>0</v>
      </c>
      <c r="K192" s="3257">
        <v>0</v>
      </c>
      <c r="L192" s="3294" t="s">
        <v>4115</v>
      </c>
      <c r="M192" s="3295"/>
    </row>
    <row r="193" spans="1:13" s="3251" customFormat="1" ht="24" hidden="1" outlineLevel="2">
      <c r="A193" s="3306" t="s">
        <v>4126</v>
      </c>
      <c r="B193" s="3389" t="s">
        <v>4127</v>
      </c>
      <c r="C193" s="3326" t="s">
        <v>4128</v>
      </c>
      <c r="D193" s="3296"/>
      <c r="E193" s="3292"/>
      <c r="F193" s="3268"/>
      <c r="G193" s="3316"/>
      <c r="H193" s="3268"/>
      <c r="I193" s="3257">
        <v>0</v>
      </c>
      <c r="J193" s="3257">
        <v>0</v>
      </c>
      <c r="K193" s="3257">
        <v>0</v>
      </c>
      <c r="L193" s="3294" t="s">
        <v>4115</v>
      </c>
      <c r="M193" s="3295"/>
    </row>
    <row r="194" spans="1:13" s="3251" customFormat="1" hidden="1" outlineLevel="2">
      <c r="A194" s="3306" t="s">
        <v>4129</v>
      </c>
      <c r="B194" s="3389" t="s">
        <v>4130</v>
      </c>
      <c r="C194" s="3326" t="s">
        <v>4131</v>
      </c>
      <c r="D194" s="3296"/>
      <c r="E194" s="3292"/>
      <c r="F194" s="3268"/>
      <c r="G194" s="3316"/>
      <c r="H194" s="3268"/>
      <c r="I194" s="3257">
        <v>0</v>
      </c>
      <c r="J194" s="3257">
        <v>0</v>
      </c>
      <c r="K194" s="3257">
        <v>0</v>
      </c>
      <c r="L194" s="3294" t="s">
        <v>4115</v>
      </c>
      <c r="M194" s="3295"/>
    </row>
    <row r="195" spans="1:13" s="3251" customFormat="1" hidden="1" outlineLevel="2">
      <c r="A195" s="3306" t="s">
        <v>4132</v>
      </c>
      <c r="B195" s="3389" t="s">
        <v>4133</v>
      </c>
      <c r="C195" s="3326" t="s">
        <v>4134</v>
      </c>
      <c r="D195" s="3296"/>
      <c r="E195" s="3292"/>
      <c r="F195" s="3268"/>
      <c r="G195" s="3316"/>
      <c r="H195" s="3268"/>
      <c r="I195" s="3257">
        <v>0</v>
      </c>
      <c r="J195" s="3257">
        <v>0</v>
      </c>
      <c r="K195" s="3257">
        <v>0</v>
      </c>
      <c r="L195" s="3294" t="s">
        <v>4115</v>
      </c>
      <c r="M195" s="3295"/>
    </row>
    <row r="196" spans="1:13" s="3251" customFormat="1" hidden="1" outlineLevel="2">
      <c r="A196" s="3306" t="s">
        <v>4135</v>
      </c>
      <c r="B196" s="3389" t="s">
        <v>4136</v>
      </c>
      <c r="C196" s="3326"/>
      <c r="D196" s="3296"/>
      <c r="E196" s="3292"/>
      <c r="F196" s="3268"/>
      <c r="G196" s="3316"/>
      <c r="H196" s="3268"/>
      <c r="I196" s="3257">
        <v>0</v>
      </c>
      <c r="J196" s="3257">
        <v>0</v>
      </c>
      <c r="K196" s="3257">
        <v>0</v>
      </c>
      <c r="L196" s="3294" t="s">
        <v>4115</v>
      </c>
      <c r="M196" s="3295"/>
    </row>
    <row r="197" spans="1:13" s="3251" customFormat="1" hidden="1" outlineLevel="2">
      <c r="A197" s="3306" t="s">
        <v>4137</v>
      </c>
      <c r="B197" s="3389" t="s">
        <v>4138</v>
      </c>
      <c r="C197" s="3326" t="s">
        <v>4139</v>
      </c>
      <c r="D197" s="3296"/>
      <c r="E197" s="3292"/>
      <c r="F197" s="3268"/>
      <c r="G197" s="3316"/>
      <c r="H197" s="3268"/>
      <c r="I197" s="3257">
        <v>0</v>
      </c>
      <c r="J197" s="3257">
        <v>0</v>
      </c>
      <c r="K197" s="3257">
        <v>0</v>
      </c>
      <c r="L197" s="3294" t="s">
        <v>4115</v>
      </c>
      <c r="M197" s="3295"/>
    </row>
    <row r="198" spans="1:13" s="3251" customFormat="1" hidden="1" outlineLevel="2">
      <c r="A198" s="3306" t="s">
        <v>4140</v>
      </c>
      <c r="B198" s="3389" t="s">
        <v>4141</v>
      </c>
      <c r="C198" s="3326"/>
      <c r="D198" s="3296"/>
      <c r="E198" s="3292"/>
      <c r="F198" s="3268"/>
      <c r="G198" s="3316"/>
      <c r="H198" s="3268"/>
      <c r="I198" s="3257">
        <v>0</v>
      </c>
      <c r="J198" s="3257">
        <v>0</v>
      </c>
      <c r="K198" s="3257">
        <v>0</v>
      </c>
      <c r="L198" s="3294" t="s">
        <v>4115</v>
      </c>
      <c r="M198" s="3295"/>
    </row>
    <row r="199" spans="1:13" s="3251" customFormat="1" hidden="1" outlineLevel="2">
      <c r="A199" s="3306" t="s">
        <v>4142</v>
      </c>
      <c r="B199" s="3389" t="s">
        <v>4143</v>
      </c>
      <c r="C199" s="3326"/>
      <c r="D199" s="3296"/>
      <c r="E199" s="3292"/>
      <c r="F199" s="3268"/>
      <c r="G199" s="3316"/>
      <c r="H199" s="3268"/>
      <c r="I199" s="3257">
        <v>0</v>
      </c>
      <c r="J199" s="3257">
        <v>0</v>
      </c>
      <c r="K199" s="3257">
        <v>0</v>
      </c>
      <c r="L199" s="3294" t="s">
        <v>4115</v>
      </c>
      <c r="M199" s="3295"/>
    </row>
    <row r="200" spans="1:13" s="3251" customFormat="1" hidden="1" outlineLevel="2">
      <c r="A200" s="3306" t="s">
        <v>4144</v>
      </c>
      <c r="B200" s="3389" t="s">
        <v>4145</v>
      </c>
      <c r="C200" s="3326"/>
      <c r="D200" s="3296"/>
      <c r="E200" s="3292"/>
      <c r="F200" s="3268"/>
      <c r="G200" s="3316"/>
      <c r="H200" s="3268"/>
      <c r="I200" s="3257">
        <v>0</v>
      </c>
      <c r="J200" s="3257">
        <v>0</v>
      </c>
      <c r="K200" s="3257">
        <v>0</v>
      </c>
      <c r="L200" s="3294" t="s">
        <v>4115</v>
      </c>
      <c r="M200" s="3295"/>
    </row>
    <row r="201" spans="1:13" s="3251" customFormat="1" hidden="1" outlineLevel="2">
      <c r="A201" s="3306" t="s">
        <v>4146</v>
      </c>
      <c r="B201" s="3389" t="s">
        <v>4147</v>
      </c>
      <c r="C201" s="3326"/>
      <c r="D201" s="3296"/>
      <c r="E201" s="3292"/>
      <c r="F201" s="3268"/>
      <c r="G201" s="3316"/>
      <c r="H201" s="3268"/>
      <c r="I201" s="3257">
        <v>0</v>
      </c>
      <c r="J201" s="3257">
        <v>0</v>
      </c>
      <c r="K201" s="3257">
        <v>0</v>
      </c>
      <c r="L201" s="3294" t="s">
        <v>4115</v>
      </c>
      <c r="M201" s="3295"/>
    </row>
    <row r="202" spans="1:13" s="3251" customFormat="1" hidden="1" outlineLevel="2">
      <c r="A202" s="3306" t="s">
        <v>4148</v>
      </c>
      <c r="B202" s="3389" t="s">
        <v>4149</v>
      </c>
      <c r="C202" s="3326"/>
      <c r="D202" s="3296"/>
      <c r="E202" s="3292"/>
      <c r="F202" s="3268"/>
      <c r="G202" s="3316"/>
      <c r="H202" s="3268"/>
      <c r="I202" s="3257">
        <v>0</v>
      </c>
      <c r="J202" s="3257">
        <v>0</v>
      </c>
      <c r="K202" s="3257">
        <v>0</v>
      </c>
      <c r="L202" s="3294" t="s">
        <v>4115</v>
      </c>
      <c r="M202" s="3295"/>
    </row>
    <row r="203" spans="1:13" s="3251" customFormat="1" hidden="1" outlineLevel="2">
      <c r="A203" s="3306" t="s">
        <v>4150</v>
      </c>
      <c r="B203" s="3389" t="s">
        <v>4151</v>
      </c>
      <c r="C203" s="3326"/>
      <c r="D203" s="3296"/>
      <c r="E203" s="3292"/>
      <c r="F203" s="3268"/>
      <c r="G203" s="3316"/>
      <c r="H203" s="3268"/>
      <c r="I203" s="3257">
        <v>0</v>
      </c>
      <c r="J203" s="3257">
        <v>0</v>
      </c>
      <c r="K203" s="3257">
        <v>0</v>
      </c>
      <c r="L203" s="3294" t="s">
        <v>4115</v>
      </c>
      <c r="M203" s="3295"/>
    </row>
    <row r="204" spans="1:13" s="3251" customFormat="1" hidden="1" outlineLevel="2">
      <c r="A204" s="3306" t="s">
        <v>4152</v>
      </c>
      <c r="B204" s="3389" t="s">
        <v>4153</v>
      </c>
      <c r="C204" s="3326"/>
      <c r="D204" s="3296"/>
      <c r="E204" s="3292"/>
      <c r="F204" s="3268"/>
      <c r="G204" s="3316"/>
      <c r="H204" s="3268"/>
      <c r="I204" s="3257">
        <v>0</v>
      </c>
      <c r="J204" s="3257">
        <v>0</v>
      </c>
      <c r="K204" s="3257">
        <v>0</v>
      </c>
      <c r="L204" s="3294" t="s">
        <v>4115</v>
      </c>
      <c r="M204" s="3295"/>
    </row>
    <row r="205" spans="1:13" s="3251" customFormat="1" hidden="1" outlineLevel="2">
      <c r="A205" s="3306" t="s">
        <v>4154</v>
      </c>
      <c r="B205" s="3389" t="s">
        <v>4155</v>
      </c>
      <c r="C205" s="3326"/>
      <c r="D205" s="3296"/>
      <c r="E205" s="3292"/>
      <c r="F205" s="3268"/>
      <c r="G205" s="3316"/>
      <c r="H205" s="3268"/>
      <c r="I205" s="3257">
        <v>0</v>
      </c>
      <c r="J205" s="3257">
        <v>0</v>
      </c>
      <c r="K205" s="3257">
        <v>0</v>
      </c>
      <c r="L205" s="3294" t="s">
        <v>4115</v>
      </c>
      <c r="M205" s="3295"/>
    </row>
    <row r="206" spans="1:13" s="3251" customFormat="1" hidden="1" outlineLevel="2">
      <c r="A206" s="3306" t="s">
        <v>4156</v>
      </c>
      <c r="B206" s="3389" t="s">
        <v>4157</v>
      </c>
      <c r="C206" s="3326"/>
      <c r="D206" s="3296"/>
      <c r="E206" s="3292"/>
      <c r="F206" s="3268"/>
      <c r="G206" s="3316"/>
      <c r="H206" s="3268"/>
      <c r="I206" s="3257">
        <v>0</v>
      </c>
      <c r="J206" s="3257">
        <v>0</v>
      </c>
      <c r="K206" s="3257">
        <v>0</v>
      </c>
      <c r="L206" s="3294" t="s">
        <v>4115</v>
      </c>
      <c r="M206" s="3295"/>
    </row>
    <row r="207" spans="1:13" s="3251" customFormat="1" hidden="1" outlineLevel="2">
      <c r="A207" s="3306" t="s">
        <v>4158</v>
      </c>
      <c r="B207" s="3389" t="s">
        <v>4159</v>
      </c>
      <c r="C207" s="3326"/>
      <c r="D207" s="3296"/>
      <c r="E207" s="3292"/>
      <c r="F207" s="3268"/>
      <c r="G207" s="3316">
        <v>0</v>
      </c>
      <c r="H207" s="3268"/>
      <c r="I207" s="3257">
        <v>0</v>
      </c>
      <c r="J207" s="3257">
        <v>0</v>
      </c>
      <c r="K207" s="3257">
        <v>0</v>
      </c>
      <c r="L207" s="3294" t="s">
        <v>4115</v>
      </c>
      <c r="M207" s="3295"/>
    </row>
    <row r="208" spans="1:13" s="3251" customFormat="1" hidden="1" outlineLevel="2">
      <c r="A208" s="3306" t="s">
        <v>4160</v>
      </c>
      <c r="B208" s="3389" t="s">
        <v>4161</v>
      </c>
      <c r="C208" s="3326"/>
      <c r="D208" s="3296"/>
      <c r="E208" s="3292"/>
      <c r="F208" s="3268"/>
      <c r="G208" s="3316"/>
      <c r="H208" s="3268"/>
      <c r="I208" s="3257">
        <v>0</v>
      </c>
      <c r="J208" s="3257">
        <v>0</v>
      </c>
      <c r="K208" s="3257">
        <v>0</v>
      </c>
      <c r="L208" s="3294" t="s">
        <v>4115</v>
      </c>
      <c r="M208" s="3295"/>
    </row>
    <row r="209" spans="1:13" s="3251" customFormat="1" hidden="1" outlineLevel="2">
      <c r="A209" s="3306" t="s">
        <v>4162</v>
      </c>
      <c r="B209" s="3389" t="s">
        <v>4163</v>
      </c>
      <c r="C209" s="3326"/>
      <c r="D209" s="3296"/>
      <c r="E209" s="3292"/>
      <c r="F209" s="3268"/>
      <c r="G209" s="3316"/>
      <c r="H209" s="3268"/>
      <c r="I209" s="3257">
        <v>0</v>
      </c>
      <c r="J209" s="3257">
        <v>0</v>
      </c>
      <c r="K209" s="3257">
        <v>0</v>
      </c>
      <c r="L209" s="3294" t="s">
        <v>4115</v>
      </c>
      <c r="M209" s="3295"/>
    </row>
    <row r="210" spans="1:13" s="3251" customFormat="1" hidden="1" outlineLevel="2">
      <c r="A210" s="3306" t="s">
        <v>4164</v>
      </c>
      <c r="B210" s="3389" t="s">
        <v>4165</v>
      </c>
      <c r="C210" s="3326"/>
      <c r="D210" s="3296"/>
      <c r="E210" s="3292"/>
      <c r="F210" s="3268"/>
      <c r="G210" s="3316"/>
      <c r="H210" s="3268"/>
      <c r="I210" s="3257">
        <v>0</v>
      </c>
      <c r="J210" s="3257">
        <v>0</v>
      </c>
      <c r="K210" s="3257">
        <v>0</v>
      </c>
      <c r="L210" s="3294" t="s">
        <v>4115</v>
      </c>
      <c r="M210" s="3295"/>
    </row>
    <row r="211" spans="1:13" s="3251" customFormat="1" hidden="1" outlineLevel="2">
      <c r="A211" s="3306" t="s">
        <v>4166</v>
      </c>
      <c r="B211" s="3389" t="s">
        <v>4167</v>
      </c>
      <c r="C211" s="3326"/>
      <c r="D211" s="3296"/>
      <c r="E211" s="3292"/>
      <c r="F211" s="3268"/>
      <c r="G211" s="3316"/>
      <c r="H211" s="3268"/>
      <c r="I211" s="3257">
        <v>0</v>
      </c>
      <c r="J211" s="3257">
        <v>0</v>
      </c>
      <c r="K211" s="3257">
        <v>0</v>
      </c>
      <c r="L211" s="3294" t="s">
        <v>4115</v>
      </c>
      <c r="M211" s="3295"/>
    </row>
    <row r="212" spans="1:13" s="3251" customFormat="1" hidden="1" outlineLevel="2">
      <c r="A212" s="3306" t="s">
        <v>4168</v>
      </c>
      <c r="B212" s="3389" t="s">
        <v>4169</v>
      </c>
      <c r="C212" s="3326"/>
      <c r="D212" s="3296"/>
      <c r="E212" s="3292"/>
      <c r="F212" s="3268"/>
      <c r="G212" s="3316"/>
      <c r="H212" s="3268"/>
      <c r="I212" s="3257">
        <v>0</v>
      </c>
      <c r="J212" s="3257">
        <v>0</v>
      </c>
      <c r="K212" s="3257">
        <v>0</v>
      </c>
      <c r="L212" s="3294" t="s">
        <v>4115</v>
      </c>
      <c r="M212" s="3295"/>
    </row>
    <row r="213" spans="1:13" s="3251" customFormat="1" hidden="1" outlineLevel="2">
      <c r="A213" s="3306" t="s">
        <v>4170</v>
      </c>
      <c r="B213" s="3389" t="s">
        <v>4171</v>
      </c>
      <c r="C213" s="3326"/>
      <c r="D213" s="3296"/>
      <c r="E213" s="3292"/>
      <c r="F213" s="3268"/>
      <c r="G213" s="3316"/>
      <c r="H213" s="3268"/>
      <c r="I213" s="3257">
        <v>0</v>
      </c>
      <c r="J213" s="3257">
        <v>0</v>
      </c>
      <c r="K213" s="3257">
        <v>0</v>
      </c>
      <c r="L213" s="3294" t="s">
        <v>4115</v>
      </c>
      <c r="M213" s="3295"/>
    </row>
    <row r="214" spans="1:13" s="3251" customFormat="1" outlineLevel="1" collapsed="1">
      <c r="A214" s="3289">
        <v>6.6</v>
      </c>
      <c r="B214" s="3325" t="s">
        <v>4172</v>
      </c>
      <c r="C214" s="3297" t="s">
        <v>4173</v>
      </c>
      <c r="D214" s="3296"/>
      <c r="E214" s="3292"/>
      <c r="F214" s="3268"/>
      <c r="G214" s="3316">
        <v>3686.4512</v>
      </c>
      <c r="H214" s="3268"/>
      <c r="I214" s="3257">
        <v>99.664326968420852</v>
      </c>
      <c r="J214" s="3257">
        <v>125.35715104259152</v>
      </c>
      <c r="K214" s="3257">
        <v>125.35715104259152</v>
      </c>
      <c r="L214" s="3294" t="s">
        <v>4174</v>
      </c>
      <c r="M214" s="3295"/>
    </row>
    <row r="215" spans="1:13" s="3251" customFormat="1" ht="35.25" customHeight="1" outlineLevel="2">
      <c r="A215" s="3306" t="s">
        <v>4175</v>
      </c>
      <c r="B215" s="3332" t="s">
        <v>4176</v>
      </c>
      <c r="C215" s="3291" t="s">
        <v>4177</v>
      </c>
      <c r="D215" s="3296"/>
      <c r="E215" s="3292">
        <v>369886.73000000004</v>
      </c>
      <c r="F215" s="3268"/>
      <c r="G215" s="3268">
        <v>3681.1734999999999</v>
      </c>
      <c r="H215" s="3388" t="s">
        <v>4178</v>
      </c>
      <c r="I215" s="3257">
        <v>99.521642747226977</v>
      </c>
      <c r="J215" s="3257">
        <v>125.1776837445957</v>
      </c>
      <c r="K215" s="3257">
        <v>125.1776837445957</v>
      </c>
      <c r="L215" s="3294" t="s">
        <v>4174</v>
      </c>
      <c r="M215" s="3295"/>
    </row>
    <row r="216" spans="1:13" s="3251" customFormat="1" outlineLevel="2">
      <c r="A216" s="3306" t="s">
        <v>4179</v>
      </c>
      <c r="B216" s="3332" t="s">
        <v>4180</v>
      </c>
      <c r="C216" s="3291"/>
      <c r="D216" s="3296"/>
      <c r="E216" s="3292">
        <v>369886.73000000004</v>
      </c>
      <c r="F216" s="3268"/>
      <c r="G216" s="3348">
        <v>5.2776999999999994</v>
      </c>
      <c r="H216" s="3363" t="s">
        <v>4181</v>
      </c>
      <c r="I216" s="3257">
        <v>0.14268422119387739</v>
      </c>
      <c r="J216" s="3257">
        <v>0.17946729799583003</v>
      </c>
      <c r="K216" s="3257">
        <v>0.17946729799583003</v>
      </c>
      <c r="L216" s="3294" t="s">
        <v>4174</v>
      </c>
      <c r="M216" s="3295"/>
    </row>
    <row r="217" spans="1:13" s="3251" customFormat="1" outlineLevel="1">
      <c r="A217" s="3289">
        <v>6.7</v>
      </c>
      <c r="B217" s="3390" t="s">
        <v>4182</v>
      </c>
      <c r="C217" s="3291" t="s">
        <v>4183</v>
      </c>
      <c r="D217" s="3296"/>
      <c r="E217" s="3292"/>
      <c r="F217" s="3268"/>
      <c r="G217" s="3391">
        <v>92449.325400000002</v>
      </c>
      <c r="H217" s="3268"/>
      <c r="I217" s="3257">
        <v>2499.3955690164935</v>
      </c>
      <c r="J217" s="3257">
        <v>3143.7237112900052</v>
      </c>
      <c r="K217" s="3257">
        <v>3143.7237112900052</v>
      </c>
      <c r="L217" s="3294" t="s">
        <v>4184</v>
      </c>
      <c r="M217" s="3295"/>
    </row>
    <row r="218" spans="1:13" s="3251" customFormat="1" ht="36" outlineLevel="2">
      <c r="A218" s="3306" t="s">
        <v>4185</v>
      </c>
      <c r="B218" s="3392" t="s">
        <v>4186</v>
      </c>
      <c r="C218" s="3291" t="s">
        <v>4187</v>
      </c>
      <c r="D218" s="3296"/>
      <c r="E218" s="3292"/>
      <c r="F218" s="3268"/>
      <c r="G218" s="3363">
        <v>93942.783100000001</v>
      </c>
      <c r="H218" s="3388" t="s">
        <v>4188</v>
      </c>
      <c r="I218" s="3257">
        <v>2539.7716511754829</v>
      </c>
      <c r="J218" s="3257">
        <v>3194.5084883879963</v>
      </c>
      <c r="K218" s="3257">
        <v>3194.5084883879963</v>
      </c>
      <c r="L218" s="3294" t="s">
        <v>4184</v>
      </c>
      <c r="M218" s="3295"/>
    </row>
    <row r="219" spans="1:13" s="3251" customFormat="1" outlineLevel="2">
      <c r="A219" s="3306" t="s">
        <v>4189</v>
      </c>
      <c r="B219" s="3392" t="s">
        <v>4190</v>
      </c>
      <c r="C219" s="3291"/>
      <c r="D219" s="3296"/>
      <c r="E219" s="3292"/>
      <c r="F219" s="3268"/>
      <c r="G219" s="3363">
        <v>-1493.4576999999999</v>
      </c>
      <c r="H219" s="3307" t="s">
        <v>4191</v>
      </c>
      <c r="I219" s="3257">
        <v>-40.37608215898959</v>
      </c>
      <c r="J219" s="3257">
        <v>-50.784777097990975</v>
      </c>
      <c r="K219" s="3257">
        <v>-50.784777097990975</v>
      </c>
      <c r="L219" s="3294"/>
      <c r="M219" s="3295"/>
    </row>
    <row r="220" spans="1:13" s="3251" customFormat="1" outlineLevel="2">
      <c r="A220" s="3306" t="s">
        <v>4189</v>
      </c>
      <c r="B220" s="3392" t="s">
        <v>4192</v>
      </c>
      <c r="C220" s="3291"/>
      <c r="D220" s="3296"/>
      <c r="E220" s="3292"/>
      <c r="F220" s="3268"/>
      <c r="G220" s="3316"/>
      <c r="H220" s="3268"/>
      <c r="I220" s="3257">
        <v>0</v>
      </c>
      <c r="J220" s="3257">
        <v>0</v>
      </c>
      <c r="K220" s="3257">
        <v>0</v>
      </c>
      <c r="L220" s="3294" t="s">
        <v>4184</v>
      </c>
      <c r="M220" s="3295"/>
    </row>
    <row r="221" spans="1:13" s="3251" customFormat="1" outlineLevel="2">
      <c r="A221" s="3306" t="s">
        <v>4193</v>
      </c>
      <c r="B221" s="3392" t="s">
        <v>4194</v>
      </c>
      <c r="C221" s="3291"/>
      <c r="D221" s="3296"/>
      <c r="E221" s="3292"/>
      <c r="F221" s="3268"/>
      <c r="G221" s="3316"/>
      <c r="H221" s="3268"/>
      <c r="I221" s="3257">
        <v>0</v>
      </c>
      <c r="J221" s="3257">
        <v>0</v>
      </c>
      <c r="K221" s="3257">
        <v>0</v>
      </c>
      <c r="L221" s="3294" t="s">
        <v>4184</v>
      </c>
      <c r="M221" s="3295"/>
    </row>
    <row r="222" spans="1:13" s="3251" customFormat="1" outlineLevel="1">
      <c r="A222" s="3289">
        <v>6.8</v>
      </c>
      <c r="B222" s="3290" t="s">
        <v>4195</v>
      </c>
      <c r="C222" s="3291"/>
      <c r="D222" s="3296"/>
      <c r="E222" s="3292"/>
      <c r="F222" s="3268"/>
      <c r="G222" s="3316"/>
      <c r="H222" s="3268"/>
      <c r="I222" s="3257">
        <v>0</v>
      </c>
      <c r="J222" s="3257">
        <v>0</v>
      </c>
      <c r="K222" s="3257">
        <v>0</v>
      </c>
      <c r="L222" s="3294" t="s">
        <v>4184</v>
      </c>
      <c r="M222" s="3295"/>
    </row>
    <row r="223" spans="1:13" s="3394" customFormat="1" ht="24">
      <c r="A223" s="3278">
        <v>7</v>
      </c>
      <c r="B223" s="3279" t="s">
        <v>4196</v>
      </c>
      <c r="C223" s="3393" t="s">
        <v>4197</v>
      </c>
      <c r="D223" s="3350"/>
      <c r="E223" s="3324">
        <v>369886.73000000004</v>
      </c>
      <c r="F223" s="3284">
        <v>161.94734531213689</v>
      </c>
      <c r="G223" s="3284">
        <v>5990.2173989687144</v>
      </c>
      <c r="H223" s="3285"/>
      <c r="I223" s="3285">
        <v>161.94734531213689</v>
      </c>
      <c r="J223" s="3285">
        <v>203.69633192499089</v>
      </c>
      <c r="K223" s="3285">
        <v>203.69633192499089</v>
      </c>
      <c r="L223" s="3286"/>
      <c r="M223" s="3287"/>
    </row>
    <row r="224" spans="1:13" s="3277" customFormat="1" ht="41.25" customHeight="1">
      <c r="A224" s="3289" t="s">
        <v>4198</v>
      </c>
      <c r="B224" s="3395" t="s">
        <v>4199</v>
      </c>
      <c r="C224" s="3273"/>
      <c r="D224" s="3396"/>
      <c r="E224" s="3292"/>
      <c r="F224" s="3268"/>
      <c r="G224" s="3316">
        <v>12184.613796</v>
      </c>
      <c r="H224" s="3268"/>
      <c r="I224" s="3257">
        <v>329.41473180181401</v>
      </c>
      <c r="J224" s="3257">
        <v>414.3357362280604</v>
      </c>
      <c r="K224" s="3257">
        <v>414.3357362280604</v>
      </c>
      <c r="L224" s="3275"/>
      <c r="M224" s="3276"/>
    </row>
    <row r="225" spans="1:13" s="3288" customFormat="1" ht="37.5" customHeight="1" outlineLevel="2">
      <c r="A225" s="3397">
        <v>1</v>
      </c>
      <c r="B225" s="3374" t="s">
        <v>4200</v>
      </c>
      <c r="C225" s="3326" t="s">
        <v>4201</v>
      </c>
      <c r="D225" s="3333"/>
      <c r="E225" s="3292">
        <v>369886.73000000004</v>
      </c>
      <c r="F225" s="3268">
        <v>329.41473180181396</v>
      </c>
      <c r="G225" s="3316">
        <v>12184.613796</v>
      </c>
      <c r="H225" s="3360" t="s">
        <v>4202</v>
      </c>
      <c r="I225" s="3257">
        <v>329.41473180181401</v>
      </c>
      <c r="J225" s="3257">
        <v>414.3357362280604</v>
      </c>
      <c r="K225" s="3257">
        <v>414.3357362280604</v>
      </c>
      <c r="L225" s="3294" t="s">
        <v>4203</v>
      </c>
      <c r="M225" s="3339"/>
    </row>
    <row r="226" spans="1:13" s="3251" customFormat="1" ht="13.5" hidden="1" customHeight="1" outlineLevel="3">
      <c r="A226" s="3397">
        <v>1.1000000000000001</v>
      </c>
      <c r="B226" s="3374" t="s">
        <v>4204</v>
      </c>
      <c r="C226" s="3326" t="s">
        <v>4205</v>
      </c>
      <c r="D226" s="3333"/>
      <c r="E226" s="3292"/>
      <c r="F226" s="3268"/>
      <c r="G226" s="3316"/>
      <c r="H226" s="3268"/>
      <c r="I226" s="3257">
        <v>0</v>
      </c>
      <c r="J226" s="3257">
        <v>0</v>
      </c>
      <c r="K226" s="3257">
        <v>0</v>
      </c>
      <c r="L226" s="3294" t="s">
        <v>4203</v>
      </c>
      <c r="M226" s="3295"/>
    </row>
    <row r="227" spans="1:13" s="3251" customFormat="1" ht="13.5" hidden="1" customHeight="1" outlineLevel="3">
      <c r="A227" s="3397">
        <v>1.2</v>
      </c>
      <c r="B227" s="3374" t="s">
        <v>4206</v>
      </c>
      <c r="C227" s="3326" t="s">
        <v>4207</v>
      </c>
      <c r="D227" s="3333"/>
      <c r="E227" s="3292"/>
      <c r="F227" s="3268"/>
      <c r="G227" s="3316"/>
      <c r="H227" s="3268"/>
      <c r="I227" s="3257">
        <v>0</v>
      </c>
      <c r="J227" s="3257">
        <v>0</v>
      </c>
      <c r="K227" s="3257">
        <v>0</v>
      </c>
      <c r="L227" s="3294" t="s">
        <v>4203</v>
      </c>
      <c r="M227" s="3295"/>
    </row>
    <row r="228" spans="1:13" s="3251" customFormat="1" ht="13.5" hidden="1" customHeight="1" outlineLevel="3">
      <c r="A228" s="3397">
        <v>1.3</v>
      </c>
      <c r="B228" s="3374" t="s">
        <v>4208</v>
      </c>
      <c r="C228" s="3326" t="s">
        <v>4209</v>
      </c>
      <c r="D228" s="3333"/>
      <c r="E228" s="3292"/>
      <c r="F228" s="3268"/>
      <c r="G228" s="3316"/>
      <c r="H228" s="3268"/>
      <c r="I228" s="3257">
        <v>0</v>
      </c>
      <c r="J228" s="3257">
        <v>0</v>
      </c>
      <c r="K228" s="3257">
        <v>0</v>
      </c>
      <c r="L228" s="3294" t="s">
        <v>4203</v>
      </c>
      <c r="M228" s="3295"/>
    </row>
    <row r="229" spans="1:13" s="3251" customFormat="1" ht="13.5" hidden="1" customHeight="1" outlineLevel="3">
      <c r="A229" s="3397">
        <v>1.5</v>
      </c>
      <c r="B229" s="3374" t="s">
        <v>4210</v>
      </c>
      <c r="C229" s="3291" t="s">
        <v>4211</v>
      </c>
      <c r="D229" s="3333"/>
      <c r="E229" s="3292"/>
      <c r="F229" s="3268"/>
      <c r="G229" s="3316"/>
      <c r="H229" s="3268"/>
      <c r="I229" s="3257">
        <v>0</v>
      </c>
      <c r="J229" s="3257">
        <v>0</v>
      </c>
      <c r="K229" s="3257">
        <v>0</v>
      </c>
      <c r="L229" s="3294" t="s">
        <v>4203</v>
      </c>
      <c r="M229" s="3295"/>
    </row>
    <row r="230" spans="1:13" s="3251" customFormat="1" ht="11.25" hidden="1" customHeight="1" outlineLevel="3">
      <c r="A230" s="3397">
        <v>1.6</v>
      </c>
      <c r="B230" s="3374" t="s">
        <v>4212</v>
      </c>
      <c r="C230" s="3326" t="s">
        <v>4213</v>
      </c>
      <c r="D230" s="3333"/>
      <c r="E230" s="3292"/>
      <c r="F230" s="3268"/>
      <c r="G230" s="3316"/>
      <c r="H230" s="3268"/>
      <c r="I230" s="3257">
        <v>0</v>
      </c>
      <c r="J230" s="3257">
        <v>0</v>
      </c>
      <c r="K230" s="3257">
        <v>0</v>
      </c>
      <c r="L230" s="3294" t="s">
        <v>4203</v>
      </c>
      <c r="M230" s="3295"/>
    </row>
    <row r="231" spans="1:13" s="3251" customFormat="1" ht="15.75" hidden="1" customHeight="1" outlineLevel="3">
      <c r="A231" s="3397">
        <v>1.7</v>
      </c>
      <c r="B231" s="3374" t="s">
        <v>4214</v>
      </c>
      <c r="C231" s="3291" t="s">
        <v>4215</v>
      </c>
      <c r="D231" s="3333"/>
      <c r="E231" s="3292"/>
      <c r="F231" s="3268"/>
      <c r="G231" s="3316"/>
      <c r="H231" s="3268"/>
      <c r="I231" s="3257">
        <v>0</v>
      </c>
      <c r="J231" s="3257">
        <v>0</v>
      </c>
      <c r="K231" s="3257">
        <v>0</v>
      </c>
      <c r="L231" s="3294" t="s">
        <v>4203</v>
      </c>
      <c r="M231" s="3295"/>
    </row>
    <row r="232" spans="1:13" s="3251" customFormat="1" ht="15.75" hidden="1" customHeight="1" outlineLevel="3">
      <c r="A232" s="3398" t="s">
        <v>4216</v>
      </c>
      <c r="B232" s="3399" t="s">
        <v>4217</v>
      </c>
      <c r="C232" s="3291" t="s">
        <v>4218</v>
      </c>
      <c r="D232" s="3333"/>
      <c r="E232" s="3292"/>
      <c r="F232" s="3268"/>
      <c r="G232" s="3316"/>
      <c r="H232" s="3268"/>
      <c r="I232" s="3257">
        <v>0</v>
      </c>
      <c r="J232" s="3257">
        <v>0</v>
      </c>
      <c r="K232" s="3257">
        <v>0</v>
      </c>
      <c r="L232" s="3294" t="s">
        <v>4219</v>
      </c>
      <c r="M232" s="3295"/>
    </row>
    <row r="233" spans="1:13" s="3251" customFormat="1" ht="20.25" hidden="1" customHeight="1" outlineLevel="3">
      <c r="A233" s="3398" t="s">
        <v>4220</v>
      </c>
      <c r="B233" s="3399" t="s">
        <v>4221</v>
      </c>
      <c r="C233" s="3291" t="s">
        <v>4222</v>
      </c>
      <c r="D233" s="3333"/>
      <c r="E233" s="3292"/>
      <c r="F233" s="3268"/>
      <c r="G233" s="3316"/>
      <c r="H233" s="3268"/>
      <c r="I233" s="3257">
        <v>0</v>
      </c>
      <c r="J233" s="3257">
        <v>0</v>
      </c>
      <c r="K233" s="3257">
        <v>0</v>
      </c>
      <c r="L233" s="3294" t="s">
        <v>4219</v>
      </c>
      <c r="M233" s="3295"/>
    </row>
    <row r="234" spans="1:13" s="3251" customFormat="1" ht="30" hidden="1" customHeight="1" outlineLevel="3">
      <c r="A234" s="3397">
        <v>1.8</v>
      </c>
      <c r="B234" s="3374" t="s">
        <v>4223</v>
      </c>
      <c r="C234" s="3291" t="s">
        <v>4224</v>
      </c>
      <c r="D234" s="3333"/>
      <c r="E234" s="3292"/>
      <c r="F234" s="3268"/>
      <c r="G234" s="3316"/>
      <c r="H234" s="3268"/>
      <c r="I234" s="3257">
        <v>0</v>
      </c>
      <c r="J234" s="3257">
        <v>0</v>
      </c>
      <c r="K234" s="3257">
        <v>0</v>
      </c>
      <c r="L234" s="3294" t="s">
        <v>4219</v>
      </c>
      <c r="M234" s="3295"/>
    </row>
    <row r="235" spans="1:13" s="3251" customFormat="1" hidden="1" outlineLevel="3">
      <c r="A235" s="3397">
        <v>1.9</v>
      </c>
      <c r="B235" s="3374" t="s">
        <v>4225</v>
      </c>
      <c r="C235" s="3291"/>
      <c r="D235" s="3333"/>
      <c r="E235" s="3292"/>
      <c r="F235" s="3268"/>
      <c r="G235" s="3316"/>
      <c r="H235" s="3268"/>
      <c r="I235" s="3257">
        <v>0</v>
      </c>
      <c r="J235" s="3257">
        <v>0</v>
      </c>
      <c r="K235" s="3257">
        <v>0</v>
      </c>
      <c r="L235" s="3294" t="s">
        <v>4219</v>
      </c>
      <c r="M235" s="3295"/>
    </row>
    <row r="236" spans="1:13" s="3251" customFormat="1" ht="60" hidden="1" outlineLevel="3">
      <c r="A236" s="3398" t="s">
        <v>4226</v>
      </c>
      <c r="B236" s="3399" t="s">
        <v>4227</v>
      </c>
      <c r="C236" s="3291" t="s">
        <v>4228</v>
      </c>
      <c r="D236" s="3333"/>
      <c r="E236" s="3292"/>
      <c r="F236" s="3268"/>
      <c r="G236" s="3316"/>
      <c r="H236" s="3268"/>
      <c r="I236" s="3257">
        <v>0</v>
      </c>
      <c r="J236" s="3257">
        <v>0</v>
      </c>
      <c r="K236" s="3257">
        <v>0</v>
      </c>
      <c r="L236" s="3294" t="s">
        <v>4219</v>
      </c>
      <c r="M236" s="3295"/>
    </row>
    <row r="237" spans="1:13" s="3251" customFormat="1" ht="60" hidden="1" outlineLevel="3">
      <c r="A237" s="3398" t="s">
        <v>4229</v>
      </c>
      <c r="B237" s="3399" t="s">
        <v>4230</v>
      </c>
      <c r="C237" s="3291" t="s">
        <v>4231</v>
      </c>
      <c r="D237" s="3333"/>
      <c r="E237" s="3292"/>
      <c r="F237" s="3268"/>
      <c r="G237" s="3316"/>
      <c r="H237" s="3268"/>
      <c r="I237" s="3257">
        <v>0</v>
      </c>
      <c r="J237" s="3257">
        <v>0</v>
      </c>
      <c r="K237" s="3257">
        <v>0</v>
      </c>
      <c r="L237" s="3294" t="s">
        <v>4219</v>
      </c>
      <c r="M237" s="3295"/>
    </row>
    <row r="238" spans="1:13" s="3251" customFormat="1" hidden="1" outlineLevel="3">
      <c r="A238" s="3398" t="s">
        <v>4232</v>
      </c>
      <c r="B238" s="3399" t="s">
        <v>4233</v>
      </c>
      <c r="C238" s="3291" t="s">
        <v>4234</v>
      </c>
      <c r="D238" s="3333"/>
      <c r="E238" s="3292"/>
      <c r="F238" s="3268"/>
      <c r="G238" s="3316"/>
      <c r="H238" s="3268"/>
      <c r="I238" s="3257">
        <v>0</v>
      </c>
      <c r="J238" s="3257">
        <v>0</v>
      </c>
      <c r="K238" s="3257">
        <v>0</v>
      </c>
      <c r="L238" s="3294" t="s">
        <v>4219</v>
      </c>
      <c r="M238" s="3295"/>
    </row>
    <row r="239" spans="1:13" s="3251" customFormat="1" ht="24" hidden="1" outlineLevel="3">
      <c r="A239" s="3397">
        <v>1.1000000000000001</v>
      </c>
      <c r="B239" s="3374" t="s">
        <v>4235</v>
      </c>
      <c r="C239" s="3291" t="s">
        <v>4236</v>
      </c>
      <c r="D239" s="3333"/>
      <c r="E239" s="3292"/>
      <c r="F239" s="3268"/>
      <c r="G239" s="3316"/>
      <c r="H239" s="3268"/>
      <c r="I239" s="3257">
        <v>0</v>
      </c>
      <c r="J239" s="3257">
        <v>0</v>
      </c>
      <c r="K239" s="3257">
        <v>0</v>
      </c>
      <c r="L239" s="3294" t="s">
        <v>4219</v>
      </c>
      <c r="M239" s="3295"/>
    </row>
    <row r="240" spans="1:13" s="3251" customFormat="1" ht="72" hidden="1" outlineLevel="3">
      <c r="A240" s="3397">
        <v>1.1100000000000001</v>
      </c>
      <c r="B240" s="3374" t="s">
        <v>4237</v>
      </c>
      <c r="C240" s="3291" t="s">
        <v>4238</v>
      </c>
      <c r="D240" s="3333"/>
      <c r="E240" s="3292"/>
      <c r="F240" s="3268"/>
      <c r="G240" s="3316"/>
      <c r="H240" s="3268"/>
      <c r="I240" s="3257">
        <v>0</v>
      </c>
      <c r="J240" s="3257">
        <v>0</v>
      </c>
      <c r="K240" s="3257">
        <v>0</v>
      </c>
      <c r="L240" s="3294" t="s">
        <v>4219</v>
      </c>
      <c r="M240" s="3295"/>
    </row>
    <row r="241" spans="1:13" s="3251" customFormat="1" ht="24" hidden="1" outlineLevel="3">
      <c r="A241" s="3397">
        <v>1.1200000000000001</v>
      </c>
      <c r="B241" s="3374" t="s">
        <v>4239</v>
      </c>
      <c r="C241" s="3291" t="s">
        <v>4240</v>
      </c>
      <c r="D241" s="3333"/>
      <c r="E241" s="3292"/>
      <c r="F241" s="3268"/>
      <c r="G241" s="3316"/>
      <c r="H241" s="3268"/>
      <c r="I241" s="3257">
        <v>0</v>
      </c>
      <c r="J241" s="3257">
        <v>0</v>
      </c>
      <c r="K241" s="3257">
        <v>0</v>
      </c>
      <c r="L241" s="3294" t="s">
        <v>4219</v>
      </c>
      <c r="M241" s="3295"/>
    </row>
    <row r="242" spans="1:13" s="3251" customFormat="1" hidden="1" outlineLevel="3">
      <c r="A242" s="3397">
        <v>1.1299999999999999</v>
      </c>
      <c r="B242" s="3374" t="s">
        <v>4241</v>
      </c>
      <c r="C242" s="3291" t="s">
        <v>4242</v>
      </c>
      <c r="D242" s="3333"/>
      <c r="E242" s="3292"/>
      <c r="F242" s="3268"/>
      <c r="G242" s="3316"/>
      <c r="H242" s="3268"/>
      <c r="I242" s="3257">
        <v>0</v>
      </c>
      <c r="J242" s="3257">
        <v>0</v>
      </c>
      <c r="K242" s="3257">
        <v>0</v>
      </c>
      <c r="L242" s="3294" t="s">
        <v>4219</v>
      </c>
      <c r="M242" s="3295"/>
    </row>
    <row r="243" spans="1:13" s="3251" customFormat="1" hidden="1" outlineLevel="3">
      <c r="A243" s="3397">
        <v>1.1399999999999999</v>
      </c>
      <c r="B243" s="3374" t="s">
        <v>4243</v>
      </c>
      <c r="C243" s="3291" t="s">
        <v>4244</v>
      </c>
      <c r="D243" s="3333"/>
      <c r="E243" s="3292"/>
      <c r="F243" s="3268"/>
      <c r="G243" s="3316"/>
      <c r="H243" s="3268"/>
      <c r="I243" s="3257">
        <v>0</v>
      </c>
      <c r="J243" s="3257">
        <v>0</v>
      </c>
      <c r="K243" s="3257">
        <v>0</v>
      </c>
      <c r="L243" s="3294" t="s">
        <v>4219</v>
      </c>
      <c r="M243" s="3295"/>
    </row>
    <row r="244" spans="1:13" s="3251" customFormat="1" hidden="1" outlineLevel="3">
      <c r="A244" s="3397">
        <v>1.1499999999999999</v>
      </c>
      <c r="B244" s="3374" t="s">
        <v>3896</v>
      </c>
      <c r="C244" s="3326"/>
      <c r="D244" s="3333"/>
      <c r="E244" s="3292"/>
      <c r="F244" s="3268"/>
      <c r="G244" s="3316"/>
      <c r="H244" s="3268"/>
      <c r="I244" s="3257">
        <v>0</v>
      </c>
      <c r="J244" s="3257">
        <v>0</v>
      </c>
      <c r="K244" s="3257">
        <v>0</v>
      </c>
      <c r="L244" s="3294" t="s">
        <v>4219</v>
      </c>
      <c r="M244" s="3295"/>
    </row>
    <row r="245" spans="1:13" s="3288" customFormat="1" ht="21.75" customHeight="1" outlineLevel="2" collapsed="1">
      <c r="A245" s="3397">
        <v>2</v>
      </c>
      <c r="B245" s="3374" t="s">
        <v>4245</v>
      </c>
      <c r="C245" s="3326" t="s">
        <v>4246</v>
      </c>
      <c r="D245" s="3333"/>
      <c r="E245" s="3292"/>
      <c r="F245" s="3268"/>
      <c r="G245" s="3316">
        <v>0</v>
      </c>
      <c r="H245" s="3338"/>
      <c r="I245" s="3257">
        <v>0</v>
      </c>
      <c r="J245" s="3257">
        <v>0</v>
      </c>
      <c r="K245" s="3257">
        <v>0</v>
      </c>
      <c r="L245" s="3294" t="s">
        <v>4115</v>
      </c>
      <c r="M245" s="3339"/>
    </row>
    <row r="246" spans="1:13" s="3401" customFormat="1" ht="12" hidden="1" outlineLevel="3">
      <c r="A246" s="3397">
        <v>2.1</v>
      </c>
      <c r="B246" s="3389" t="s">
        <v>4247</v>
      </c>
      <c r="C246" s="3326"/>
      <c r="D246" s="3333"/>
      <c r="E246" s="3292"/>
      <c r="F246" s="3268"/>
      <c r="G246" s="3316"/>
      <c r="H246" s="3268"/>
      <c r="I246" s="3257">
        <v>0</v>
      </c>
      <c r="J246" s="3257">
        <v>0</v>
      </c>
      <c r="K246" s="3257">
        <v>0</v>
      </c>
      <c r="L246" s="3294" t="s">
        <v>4115</v>
      </c>
      <c r="M246" s="3400"/>
    </row>
    <row r="247" spans="1:13" s="3401" customFormat="1" ht="12" hidden="1" outlineLevel="3">
      <c r="A247" s="3397">
        <v>2.2000000000000002</v>
      </c>
      <c r="B247" s="3389" t="s">
        <v>4248</v>
      </c>
      <c r="C247" s="3326"/>
      <c r="D247" s="3333"/>
      <c r="E247" s="3292"/>
      <c r="F247" s="3268"/>
      <c r="G247" s="3316"/>
      <c r="H247" s="3268"/>
      <c r="I247" s="3257">
        <v>0</v>
      </c>
      <c r="J247" s="3257">
        <v>0</v>
      </c>
      <c r="K247" s="3257">
        <v>0</v>
      </c>
      <c r="L247" s="3294" t="s">
        <v>4115</v>
      </c>
      <c r="M247" s="3400"/>
    </row>
    <row r="248" spans="1:13" s="3401" customFormat="1" ht="12" hidden="1" outlineLevel="3">
      <c r="A248" s="3397">
        <v>2.2999999999999998</v>
      </c>
      <c r="B248" s="3389" t="s">
        <v>4249</v>
      </c>
      <c r="C248" s="3326"/>
      <c r="D248" s="3333"/>
      <c r="E248" s="3292"/>
      <c r="F248" s="3268"/>
      <c r="G248" s="3316"/>
      <c r="H248" s="3268"/>
      <c r="I248" s="3257">
        <v>0</v>
      </c>
      <c r="J248" s="3257">
        <v>0</v>
      </c>
      <c r="K248" s="3257">
        <v>0</v>
      </c>
      <c r="L248" s="3294" t="s">
        <v>4115</v>
      </c>
      <c r="M248" s="3400"/>
    </row>
    <row r="249" spans="1:13" s="3401" customFormat="1" ht="12" hidden="1" outlineLevel="3">
      <c r="A249" s="3397">
        <v>2.4</v>
      </c>
      <c r="B249" s="3389" t="s">
        <v>4250</v>
      </c>
      <c r="C249" s="3326"/>
      <c r="D249" s="3333"/>
      <c r="E249" s="3292"/>
      <c r="F249" s="3268"/>
      <c r="G249" s="3316"/>
      <c r="H249" s="3268"/>
      <c r="I249" s="3257">
        <v>0</v>
      </c>
      <c r="J249" s="3257">
        <v>0</v>
      </c>
      <c r="K249" s="3257">
        <v>0</v>
      </c>
      <c r="L249" s="3294" t="s">
        <v>4115</v>
      </c>
      <c r="M249" s="3400"/>
    </row>
    <row r="250" spans="1:13" s="3401" customFormat="1" ht="12" hidden="1" outlineLevel="3">
      <c r="A250" s="3397">
        <v>2.5</v>
      </c>
      <c r="B250" s="3389" t="s">
        <v>4251</v>
      </c>
      <c r="C250" s="3326"/>
      <c r="D250" s="3333"/>
      <c r="E250" s="3292"/>
      <c r="F250" s="3268"/>
      <c r="G250" s="3316"/>
      <c r="H250" s="3268"/>
      <c r="I250" s="3257">
        <v>0</v>
      </c>
      <c r="J250" s="3257">
        <v>0</v>
      </c>
      <c r="K250" s="3257">
        <v>0</v>
      </c>
      <c r="L250" s="3294" t="s">
        <v>4115</v>
      </c>
      <c r="M250" s="3400"/>
    </row>
    <row r="251" spans="1:13" s="3401" customFormat="1" ht="12" hidden="1" outlineLevel="3">
      <c r="A251" s="3397">
        <v>2.6</v>
      </c>
      <c r="B251" s="3389" t="s">
        <v>4252</v>
      </c>
      <c r="C251" s="3326"/>
      <c r="D251" s="3333"/>
      <c r="E251" s="3292"/>
      <c r="F251" s="3268"/>
      <c r="G251" s="3316"/>
      <c r="H251" s="3268"/>
      <c r="I251" s="3257">
        <v>0</v>
      </c>
      <c r="J251" s="3257">
        <v>0</v>
      </c>
      <c r="K251" s="3257">
        <v>0</v>
      </c>
      <c r="L251" s="3294" t="s">
        <v>4115</v>
      </c>
      <c r="M251" s="3400"/>
    </row>
    <row r="252" spans="1:13" s="3401" customFormat="1" ht="12" hidden="1" outlineLevel="3">
      <c r="A252" s="3397">
        <v>2.7</v>
      </c>
      <c r="B252" s="3389" t="s">
        <v>4253</v>
      </c>
      <c r="C252" s="3326"/>
      <c r="D252" s="3333"/>
      <c r="E252" s="3292"/>
      <c r="F252" s="3268"/>
      <c r="G252" s="3316"/>
      <c r="H252" s="3268"/>
      <c r="I252" s="3257">
        <v>0</v>
      </c>
      <c r="J252" s="3257">
        <v>0</v>
      </c>
      <c r="K252" s="3257">
        <v>0</v>
      </c>
      <c r="L252" s="3294" t="s">
        <v>4115</v>
      </c>
      <c r="M252" s="3400"/>
    </row>
    <row r="253" spans="1:13" s="3401" customFormat="1" ht="12" hidden="1" outlineLevel="3">
      <c r="A253" s="3397">
        <v>2.8</v>
      </c>
      <c r="B253" s="3389" t="s">
        <v>4254</v>
      </c>
      <c r="C253" s="3326"/>
      <c r="D253" s="3333"/>
      <c r="E253" s="3292"/>
      <c r="F253" s="3268"/>
      <c r="G253" s="3316"/>
      <c r="H253" s="3268"/>
      <c r="I253" s="3257">
        <v>0</v>
      </c>
      <c r="J253" s="3257">
        <v>0</v>
      </c>
      <c r="K253" s="3257">
        <v>0</v>
      </c>
      <c r="L253" s="3294" t="s">
        <v>4115</v>
      </c>
      <c r="M253" s="3400"/>
    </row>
    <row r="254" spans="1:13" s="3401" customFormat="1" ht="12" hidden="1" outlineLevel="3">
      <c r="A254" s="3397">
        <v>2.9</v>
      </c>
      <c r="B254" s="3389" t="s">
        <v>4255</v>
      </c>
      <c r="C254" s="3326"/>
      <c r="D254" s="3333"/>
      <c r="E254" s="3292"/>
      <c r="F254" s="3268"/>
      <c r="G254" s="3316"/>
      <c r="H254" s="3268"/>
      <c r="I254" s="3257">
        <v>0</v>
      </c>
      <c r="J254" s="3257">
        <v>0</v>
      </c>
      <c r="K254" s="3257">
        <v>0</v>
      </c>
      <c r="L254" s="3294" t="s">
        <v>4184</v>
      </c>
      <c r="M254" s="3400"/>
    </row>
    <row r="255" spans="1:13" s="3401" customFormat="1" ht="36" hidden="1" outlineLevel="3">
      <c r="A255" s="3397">
        <v>2.1</v>
      </c>
      <c r="B255" s="3389" t="s">
        <v>4256</v>
      </c>
      <c r="C255" s="3326" t="s">
        <v>4257</v>
      </c>
      <c r="D255" s="3333"/>
      <c r="E255" s="3292"/>
      <c r="F255" s="3268"/>
      <c r="G255" s="3316"/>
      <c r="H255" s="3268"/>
      <c r="I255" s="3257">
        <v>0</v>
      </c>
      <c r="J255" s="3257">
        <v>0</v>
      </c>
      <c r="K255" s="3257">
        <v>0</v>
      </c>
      <c r="L255" s="3294" t="s">
        <v>4184</v>
      </c>
      <c r="M255" s="3400"/>
    </row>
    <row r="256" spans="1:13" s="3401" customFormat="1" ht="12" hidden="1" outlineLevel="3">
      <c r="A256" s="3398" t="s">
        <v>4258</v>
      </c>
      <c r="B256" s="3389" t="s">
        <v>4259</v>
      </c>
      <c r="C256" s="3326"/>
      <c r="D256" s="3333"/>
      <c r="E256" s="3292"/>
      <c r="F256" s="3268"/>
      <c r="G256" s="3316"/>
      <c r="H256" s="3268"/>
      <c r="I256" s="3257">
        <v>0</v>
      </c>
      <c r="J256" s="3257">
        <v>0</v>
      </c>
      <c r="K256" s="3257">
        <v>0</v>
      </c>
      <c r="L256" s="3294" t="s">
        <v>4184</v>
      </c>
      <c r="M256" s="3400"/>
    </row>
    <row r="257" spans="1:13" s="3401" customFormat="1" ht="12" hidden="1" outlineLevel="3">
      <c r="A257" s="3398" t="s">
        <v>4260</v>
      </c>
      <c r="B257" s="3389" t="s">
        <v>4261</v>
      </c>
      <c r="C257" s="3326"/>
      <c r="D257" s="3333"/>
      <c r="E257" s="3292"/>
      <c r="F257" s="3268"/>
      <c r="G257" s="3316"/>
      <c r="H257" s="3268"/>
      <c r="I257" s="3257">
        <v>0</v>
      </c>
      <c r="J257" s="3257">
        <v>0</v>
      </c>
      <c r="K257" s="3257">
        <v>0</v>
      </c>
      <c r="L257" s="3294" t="s">
        <v>4184</v>
      </c>
      <c r="M257" s="3400"/>
    </row>
    <row r="258" spans="1:13" s="3401" customFormat="1" ht="12" hidden="1" outlineLevel="3">
      <c r="A258" s="3397">
        <v>2.11</v>
      </c>
      <c r="B258" s="3389" t="s">
        <v>4262</v>
      </c>
      <c r="C258" s="3326"/>
      <c r="D258" s="3333"/>
      <c r="E258" s="3292"/>
      <c r="F258" s="3268"/>
      <c r="G258" s="3316"/>
      <c r="H258" s="3268"/>
      <c r="I258" s="3257">
        <v>0</v>
      </c>
      <c r="J258" s="3257">
        <v>0</v>
      </c>
      <c r="K258" s="3257">
        <v>0</v>
      </c>
      <c r="L258" s="3294" t="s">
        <v>4184</v>
      </c>
      <c r="M258" s="3400"/>
    </row>
    <row r="259" spans="1:13" s="3401" customFormat="1" ht="12" hidden="1" outlineLevel="3">
      <c r="A259" s="3397">
        <v>2.12</v>
      </c>
      <c r="B259" s="3389" t="s">
        <v>4263</v>
      </c>
      <c r="C259" s="3326"/>
      <c r="D259" s="3333"/>
      <c r="E259" s="3292"/>
      <c r="F259" s="3268"/>
      <c r="G259" s="3316"/>
      <c r="H259" s="3268"/>
      <c r="I259" s="3257">
        <v>0</v>
      </c>
      <c r="J259" s="3257">
        <v>0</v>
      </c>
      <c r="K259" s="3257">
        <v>0</v>
      </c>
      <c r="L259" s="3294" t="s">
        <v>4184</v>
      </c>
      <c r="M259" s="3400"/>
    </row>
    <row r="260" spans="1:13" s="3401" customFormat="1" ht="12" hidden="1" outlineLevel="3">
      <c r="A260" s="3397">
        <v>2.13</v>
      </c>
      <c r="B260" s="3389" t="s">
        <v>4264</v>
      </c>
      <c r="C260" s="3326"/>
      <c r="D260" s="3333"/>
      <c r="E260" s="3292"/>
      <c r="F260" s="3268"/>
      <c r="G260" s="3316"/>
      <c r="H260" s="3268"/>
      <c r="I260" s="3257">
        <v>0</v>
      </c>
      <c r="J260" s="3257">
        <v>0</v>
      </c>
      <c r="K260" s="3257">
        <v>0</v>
      </c>
      <c r="L260" s="3294" t="s">
        <v>4184</v>
      </c>
      <c r="M260" s="3400"/>
    </row>
    <row r="261" spans="1:13" s="3401" customFormat="1" ht="12" hidden="1" outlineLevel="3">
      <c r="A261" s="3397">
        <v>2.14</v>
      </c>
      <c r="B261" s="3389" t="s">
        <v>4265</v>
      </c>
      <c r="C261" s="3326"/>
      <c r="D261" s="3333"/>
      <c r="E261" s="3292"/>
      <c r="F261" s="3268"/>
      <c r="G261" s="3316"/>
      <c r="H261" s="3268"/>
      <c r="I261" s="3257">
        <v>0</v>
      </c>
      <c r="J261" s="3257">
        <v>0</v>
      </c>
      <c r="K261" s="3257">
        <v>0</v>
      </c>
      <c r="L261" s="3294" t="s">
        <v>4184</v>
      </c>
      <c r="M261" s="3400"/>
    </row>
    <row r="262" spans="1:13" s="3401" customFormat="1" ht="12" hidden="1" outlineLevel="3">
      <c r="A262" s="3397">
        <v>2.15</v>
      </c>
      <c r="B262" s="3389" t="s">
        <v>4266</v>
      </c>
      <c r="C262" s="3326"/>
      <c r="D262" s="3333"/>
      <c r="E262" s="3292"/>
      <c r="F262" s="3268"/>
      <c r="G262" s="3316"/>
      <c r="H262" s="3268"/>
      <c r="I262" s="3257">
        <v>0</v>
      </c>
      <c r="J262" s="3257">
        <v>0</v>
      </c>
      <c r="K262" s="3257">
        <v>0</v>
      </c>
      <c r="L262" s="3294" t="s">
        <v>4184</v>
      </c>
      <c r="M262" s="3400"/>
    </row>
    <row r="263" spans="1:13" s="3401" customFormat="1" ht="12" hidden="1" outlineLevel="3">
      <c r="A263" s="3397">
        <v>2.16</v>
      </c>
      <c r="B263" s="3389" t="s">
        <v>4267</v>
      </c>
      <c r="C263" s="3326"/>
      <c r="D263" s="3333"/>
      <c r="E263" s="3292"/>
      <c r="F263" s="3268"/>
      <c r="G263" s="3316"/>
      <c r="H263" s="3268"/>
      <c r="I263" s="3257">
        <v>0</v>
      </c>
      <c r="J263" s="3257">
        <v>0</v>
      </c>
      <c r="K263" s="3257">
        <v>0</v>
      </c>
      <c r="L263" s="3294" t="s">
        <v>4184</v>
      </c>
      <c r="M263" s="3400"/>
    </row>
    <row r="264" spans="1:13" s="3401" customFormat="1" ht="12" hidden="1" outlineLevel="3">
      <c r="A264" s="3398" t="s">
        <v>4268</v>
      </c>
      <c r="B264" s="3389" t="s">
        <v>4269</v>
      </c>
      <c r="C264" s="3326"/>
      <c r="D264" s="3333"/>
      <c r="E264" s="3292"/>
      <c r="F264" s="3268"/>
      <c r="G264" s="3316"/>
      <c r="H264" s="3268"/>
      <c r="I264" s="3257">
        <v>0</v>
      </c>
      <c r="J264" s="3257">
        <v>0</v>
      </c>
      <c r="K264" s="3257">
        <v>0</v>
      </c>
      <c r="L264" s="3294" t="s">
        <v>4184</v>
      </c>
      <c r="M264" s="3400"/>
    </row>
    <row r="265" spans="1:13" s="3401" customFormat="1" ht="12" hidden="1" outlineLevel="3">
      <c r="A265" s="3398" t="s">
        <v>4270</v>
      </c>
      <c r="B265" s="3389" t="s">
        <v>4271</v>
      </c>
      <c r="C265" s="3326"/>
      <c r="D265" s="3333"/>
      <c r="E265" s="3292"/>
      <c r="F265" s="3268"/>
      <c r="G265" s="3316"/>
      <c r="H265" s="3268"/>
      <c r="I265" s="3257">
        <v>0</v>
      </c>
      <c r="J265" s="3257">
        <v>0</v>
      </c>
      <c r="K265" s="3257">
        <v>0</v>
      </c>
      <c r="L265" s="3294" t="s">
        <v>4184</v>
      </c>
      <c r="M265" s="3400"/>
    </row>
    <row r="266" spans="1:13" s="3401" customFormat="1" ht="12" hidden="1" outlineLevel="3">
      <c r="A266" s="3398" t="s">
        <v>4272</v>
      </c>
      <c r="B266" s="3389" t="s">
        <v>4273</v>
      </c>
      <c r="C266" s="3326"/>
      <c r="D266" s="3333"/>
      <c r="E266" s="3292"/>
      <c r="F266" s="3268"/>
      <c r="G266" s="3316"/>
      <c r="H266" s="3268"/>
      <c r="I266" s="3257">
        <v>0</v>
      </c>
      <c r="J266" s="3257">
        <v>0</v>
      </c>
      <c r="K266" s="3257">
        <v>0</v>
      </c>
      <c r="L266" s="3294" t="s">
        <v>4184</v>
      </c>
      <c r="M266" s="3400"/>
    </row>
    <row r="267" spans="1:13" s="3401" customFormat="1" ht="12" hidden="1" outlineLevel="3">
      <c r="A267" s="3398" t="s">
        <v>4274</v>
      </c>
      <c r="B267" s="3389" t="s">
        <v>4275</v>
      </c>
      <c r="C267" s="3326"/>
      <c r="D267" s="3333"/>
      <c r="E267" s="3292"/>
      <c r="F267" s="3268"/>
      <c r="G267" s="3316"/>
      <c r="H267" s="3268"/>
      <c r="I267" s="3257">
        <v>0</v>
      </c>
      <c r="J267" s="3257">
        <v>0</v>
      </c>
      <c r="K267" s="3257">
        <v>0</v>
      </c>
      <c r="L267" s="3294" t="s">
        <v>4184</v>
      </c>
      <c r="M267" s="3400"/>
    </row>
    <row r="268" spans="1:13" s="3401" customFormat="1" ht="12" hidden="1" outlineLevel="3">
      <c r="A268" s="3397">
        <v>2.17</v>
      </c>
      <c r="B268" s="3389" t="s">
        <v>4276</v>
      </c>
      <c r="C268" s="3326"/>
      <c r="D268" s="3333"/>
      <c r="E268" s="3292"/>
      <c r="F268" s="3268"/>
      <c r="G268" s="3316"/>
      <c r="H268" s="3268"/>
      <c r="I268" s="3257">
        <v>0</v>
      </c>
      <c r="J268" s="3257">
        <v>0</v>
      </c>
      <c r="K268" s="3257">
        <v>0</v>
      </c>
      <c r="L268" s="3294" t="s">
        <v>4184</v>
      </c>
      <c r="M268" s="3400"/>
    </row>
    <row r="269" spans="1:13" s="3401" customFormat="1" ht="12" hidden="1" outlineLevel="3">
      <c r="A269" s="3398" t="s">
        <v>4277</v>
      </c>
      <c r="B269" s="3389" t="s">
        <v>4278</v>
      </c>
      <c r="C269" s="3326"/>
      <c r="D269" s="3333"/>
      <c r="E269" s="3292"/>
      <c r="F269" s="3268"/>
      <c r="G269" s="3316"/>
      <c r="H269" s="3268"/>
      <c r="I269" s="3257">
        <v>0</v>
      </c>
      <c r="J269" s="3257">
        <v>0</v>
      </c>
      <c r="K269" s="3257">
        <v>0</v>
      </c>
      <c r="L269" s="3294" t="s">
        <v>4184</v>
      </c>
      <c r="M269" s="3400"/>
    </row>
    <row r="270" spans="1:13" s="3401" customFormat="1" ht="24" hidden="1" outlineLevel="3">
      <c r="A270" s="3398" t="s">
        <v>4279</v>
      </c>
      <c r="B270" s="3389" t="s">
        <v>4280</v>
      </c>
      <c r="C270" s="3326" t="s">
        <v>4281</v>
      </c>
      <c r="D270" s="3333"/>
      <c r="E270" s="3292"/>
      <c r="F270" s="3268"/>
      <c r="G270" s="3316"/>
      <c r="H270" s="3268"/>
      <c r="I270" s="3257">
        <v>0</v>
      </c>
      <c r="J270" s="3257">
        <v>0</v>
      </c>
      <c r="K270" s="3257">
        <v>0</v>
      </c>
      <c r="L270" s="3294" t="s">
        <v>4184</v>
      </c>
      <c r="M270" s="3400"/>
    </row>
    <row r="271" spans="1:13" s="3401" customFormat="1" ht="12" hidden="1" outlineLevel="3">
      <c r="A271" s="3398" t="s">
        <v>4282</v>
      </c>
      <c r="B271" s="3389" t="s">
        <v>4283</v>
      </c>
      <c r="C271" s="3326"/>
      <c r="D271" s="3333"/>
      <c r="E271" s="3292"/>
      <c r="F271" s="3268"/>
      <c r="G271" s="3316"/>
      <c r="H271" s="3268"/>
      <c r="I271" s="3257">
        <v>0</v>
      </c>
      <c r="J271" s="3257">
        <v>0</v>
      </c>
      <c r="K271" s="3257">
        <v>0</v>
      </c>
      <c r="L271" s="3294" t="s">
        <v>4184</v>
      </c>
      <c r="M271" s="3400"/>
    </row>
    <row r="272" spans="1:13" s="3401" customFormat="1" ht="12" hidden="1" outlineLevel="3">
      <c r="A272" s="3398" t="s">
        <v>4284</v>
      </c>
      <c r="B272" s="3389" t="s">
        <v>4285</v>
      </c>
      <c r="C272" s="3326"/>
      <c r="D272" s="3333"/>
      <c r="E272" s="3292"/>
      <c r="F272" s="3268"/>
      <c r="G272" s="3316"/>
      <c r="H272" s="3268"/>
      <c r="I272" s="3257">
        <v>0</v>
      </c>
      <c r="J272" s="3257">
        <v>0</v>
      </c>
      <c r="K272" s="3257">
        <v>0</v>
      </c>
      <c r="L272" s="3294" t="s">
        <v>4115</v>
      </c>
      <c r="M272" s="3400"/>
    </row>
    <row r="273" spans="1:13" s="3401" customFormat="1" ht="12" hidden="1" outlineLevel="3">
      <c r="A273" s="3398" t="s">
        <v>4286</v>
      </c>
      <c r="B273" s="3389" t="s">
        <v>4287</v>
      </c>
      <c r="C273" s="3326"/>
      <c r="D273" s="3333"/>
      <c r="E273" s="3292"/>
      <c r="F273" s="3268"/>
      <c r="G273" s="3316"/>
      <c r="H273" s="3268"/>
      <c r="I273" s="3257">
        <v>0</v>
      </c>
      <c r="J273" s="3257">
        <v>0</v>
      </c>
      <c r="K273" s="3257">
        <v>0</v>
      </c>
      <c r="L273" s="3294" t="s">
        <v>4115</v>
      </c>
      <c r="M273" s="3400"/>
    </row>
    <row r="274" spans="1:13" s="3401" customFormat="1" ht="12" hidden="1" outlineLevel="3">
      <c r="A274" s="3397">
        <v>2.1800000000000002</v>
      </c>
      <c r="B274" s="3389" t="s">
        <v>4288</v>
      </c>
      <c r="C274" s="3326"/>
      <c r="D274" s="3333"/>
      <c r="E274" s="3292"/>
      <c r="F274" s="3268"/>
      <c r="G274" s="3316"/>
      <c r="H274" s="3268"/>
      <c r="I274" s="3257">
        <v>0</v>
      </c>
      <c r="J274" s="3257">
        <v>0</v>
      </c>
      <c r="K274" s="3257">
        <v>0</v>
      </c>
      <c r="L274" s="3294" t="s">
        <v>4115</v>
      </c>
      <c r="M274" s="3400"/>
    </row>
    <row r="275" spans="1:13" s="3401" customFormat="1" ht="12" hidden="1" outlineLevel="3">
      <c r="A275" s="3397">
        <v>2.19</v>
      </c>
      <c r="B275" s="3389" t="s">
        <v>4289</v>
      </c>
      <c r="C275" s="3326"/>
      <c r="D275" s="3333"/>
      <c r="E275" s="3292"/>
      <c r="F275" s="3268"/>
      <c r="G275" s="3316"/>
      <c r="H275" s="3268"/>
      <c r="I275" s="3257">
        <v>0</v>
      </c>
      <c r="J275" s="3257">
        <v>0</v>
      </c>
      <c r="K275" s="3257">
        <v>0</v>
      </c>
      <c r="L275" s="3294" t="s">
        <v>4115</v>
      </c>
      <c r="M275" s="3400"/>
    </row>
    <row r="276" spans="1:13" s="3401" customFormat="1" ht="36" hidden="1" outlineLevel="3">
      <c r="A276" s="3397">
        <v>2.2000000000000002</v>
      </c>
      <c r="B276" s="3389" t="s">
        <v>4290</v>
      </c>
      <c r="C276" s="3326" t="s">
        <v>4291</v>
      </c>
      <c r="D276" s="3333"/>
      <c r="E276" s="3292"/>
      <c r="F276" s="3268"/>
      <c r="G276" s="3316"/>
      <c r="H276" s="3268"/>
      <c r="I276" s="3257">
        <v>0</v>
      </c>
      <c r="J276" s="3257">
        <v>0</v>
      </c>
      <c r="K276" s="3257">
        <v>0</v>
      </c>
      <c r="L276" s="3294" t="s">
        <v>4115</v>
      </c>
      <c r="M276" s="3400"/>
    </row>
    <row r="277" spans="1:13" s="3401" customFormat="1" ht="12" hidden="1" outlineLevel="3">
      <c r="A277" s="3397">
        <v>2.21</v>
      </c>
      <c r="B277" s="3389" t="s">
        <v>4292</v>
      </c>
      <c r="C277" s="3326"/>
      <c r="D277" s="3333"/>
      <c r="E277" s="3292"/>
      <c r="F277" s="3268"/>
      <c r="G277" s="3316"/>
      <c r="H277" s="3268"/>
      <c r="I277" s="3257">
        <v>0</v>
      </c>
      <c r="J277" s="3257">
        <v>0</v>
      </c>
      <c r="K277" s="3257">
        <v>0</v>
      </c>
      <c r="L277" s="3294" t="s">
        <v>4115</v>
      </c>
      <c r="M277" s="3400"/>
    </row>
    <row r="278" spans="1:13" s="3401" customFormat="1" ht="96" hidden="1" outlineLevel="3">
      <c r="A278" s="3397">
        <v>2.2200000000000002</v>
      </c>
      <c r="B278" s="3389" t="s">
        <v>4293</v>
      </c>
      <c r="C278" s="3326" t="s">
        <v>4294</v>
      </c>
      <c r="D278" s="3333"/>
      <c r="E278" s="3292"/>
      <c r="F278" s="3268"/>
      <c r="G278" s="3316"/>
      <c r="H278" s="3268"/>
      <c r="I278" s="3257">
        <v>0</v>
      </c>
      <c r="J278" s="3257">
        <v>0</v>
      </c>
      <c r="K278" s="3257">
        <v>0</v>
      </c>
      <c r="L278" s="3294" t="s">
        <v>4115</v>
      </c>
      <c r="M278" s="3400"/>
    </row>
    <row r="279" spans="1:13" s="3401" customFormat="1" ht="24" hidden="1" outlineLevel="3">
      <c r="A279" s="3397">
        <v>2.23</v>
      </c>
      <c r="B279" s="3389" t="s">
        <v>4295</v>
      </c>
      <c r="C279" s="3326" t="s">
        <v>4296</v>
      </c>
      <c r="D279" s="3333"/>
      <c r="E279" s="3292"/>
      <c r="F279" s="3268"/>
      <c r="G279" s="3316"/>
      <c r="H279" s="3268"/>
      <c r="I279" s="3257">
        <v>0</v>
      </c>
      <c r="J279" s="3257">
        <v>0</v>
      </c>
      <c r="K279" s="3257">
        <v>0</v>
      </c>
      <c r="L279" s="3294" t="s">
        <v>4115</v>
      </c>
      <c r="M279" s="3400"/>
    </row>
    <row r="280" spans="1:13" s="3401" customFormat="1" ht="12" hidden="1" outlineLevel="3">
      <c r="A280" s="3397">
        <v>2.2400000000000002</v>
      </c>
      <c r="B280" s="3389" t="s">
        <v>4297</v>
      </c>
      <c r="C280" s="3326"/>
      <c r="D280" s="3333"/>
      <c r="E280" s="3292"/>
      <c r="F280" s="3268"/>
      <c r="G280" s="3316"/>
      <c r="H280" s="3268"/>
      <c r="I280" s="3257">
        <v>0</v>
      </c>
      <c r="J280" s="3257">
        <v>0</v>
      </c>
      <c r="K280" s="3257">
        <v>0</v>
      </c>
      <c r="L280" s="3294" t="s">
        <v>4115</v>
      </c>
      <c r="M280" s="3400"/>
    </row>
    <row r="281" spans="1:13" s="3401" customFormat="1" ht="12" hidden="1" outlineLevel="3">
      <c r="A281" s="3397">
        <v>2.25</v>
      </c>
      <c r="B281" s="3389" t="s">
        <v>4298</v>
      </c>
      <c r="C281" s="3326" t="s">
        <v>4299</v>
      </c>
      <c r="D281" s="3333"/>
      <c r="E281" s="3292"/>
      <c r="F281" s="3268"/>
      <c r="G281" s="3316"/>
      <c r="H281" s="3268"/>
      <c r="I281" s="3257">
        <v>0</v>
      </c>
      <c r="J281" s="3257">
        <v>0</v>
      </c>
      <c r="K281" s="3257">
        <v>0</v>
      </c>
      <c r="L281" s="3294" t="s">
        <v>4115</v>
      </c>
      <c r="M281" s="3400"/>
    </row>
    <row r="282" spans="1:13" s="3401" customFormat="1" ht="12" hidden="1" outlineLevel="3">
      <c r="A282" s="3397">
        <v>2.2599999999999998</v>
      </c>
      <c r="B282" s="3389" t="s">
        <v>4300</v>
      </c>
      <c r="C282" s="3326"/>
      <c r="D282" s="3333"/>
      <c r="E282" s="3292"/>
      <c r="F282" s="3268"/>
      <c r="G282" s="3316"/>
      <c r="H282" s="3268"/>
      <c r="I282" s="3257">
        <v>0</v>
      </c>
      <c r="J282" s="3257">
        <v>0</v>
      </c>
      <c r="K282" s="3257">
        <v>0</v>
      </c>
      <c r="L282" s="3294" t="s">
        <v>4115</v>
      </c>
      <c r="M282" s="3400"/>
    </row>
    <row r="283" spans="1:13" s="3401" customFormat="1" ht="12" hidden="1" outlineLevel="3">
      <c r="A283" s="3398" t="s">
        <v>4301</v>
      </c>
      <c r="B283" s="3389" t="s">
        <v>4302</v>
      </c>
      <c r="C283" s="3326"/>
      <c r="D283" s="3333" t="s">
        <v>3674</v>
      </c>
      <c r="E283" s="3292"/>
      <c r="F283" s="3268"/>
      <c r="G283" s="3316"/>
      <c r="H283" s="3268"/>
      <c r="I283" s="3257">
        <v>0</v>
      </c>
      <c r="J283" s="3257">
        <v>0</v>
      </c>
      <c r="K283" s="3257">
        <v>0</v>
      </c>
      <c r="L283" s="3294" t="s">
        <v>4115</v>
      </c>
      <c r="M283" s="3400"/>
    </row>
    <row r="284" spans="1:13" s="3401" customFormat="1" ht="12" hidden="1" outlineLevel="3">
      <c r="A284" s="3398" t="s">
        <v>4303</v>
      </c>
      <c r="B284" s="3389" t="s">
        <v>4304</v>
      </c>
      <c r="C284" s="3326"/>
      <c r="D284" s="3333"/>
      <c r="E284" s="3292"/>
      <c r="F284" s="3268"/>
      <c r="G284" s="3316"/>
      <c r="H284" s="3268"/>
      <c r="I284" s="3257">
        <v>0</v>
      </c>
      <c r="J284" s="3257">
        <v>0</v>
      </c>
      <c r="K284" s="3257">
        <v>0</v>
      </c>
      <c r="L284" s="3294" t="s">
        <v>4115</v>
      </c>
      <c r="M284" s="3400"/>
    </row>
    <row r="285" spans="1:13" s="3401" customFormat="1" ht="12" hidden="1" outlineLevel="3">
      <c r="A285" s="3398" t="s">
        <v>4305</v>
      </c>
      <c r="B285" s="3389" t="s">
        <v>4306</v>
      </c>
      <c r="C285" s="3326"/>
      <c r="D285" s="3333"/>
      <c r="E285" s="3292"/>
      <c r="F285" s="3268"/>
      <c r="G285" s="3316"/>
      <c r="H285" s="3268"/>
      <c r="I285" s="3257">
        <v>0</v>
      </c>
      <c r="J285" s="3257">
        <v>0</v>
      </c>
      <c r="K285" s="3257">
        <v>0</v>
      </c>
      <c r="L285" s="3294" t="s">
        <v>4115</v>
      </c>
      <c r="M285" s="3400"/>
    </row>
    <row r="286" spans="1:13" s="3401" customFormat="1" ht="12" hidden="1" outlineLevel="3">
      <c r="A286" s="3397">
        <v>2.27</v>
      </c>
      <c r="B286" s="3389" t="s">
        <v>4307</v>
      </c>
      <c r="C286" s="3326"/>
      <c r="D286" s="3333"/>
      <c r="E286" s="3292"/>
      <c r="F286" s="3268"/>
      <c r="G286" s="3316"/>
      <c r="H286" s="3268"/>
      <c r="I286" s="3257">
        <v>0</v>
      </c>
      <c r="J286" s="3257">
        <v>0</v>
      </c>
      <c r="K286" s="3257">
        <v>0</v>
      </c>
      <c r="L286" s="3294" t="s">
        <v>4115</v>
      </c>
      <c r="M286" s="3400"/>
    </row>
    <row r="287" spans="1:13" s="3401" customFormat="1" ht="12" hidden="1" outlineLevel="3">
      <c r="A287" s="3397">
        <v>2.2799999999999998</v>
      </c>
      <c r="B287" s="3389" t="s">
        <v>4308</v>
      </c>
      <c r="C287" s="3326"/>
      <c r="D287" s="3333"/>
      <c r="E287" s="3292"/>
      <c r="F287" s="3268"/>
      <c r="G287" s="3316"/>
      <c r="H287" s="3268"/>
      <c r="I287" s="3257">
        <v>0</v>
      </c>
      <c r="J287" s="3257">
        <v>0</v>
      </c>
      <c r="K287" s="3257">
        <v>0</v>
      </c>
      <c r="L287" s="3294" t="s">
        <v>4115</v>
      </c>
      <c r="M287" s="3400"/>
    </row>
    <row r="288" spans="1:13" s="3401" customFormat="1" ht="12" hidden="1" outlineLevel="3">
      <c r="A288" s="3397">
        <v>2.29</v>
      </c>
      <c r="B288" s="3389" t="s">
        <v>4309</v>
      </c>
      <c r="C288" s="3326"/>
      <c r="D288" s="3333"/>
      <c r="E288" s="3292"/>
      <c r="F288" s="3268"/>
      <c r="G288" s="3316"/>
      <c r="H288" s="3268"/>
      <c r="I288" s="3257">
        <v>0</v>
      </c>
      <c r="J288" s="3257">
        <v>0</v>
      </c>
      <c r="K288" s="3257">
        <v>0</v>
      </c>
      <c r="L288" s="3294" t="s">
        <v>4115</v>
      </c>
      <c r="M288" s="3400"/>
    </row>
    <row r="289" spans="1:13" s="3401" customFormat="1" ht="12" hidden="1" outlineLevel="3">
      <c r="A289" s="3398" t="s">
        <v>4310</v>
      </c>
      <c r="B289" s="3389" t="s">
        <v>4311</v>
      </c>
      <c r="C289" s="3326"/>
      <c r="D289" s="3333"/>
      <c r="E289" s="3292"/>
      <c r="F289" s="3268"/>
      <c r="G289" s="3316"/>
      <c r="H289" s="3268"/>
      <c r="I289" s="3257">
        <v>0</v>
      </c>
      <c r="J289" s="3257">
        <v>0</v>
      </c>
      <c r="K289" s="3257">
        <v>0</v>
      </c>
      <c r="L289" s="3294" t="s">
        <v>4115</v>
      </c>
      <c r="M289" s="3400"/>
    </row>
    <row r="290" spans="1:13" s="3401" customFormat="1" ht="12" hidden="1" outlineLevel="3">
      <c r="A290" s="3398" t="s">
        <v>4312</v>
      </c>
      <c r="B290" s="3389" t="s">
        <v>4313</v>
      </c>
      <c r="C290" s="3326"/>
      <c r="D290" s="3333"/>
      <c r="E290" s="3292"/>
      <c r="F290" s="3268"/>
      <c r="G290" s="3316"/>
      <c r="H290" s="3268"/>
      <c r="I290" s="3257">
        <v>0</v>
      </c>
      <c r="J290" s="3257">
        <v>0</v>
      </c>
      <c r="K290" s="3257">
        <v>0</v>
      </c>
      <c r="L290" s="3294" t="s">
        <v>4115</v>
      </c>
      <c r="M290" s="3400"/>
    </row>
    <row r="291" spans="1:13" s="3401" customFormat="1" ht="12" hidden="1" outlineLevel="3">
      <c r="A291" s="3398" t="s">
        <v>4314</v>
      </c>
      <c r="B291" s="3389" t="s">
        <v>4315</v>
      </c>
      <c r="C291" s="3326"/>
      <c r="D291" s="3333"/>
      <c r="E291" s="3292"/>
      <c r="F291" s="3268"/>
      <c r="G291" s="3316"/>
      <c r="H291" s="3268"/>
      <c r="I291" s="3257">
        <v>0</v>
      </c>
      <c r="J291" s="3257">
        <v>0</v>
      </c>
      <c r="K291" s="3257">
        <v>0</v>
      </c>
      <c r="L291" s="3294" t="s">
        <v>4115</v>
      </c>
      <c r="M291" s="3400"/>
    </row>
    <row r="292" spans="1:13" s="3401" customFormat="1" ht="12" hidden="1" outlineLevel="3">
      <c r="A292" s="3398" t="s">
        <v>4316</v>
      </c>
      <c r="B292" s="3389" t="s">
        <v>4317</v>
      </c>
      <c r="C292" s="3326"/>
      <c r="D292" s="3333"/>
      <c r="E292" s="3292"/>
      <c r="F292" s="3268"/>
      <c r="G292" s="3316"/>
      <c r="H292" s="3268"/>
      <c r="I292" s="3257">
        <v>0</v>
      </c>
      <c r="J292" s="3257">
        <v>0</v>
      </c>
      <c r="K292" s="3257">
        <v>0</v>
      </c>
      <c r="L292" s="3294" t="s">
        <v>4115</v>
      </c>
      <c r="M292" s="3400"/>
    </row>
    <row r="293" spans="1:13" s="3401" customFormat="1" ht="12" hidden="1" outlineLevel="3">
      <c r="A293" s="3397">
        <v>2.2999999999999998</v>
      </c>
      <c r="B293" s="3389" t="s">
        <v>4318</v>
      </c>
      <c r="C293" s="3326"/>
      <c r="D293" s="3333"/>
      <c r="E293" s="3292"/>
      <c r="F293" s="3268"/>
      <c r="G293" s="3316"/>
      <c r="H293" s="3268"/>
      <c r="I293" s="3257">
        <v>0</v>
      </c>
      <c r="J293" s="3257">
        <v>0</v>
      </c>
      <c r="K293" s="3257">
        <v>0</v>
      </c>
      <c r="L293" s="3294" t="s">
        <v>4115</v>
      </c>
      <c r="M293" s="3400"/>
    </row>
    <row r="294" spans="1:13" s="3401" customFormat="1" ht="12" hidden="1" outlineLevel="3">
      <c r="A294" s="3397">
        <v>2.31</v>
      </c>
      <c r="B294" s="3389" t="s">
        <v>4319</v>
      </c>
      <c r="C294" s="3326"/>
      <c r="D294" s="3333"/>
      <c r="E294" s="3292"/>
      <c r="F294" s="3268"/>
      <c r="G294" s="3316"/>
      <c r="H294" s="3268"/>
      <c r="I294" s="3257">
        <v>0</v>
      </c>
      <c r="J294" s="3257">
        <v>0</v>
      </c>
      <c r="K294" s="3257">
        <v>0</v>
      </c>
      <c r="L294" s="3294" t="s">
        <v>4115</v>
      </c>
      <c r="M294" s="3400"/>
    </row>
    <row r="295" spans="1:13" s="3401" customFormat="1" ht="12" hidden="1" outlineLevel="3">
      <c r="A295" s="3397">
        <v>2.3199999999999998</v>
      </c>
      <c r="B295" s="3389" t="s">
        <v>4320</v>
      </c>
      <c r="C295" s="3326"/>
      <c r="D295" s="3333"/>
      <c r="E295" s="3292"/>
      <c r="F295" s="3268"/>
      <c r="G295" s="3316"/>
      <c r="H295" s="3268"/>
      <c r="I295" s="3257">
        <v>0</v>
      </c>
      <c r="J295" s="3257">
        <v>0</v>
      </c>
      <c r="K295" s="3257">
        <v>0</v>
      </c>
      <c r="L295" s="3294" t="s">
        <v>4115</v>
      </c>
      <c r="M295" s="3400"/>
    </row>
    <row r="296" spans="1:13" s="3401" customFormat="1" ht="12" hidden="1" outlineLevel="3">
      <c r="A296" s="3397">
        <v>2.33</v>
      </c>
      <c r="B296" s="3389" t="s">
        <v>4321</v>
      </c>
      <c r="C296" s="3326"/>
      <c r="D296" s="3333"/>
      <c r="E296" s="3292"/>
      <c r="F296" s="3268"/>
      <c r="G296" s="3316"/>
      <c r="H296" s="3268"/>
      <c r="I296" s="3257">
        <v>0</v>
      </c>
      <c r="J296" s="3257">
        <v>0</v>
      </c>
      <c r="K296" s="3257">
        <v>0</v>
      </c>
      <c r="L296" s="3294" t="s">
        <v>4115</v>
      </c>
      <c r="M296" s="3400"/>
    </row>
    <row r="297" spans="1:13" s="3401" customFormat="1" ht="12" hidden="1" outlineLevel="3">
      <c r="A297" s="3397">
        <v>2.34</v>
      </c>
      <c r="B297" s="3389" t="s">
        <v>4322</v>
      </c>
      <c r="C297" s="3326"/>
      <c r="D297" s="3333"/>
      <c r="E297" s="3292"/>
      <c r="F297" s="3268"/>
      <c r="G297" s="3316"/>
      <c r="H297" s="3268"/>
      <c r="I297" s="3257">
        <v>0</v>
      </c>
      <c r="J297" s="3257">
        <v>0</v>
      </c>
      <c r="K297" s="3257">
        <v>0</v>
      </c>
      <c r="L297" s="3294" t="s">
        <v>4115</v>
      </c>
      <c r="M297" s="3400"/>
    </row>
    <row r="298" spans="1:13" s="3401" customFormat="1" ht="12" hidden="1" outlineLevel="3">
      <c r="A298" s="3397">
        <v>2.35</v>
      </c>
      <c r="B298" s="3389" t="s">
        <v>4323</v>
      </c>
      <c r="C298" s="3326"/>
      <c r="D298" s="3333"/>
      <c r="E298" s="3292"/>
      <c r="F298" s="3268"/>
      <c r="G298" s="3316"/>
      <c r="H298" s="3268"/>
      <c r="I298" s="3257">
        <v>0</v>
      </c>
      <c r="J298" s="3257">
        <v>0</v>
      </c>
      <c r="K298" s="3257">
        <v>0</v>
      </c>
      <c r="L298" s="3294" t="s">
        <v>4115</v>
      </c>
      <c r="M298" s="3400"/>
    </row>
    <row r="299" spans="1:13" s="3401" customFormat="1" ht="12" hidden="1" outlineLevel="3">
      <c r="A299" s="3397">
        <v>2.36</v>
      </c>
      <c r="B299" s="3389" t="s">
        <v>4324</v>
      </c>
      <c r="C299" s="3326"/>
      <c r="D299" s="3333"/>
      <c r="E299" s="3292"/>
      <c r="F299" s="3268"/>
      <c r="G299" s="3316"/>
      <c r="H299" s="3268"/>
      <c r="I299" s="3257">
        <v>0</v>
      </c>
      <c r="J299" s="3257">
        <v>0</v>
      </c>
      <c r="K299" s="3257">
        <v>0</v>
      </c>
      <c r="L299" s="3294" t="s">
        <v>4115</v>
      </c>
      <c r="M299" s="3400"/>
    </row>
    <row r="300" spans="1:13" s="3401" customFormat="1" ht="12" hidden="1" outlineLevel="3">
      <c r="A300" s="3397">
        <v>2.37</v>
      </c>
      <c r="B300" s="3389" t="s">
        <v>4325</v>
      </c>
      <c r="C300" s="3326"/>
      <c r="D300" s="3333"/>
      <c r="E300" s="3292"/>
      <c r="F300" s="3268"/>
      <c r="G300" s="3316"/>
      <c r="H300" s="3268"/>
      <c r="I300" s="3257">
        <v>0</v>
      </c>
      <c r="J300" s="3257">
        <v>0</v>
      </c>
      <c r="K300" s="3257">
        <v>0</v>
      </c>
      <c r="L300" s="3294" t="s">
        <v>4115</v>
      </c>
      <c r="M300" s="3400"/>
    </row>
    <row r="301" spans="1:13" s="3401" customFormat="1" ht="12" hidden="1" outlineLevel="3">
      <c r="A301" s="3397">
        <v>2.38</v>
      </c>
      <c r="B301" s="3389" t="s">
        <v>4326</v>
      </c>
      <c r="C301" s="3326"/>
      <c r="D301" s="3333"/>
      <c r="E301" s="3292"/>
      <c r="F301" s="3268"/>
      <c r="G301" s="3316"/>
      <c r="H301" s="3268"/>
      <c r="I301" s="3257">
        <v>0</v>
      </c>
      <c r="J301" s="3257">
        <v>0</v>
      </c>
      <c r="K301" s="3257">
        <v>0</v>
      </c>
      <c r="L301" s="3294" t="s">
        <v>4115</v>
      </c>
      <c r="M301" s="3400"/>
    </row>
    <row r="302" spans="1:13" s="3401" customFormat="1" ht="12" hidden="1" outlineLevel="3">
      <c r="A302" s="3397">
        <v>2.39</v>
      </c>
      <c r="B302" s="3389" t="s">
        <v>4327</v>
      </c>
      <c r="C302" s="3326"/>
      <c r="D302" s="3333"/>
      <c r="E302" s="3292"/>
      <c r="F302" s="3268"/>
      <c r="G302" s="3316"/>
      <c r="H302" s="3268"/>
      <c r="I302" s="3257">
        <v>0</v>
      </c>
      <c r="J302" s="3257">
        <v>0</v>
      </c>
      <c r="K302" s="3257">
        <v>0</v>
      </c>
      <c r="L302" s="3294" t="s">
        <v>4115</v>
      </c>
      <c r="M302" s="3400"/>
    </row>
    <row r="303" spans="1:13" s="3401" customFormat="1" ht="12" hidden="1" outlineLevel="3">
      <c r="A303" s="3397">
        <v>2.4</v>
      </c>
      <c r="B303" s="3389" t="s">
        <v>4328</v>
      </c>
      <c r="C303" s="3326"/>
      <c r="D303" s="3333"/>
      <c r="E303" s="3292"/>
      <c r="F303" s="3268"/>
      <c r="G303" s="3316"/>
      <c r="H303" s="3268"/>
      <c r="I303" s="3257">
        <v>0</v>
      </c>
      <c r="J303" s="3257">
        <v>0</v>
      </c>
      <c r="K303" s="3257">
        <v>0</v>
      </c>
      <c r="L303" s="3294" t="s">
        <v>4115</v>
      </c>
      <c r="M303" s="3400"/>
    </row>
    <row r="304" spans="1:13" s="3288" customFormat="1" ht="21" customHeight="1" outlineLevel="2" collapsed="1">
      <c r="A304" s="3397">
        <v>3</v>
      </c>
      <c r="B304" s="3374" t="s">
        <v>4329</v>
      </c>
      <c r="C304" s="3326" t="s">
        <v>4330</v>
      </c>
      <c r="D304" s="3333"/>
      <c r="E304" s="3292"/>
      <c r="F304" s="3268"/>
      <c r="G304" s="3316"/>
      <c r="H304" s="3338"/>
      <c r="I304" s="3257">
        <v>0</v>
      </c>
      <c r="J304" s="3257">
        <v>0</v>
      </c>
      <c r="K304" s="3257">
        <v>0</v>
      </c>
      <c r="L304" s="3294" t="s">
        <v>4115</v>
      </c>
      <c r="M304" s="3339"/>
    </row>
    <row r="305" spans="1:13" s="3277" customFormat="1" ht="36" customHeight="1">
      <c r="A305" s="3289" t="s">
        <v>4331</v>
      </c>
      <c r="B305" s="3395" t="s">
        <v>4332</v>
      </c>
      <c r="C305" s="3326" t="s">
        <v>4333</v>
      </c>
      <c r="D305" s="3396"/>
      <c r="E305" s="3292"/>
      <c r="F305" s="3268"/>
      <c r="G305" s="3363">
        <v>38996.464575993821</v>
      </c>
      <c r="H305" s="3268"/>
      <c r="I305" s="3257">
        <v>1054.2812545882309</v>
      </c>
      <c r="J305" s="3257">
        <v>1326.0681980490961</v>
      </c>
      <c r="K305" s="3257">
        <v>1326.0681980490961</v>
      </c>
      <c r="L305" s="3294" t="s">
        <v>4115</v>
      </c>
      <c r="M305" s="3276"/>
    </row>
    <row r="306" spans="1:13" s="3403" customFormat="1" ht="14.25" outlineLevel="1">
      <c r="A306" s="3398">
        <v>1</v>
      </c>
      <c r="B306" s="3374" t="s">
        <v>4334</v>
      </c>
      <c r="C306" s="3326"/>
      <c r="D306" s="3333"/>
      <c r="E306" s="3292"/>
      <c r="F306" s="3268"/>
      <c r="G306" s="3316">
        <v>22749.982780612423</v>
      </c>
      <c r="H306" s="3338"/>
      <c r="I306" s="3257">
        <v>615.05268871398619</v>
      </c>
      <c r="J306" s="3257">
        <v>773.60932585940316</v>
      </c>
      <c r="K306" s="3257">
        <v>773.60932585940316</v>
      </c>
      <c r="L306" s="3294" t="s">
        <v>4115</v>
      </c>
      <c r="M306" s="3402"/>
    </row>
    <row r="307" spans="1:13" s="3403" customFormat="1" ht="14.25" outlineLevel="1">
      <c r="A307" s="3398">
        <v>2</v>
      </c>
      <c r="B307" s="3374" t="s">
        <v>4335</v>
      </c>
      <c r="C307" s="3326" t="s">
        <v>4336</v>
      </c>
      <c r="D307" s="3333"/>
      <c r="E307" s="3292"/>
      <c r="F307" s="3268"/>
      <c r="G307" s="3316">
        <v>16246.481795381398</v>
      </c>
      <c r="H307" s="3338"/>
      <c r="I307" s="3257">
        <v>439.22856587424479</v>
      </c>
      <c r="J307" s="3257">
        <v>552.45887218969278</v>
      </c>
      <c r="K307" s="3257">
        <v>552.45887218969278</v>
      </c>
      <c r="L307" s="3294" t="s">
        <v>4115</v>
      </c>
      <c r="M307" s="3402"/>
    </row>
    <row r="308" spans="1:13" s="3277" customFormat="1" ht="24" customHeight="1">
      <c r="A308" s="3404" t="s">
        <v>4337</v>
      </c>
      <c r="B308" s="3395" t="s">
        <v>4338</v>
      </c>
      <c r="C308" s="3273"/>
      <c r="D308" s="3396"/>
      <c r="E308" s="3292"/>
      <c r="F308" s="3268"/>
      <c r="G308" s="3316">
        <v>5285.8105823222504</v>
      </c>
      <c r="H308" s="3268"/>
      <c r="I308" s="3257">
        <v>142.90349324838581</v>
      </c>
      <c r="J308" s="3257">
        <v>179.74309697920296</v>
      </c>
      <c r="K308" s="3257">
        <v>179.74309697920296</v>
      </c>
      <c r="L308" s="3294"/>
      <c r="M308" s="3276"/>
    </row>
  </sheetData>
  <mergeCells count="4">
    <mergeCell ref="A1:M1"/>
    <mergeCell ref="A2:B2"/>
    <mergeCell ref="A3:B3"/>
    <mergeCell ref="A4:B4"/>
  </mergeCells>
  <phoneticPr fontId="234" type="noConversion"/>
  <pageMargins left="0.7" right="0.7" top="0.75" bottom="0.75" header="0.3" footer="0.3"/>
  <pageSetup paperSize="9" orientation="portrait" horizontalDpi="200" verticalDpi="2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3" sqref="F13"/>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4069" t="s">
        <v>1663</v>
      </c>
      <c r="B1" s="4070"/>
      <c r="C1" s="4070"/>
      <c r="D1" s="4070"/>
      <c r="E1" s="4070"/>
      <c r="F1" s="4070"/>
      <c r="G1" s="4070"/>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40.5">
      <c r="A3" s="1225" t="s">
        <v>1666</v>
      </c>
      <c r="B3" s="1226" t="s">
        <v>1653</v>
      </c>
      <c r="C3" s="3898" t="s">
        <v>4690</v>
      </c>
      <c r="D3" s="2006"/>
      <c r="E3" s="1227" t="s">
        <v>1666</v>
      </c>
      <c r="F3" s="1228" t="s">
        <v>1654</v>
      </c>
      <c r="G3" s="3104"/>
      <c r="H3" s="2005"/>
      <c r="I3" s="2005"/>
      <c r="J3" s="2005"/>
      <c r="K3" s="2005"/>
      <c r="L3" s="2005"/>
      <c r="M3" s="2005"/>
      <c r="N3" s="2005"/>
      <c r="O3" s="2005"/>
      <c r="P3" s="2005"/>
      <c r="Q3" s="2005"/>
      <c r="R3" s="2005"/>
    </row>
    <row r="4" spans="1:18" ht="27.75">
      <c r="A4" s="1227"/>
      <c r="B4" s="1229" t="s">
        <v>1667</v>
      </c>
      <c r="C4" s="3101" t="s">
        <v>4691</v>
      </c>
      <c r="D4" s="2006"/>
      <c r="E4" s="1230"/>
      <c r="F4" s="1231" t="s">
        <v>1668</v>
      </c>
      <c r="G4" s="3102"/>
      <c r="H4" s="2005"/>
      <c r="I4" s="2005"/>
      <c r="J4" s="2005"/>
      <c r="K4" s="2005"/>
      <c r="L4" s="2005"/>
      <c r="M4" s="2005"/>
      <c r="N4" s="2005"/>
      <c r="O4" s="2005"/>
      <c r="P4" s="2005"/>
      <c r="Q4" s="2005"/>
      <c r="R4" s="2005"/>
    </row>
    <row r="5" spans="1:18" ht="14.25">
      <c r="A5" s="1227"/>
      <c r="B5" s="1229" t="s">
        <v>1669</v>
      </c>
      <c r="C5" s="3101"/>
      <c r="D5" s="2006"/>
      <c r="E5" s="1230"/>
      <c r="F5" s="1229" t="s">
        <v>2546</v>
      </c>
      <c r="G5" s="3102"/>
      <c r="H5" s="2005"/>
      <c r="I5" s="2005"/>
      <c r="J5" s="2005"/>
      <c r="K5" s="2005"/>
      <c r="L5" s="2005"/>
      <c r="M5" s="2005"/>
      <c r="N5" s="2005"/>
      <c r="O5" s="2005"/>
      <c r="P5" s="2005"/>
      <c r="Q5" s="2005"/>
      <c r="R5" s="2005"/>
    </row>
    <row r="6" spans="1:18" ht="27">
      <c r="A6" s="1227"/>
      <c r="B6" s="1229" t="s">
        <v>1655</v>
      </c>
      <c r="C6" s="3899" t="s">
        <v>4692</v>
      </c>
      <c r="D6" s="2006"/>
      <c r="E6" s="1230"/>
      <c r="F6" s="1229" t="s">
        <v>2547</v>
      </c>
      <c r="G6" s="3102"/>
      <c r="H6" s="2005"/>
      <c r="I6" s="2005"/>
      <c r="J6" s="2005"/>
      <c r="K6" s="2005"/>
      <c r="L6" s="2005"/>
      <c r="M6" s="2005"/>
      <c r="N6" s="2005"/>
      <c r="O6" s="2005"/>
      <c r="P6" s="2005"/>
      <c r="Q6" s="2005"/>
      <c r="R6" s="2005"/>
    </row>
    <row r="7" spans="1:18" ht="15" thickBot="1">
      <c r="A7" s="1227"/>
      <c r="B7" s="1229" t="s">
        <v>2546</v>
      </c>
      <c r="C7" s="3102"/>
      <c r="D7" s="2007"/>
      <c r="E7" s="1232"/>
      <c r="F7" s="1233" t="s">
        <v>1670</v>
      </c>
      <c r="G7" s="3105"/>
      <c r="H7" s="2005"/>
      <c r="I7" s="2005"/>
      <c r="J7" s="2005"/>
      <c r="K7" s="2005"/>
      <c r="L7" s="2005"/>
      <c r="M7" s="2005"/>
      <c r="N7" s="2005"/>
      <c r="O7" s="2005"/>
      <c r="P7" s="2005"/>
      <c r="Q7" s="2005"/>
      <c r="R7" s="2005"/>
    </row>
    <row r="8" spans="1:18" ht="14.25">
      <c r="A8" s="1227"/>
      <c r="B8" s="1229" t="s">
        <v>2547</v>
      </c>
      <c r="C8" s="3102"/>
      <c r="D8" s="2007"/>
      <c r="E8" s="2007"/>
      <c r="F8" s="1550"/>
      <c r="G8" s="1550"/>
      <c r="H8" s="2005"/>
      <c r="I8" s="2005"/>
      <c r="J8" s="2005"/>
      <c r="K8" s="2005"/>
      <c r="L8" s="2005"/>
      <c r="M8" s="2005"/>
      <c r="N8" s="2005"/>
      <c r="O8" s="2005"/>
      <c r="P8" s="2005"/>
      <c r="Q8" s="2005"/>
      <c r="R8" s="2005"/>
    </row>
    <row r="9" spans="1:18" ht="14.25">
      <c r="A9" s="1227"/>
      <c r="B9" s="1229" t="s">
        <v>1656</v>
      </c>
      <c r="C9" s="3101"/>
      <c r="D9" s="2006"/>
      <c r="E9" s="2007"/>
      <c r="F9" s="1550"/>
      <c r="G9" s="1550"/>
      <c r="H9" s="2005"/>
      <c r="I9" s="2005"/>
      <c r="J9" s="2005"/>
      <c r="K9" s="2005"/>
      <c r="L9" s="2005"/>
      <c r="M9" s="2005"/>
      <c r="N9" s="2005"/>
      <c r="O9" s="2005"/>
      <c r="P9" s="2005"/>
      <c r="Q9" s="2005"/>
      <c r="R9" s="2005"/>
    </row>
    <row r="10" spans="1:18" s="2013" customFormat="1" ht="15" thickBot="1">
      <c r="A10" s="1234"/>
      <c r="B10" s="1235" t="s">
        <v>1671</v>
      </c>
      <c r="C10" s="3103"/>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40.5">
      <c r="A15" s="2609" t="s">
        <v>1657</v>
      </c>
      <c r="B15" s="1240" t="s">
        <v>1653</v>
      </c>
      <c r="C15" s="1241" t="str">
        <f>C3</f>
        <v>周边居住用地比例、居住小区规模和社区发展完善程度</v>
      </c>
      <c r="D15" s="2006"/>
      <c r="E15" s="2606" t="s">
        <v>1658</v>
      </c>
      <c r="F15" s="1240" t="s">
        <v>1673</v>
      </c>
      <c r="G15" s="1242">
        <f>G3</f>
        <v>0</v>
      </c>
    </row>
    <row r="16" spans="1:18" ht="27">
      <c r="A16" s="2610"/>
      <c r="B16" s="1243" t="s">
        <v>1667</v>
      </c>
      <c r="C16" s="1244" t="str">
        <f>C4</f>
        <v>XX商圈，周边商业氛围，人流量</v>
      </c>
      <c r="D16" s="2006"/>
      <c r="E16" s="2607"/>
      <c r="F16" s="1245" t="s">
        <v>1668</v>
      </c>
      <c r="G16" s="1003">
        <f>G4</f>
        <v>0</v>
      </c>
    </row>
    <row r="17" spans="1:7" ht="14.25">
      <c r="A17" s="2610"/>
      <c r="B17" s="1243" t="s">
        <v>1669</v>
      </c>
      <c r="C17" s="1244">
        <f>C5</f>
        <v>0</v>
      </c>
      <c r="D17" s="2007"/>
      <c r="E17" s="2607"/>
      <c r="F17" s="1245" t="s">
        <v>1674</v>
      </c>
      <c r="G17" s="2815"/>
    </row>
    <row r="18" spans="1:7" ht="27">
      <c r="A18" s="2610"/>
      <c r="B18" s="1245" t="s">
        <v>1655</v>
      </c>
      <c r="C18" s="1003" t="str">
        <f>C6</f>
        <v>周边道路状况、公共交通通达情况、停车便捷程度</v>
      </c>
      <c r="D18" s="2007"/>
      <c r="E18" s="2607"/>
      <c r="F18" s="1245" t="s">
        <v>1670</v>
      </c>
      <c r="G18" s="1003">
        <f>G7</f>
        <v>0</v>
      </c>
    </row>
    <row r="19" spans="1:7" ht="14.25">
      <c r="A19" s="2610"/>
      <c r="B19" s="1245" t="s">
        <v>1659</v>
      </c>
      <c r="C19" s="2815"/>
      <c r="D19" s="2006"/>
      <c r="E19" s="2607"/>
      <c r="F19" s="1229" t="s">
        <v>2546</v>
      </c>
      <c r="G19" s="1003">
        <f>G5</f>
        <v>0</v>
      </c>
    </row>
    <row r="20" spans="1:7">
      <c r="A20" s="2610"/>
      <c r="B20" s="1245" t="s">
        <v>1660</v>
      </c>
      <c r="C20" s="1244">
        <f>C9</f>
        <v>0</v>
      </c>
      <c r="D20" s="2007"/>
      <c r="E20" s="2607"/>
      <c r="F20" s="1229" t="s">
        <v>2547</v>
      </c>
      <c r="G20" s="1003">
        <f>G6</f>
        <v>0</v>
      </c>
    </row>
    <row r="21" spans="1:7" ht="14.25">
      <c r="A21" s="2610"/>
      <c r="B21" s="1229" t="s">
        <v>2546</v>
      </c>
      <c r="C21" s="1003">
        <f>C7</f>
        <v>0</v>
      </c>
      <c r="D21" s="2006"/>
      <c r="E21" s="2607"/>
      <c r="F21" s="1245" t="s">
        <v>1661</v>
      </c>
      <c r="G21" s="3106"/>
    </row>
    <row r="22" spans="1:7" ht="14.25">
      <c r="A22" s="2610"/>
      <c r="B22" s="1229" t="s">
        <v>2547</v>
      </c>
      <c r="C22" s="1003">
        <f>C8</f>
        <v>0</v>
      </c>
      <c r="D22" s="2006"/>
      <c r="E22" s="2607"/>
      <c r="F22" s="1245" t="s">
        <v>1671</v>
      </c>
      <c r="G22" s="2815"/>
    </row>
    <row r="23" spans="1:7" ht="15" thickBot="1">
      <c r="A23" s="2610"/>
      <c r="B23" s="1245" t="s">
        <v>1661</v>
      </c>
      <c r="C23" s="3106"/>
      <c r="E23" s="2608"/>
      <c r="F23" s="1246" t="s">
        <v>1675</v>
      </c>
      <c r="G23" s="3107"/>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2843</v>
      </c>
      <c r="B1" s="3065">
        <f>SUM(B14:B23)</f>
        <v>446955.26</v>
      </c>
      <c r="C1" s="3066"/>
      <c r="D1" s="3066"/>
      <c r="E1" s="3066"/>
      <c r="F1" s="3066"/>
    </row>
    <row r="2" spans="1:9" ht="16.5">
      <c r="A2" s="3065" t="s">
        <v>2844</v>
      </c>
      <c r="B2" s="3065">
        <f>SUM(C14:C23)</f>
        <v>410194.62</v>
      </c>
      <c r="C2" s="3066"/>
      <c r="D2" s="3066"/>
      <c r="E2" s="3066"/>
      <c r="F2" s="3066"/>
    </row>
    <row r="3" spans="1:9" ht="16.5">
      <c r="A3" s="3065" t="s">
        <v>2845</v>
      </c>
      <c r="B3" s="3067">
        <f>项目基本情况!D3</f>
        <v>43251</v>
      </c>
      <c r="C3" s="3066"/>
      <c r="D3" s="3066"/>
      <c r="E3" s="3066"/>
      <c r="F3" s="3066"/>
    </row>
    <row r="4" spans="1:9" ht="33">
      <c r="A4" s="3065" t="s">
        <v>2846</v>
      </c>
      <c r="B4" s="3065" t="s">
        <v>2847</v>
      </c>
      <c r="C4" s="3065" t="s">
        <v>2848</v>
      </c>
      <c r="D4" s="3065" t="s">
        <v>2849</v>
      </c>
      <c r="E4" s="3066"/>
      <c r="F4" s="3066"/>
    </row>
    <row r="5" spans="1:9" ht="16.5">
      <c r="A5" s="3065" t="s">
        <v>2850</v>
      </c>
      <c r="B5" s="3065">
        <f ca="1">SUM(D14:D23)</f>
        <v>150279</v>
      </c>
      <c r="C5" s="3065">
        <f ca="1">ROUND(B5*10000/$B$1,0)</f>
        <v>3362</v>
      </c>
      <c r="D5" s="3065">
        <f ca="1">ROUND(B5*10000/$B$2,0)</f>
        <v>3664</v>
      </c>
      <c r="E5" s="3066"/>
      <c r="F5" s="3066"/>
    </row>
    <row r="6" spans="1:9" ht="16.5">
      <c r="A6" s="3065" t="s">
        <v>2851</v>
      </c>
      <c r="B6" s="3065">
        <f ca="1">SUM(G14:G23)</f>
        <v>103279</v>
      </c>
      <c r="C6" s="3065">
        <f t="shared" ref="C6:C8" ca="1" si="0">ROUND(B6*10000/$B$1,0)</f>
        <v>2311</v>
      </c>
      <c r="D6" s="3065">
        <f t="shared" ref="D6:D8" ca="1" si="1">ROUND(B6*10000/$B$2,0)</f>
        <v>2518</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446955.26</v>
      </c>
      <c r="C14" s="3069">
        <f>结果表!K38</f>
        <v>410194.62</v>
      </c>
      <c r="D14" s="3069">
        <f ca="1">结果表!C42</f>
        <v>150279</v>
      </c>
      <c r="E14" s="3069">
        <f ca="1">ROUND(D14*10000/B14,0)</f>
        <v>3362</v>
      </c>
      <c r="F14" s="3069">
        <f ca="1">ROUND(D14*10000/C14,0)</f>
        <v>3664</v>
      </c>
      <c r="G14" s="3069">
        <f ca="1">结果表!C44</f>
        <v>103279</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opLeftCell="H19" zoomScaleNormal="100" zoomScaleSheetLayoutView="100" zoomScalePageLayoutView="80" workbookViewId="0">
      <selection activeCell="O39" sqref="O3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2057</v>
      </c>
      <c r="B1" s="1774"/>
      <c r="C1" s="1802" t="s">
        <v>2058</v>
      </c>
      <c r="D1" s="1803" t="s">
        <v>2979</v>
      </c>
      <c r="E1" s="1802" t="s">
        <v>2059</v>
      </c>
      <c r="F1" s="1804" t="s">
        <v>2980</v>
      </c>
      <c r="G1" s="309"/>
      <c r="H1" s="309"/>
      <c r="I1" s="309"/>
      <c r="J1" s="2026"/>
      <c r="K1" s="2026"/>
      <c r="L1" s="2026"/>
      <c r="M1" s="2026"/>
      <c r="N1" s="2026"/>
      <c r="O1" s="2026"/>
      <c r="P1" s="2026"/>
      <c r="Q1" s="2026"/>
      <c r="R1" s="2026"/>
      <c r="S1" s="2026"/>
      <c r="T1" s="2026"/>
      <c r="U1" s="2026"/>
      <c r="V1" s="2026"/>
    </row>
    <row r="2" spans="1:22" ht="21.75" customHeight="1" thickBot="1">
      <c r="A2" s="4116" t="str">
        <f>项目基本情况!K2</f>
        <v>四川省成都市都江堰市中兴镇新益村一、五、七、八组510181016002GB00012号一宗住宅、商业用地出让国有建设用地使用权</v>
      </c>
      <c r="B2" s="4117"/>
      <c r="C2" s="4118"/>
      <c r="D2" s="4118"/>
      <c r="E2" s="4118"/>
      <c r="F2" s="4118"/>
      <c r="G2" s="4117"/>
      <c r="H2" s="4117"/>
      <c r="I2" s="4119"/>
      <c r="J2" s="2027"/>
      <c r="K2" s="2026"/>
      <c r="L2" s="2026"/>
      <c r="M2" s="2026"/>
      <c r="N2" s="2026"/>
      <c r="O2" s="2026"/>
      <c r="P2" s="2026"/>
      <c r="Q2" s="2026"/>
      <c r="R2" s="2026"/>
      <c r="S2" s="2026"/>
      <c r="T2" s="2026"/>
      <c r="U2" s="2026"/>
      <c r="V2" s="2026"/>
    </row>
    <row r="3" spans="1:22" ht="14.25">
      <c r="A3" s="4127" t="s">
        <v>298</v>
      </c>
      <c r="B3" s="4128"/>
      <c r="C3" s="4128"/>
      <c r="D3" s="4128"/>
      <c r="E3" s="4128"/>
      <c r="F3" s="4128"/>
      <c r="G3" s="4128"/>
      <c r="H3" s="4128"/>
      <c r="I3" s="4128"/>
      <c r="J3" s="2027"/>
      <c r="K3" s="2026"/>
      <c r="L3" s="2026"/>
      <c r="M3" s="2026"/>
      <c r="N3" s="2026"/>
      <c r="O3" s="2026"/>
      <c r="P3" s="2026"/>
      <c r="Q3" s="2026"/>
      <c r="R3" s="2026"/>
      <c r="S3" s="2026"/>
      <c r="T3" s="2026"/>
      <c r="U3" s="2026"/>
      <c r="V3" s="2026"/>
    </row>
    <row r="4" spans="1:22" ht="14.25">
      <c r="A4" s="256" t="s">
        <v>299</v>
      </c>
      <c r="B4" s="257" t="s">
        <v>300</v>
      </c>
      <c r="C4" s="258" t="s">
        <v>4683</v>
      </c>
      <c r="D4" s="258" t="s">
        <v>2978</v>
      </c>
      <c r="E4" s="4091" t="s">
        <v>301</v>
      </c>
      <c r="F4" s="4133"/>
      <c r="G4" s="4133"/>
      <c r="H4" s="4133"/>
      <c r="I4" s="4092"/>
      <c r="J4" s="2027"/>
      <c r="K4" s="2026"/>
      <c r="L4" s="3457" t="str">
        <f>IF(ISNUMBER(FIND("比较法",C4)),"比较法",IF(ISNUMBER(FIND("成本法",C4)),"成本法",IF(ISNUMBER(FIND("剩余法",C4)),"剩余法",IF(ISNUMBER(FIND("收益法",C4)),"收益法","基准地价系数修正法"))))</f>
        <v>比较法</v>
      </c>
      <c r="M4" s="345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4120" t="s">
        <v>302</v>
      </c>
      <c r="B5" s="4121">
        <v>25</v>
      </c>
      <c r="C5" s="4129"/>
      <c r="D5" s="4132"/>
      <c r="E5" s="259" t="s">
        <v>303</v>
      </c>
      <c r="F5" s="260"/>
      <c r="G5" s="260"/>
      <c r="H5" s="260"/>
      <c r="I5" s="261"/>
      <c r="J5" s="2027"/>
      <c r="K5" s="2026"/>
      <c r="L5" s="3439">
        <f>ROUND('比较法-住宅用途（地面价）'!B4*报规文件!E16/10000+'比较法-商业用途（地面价）'!B4*报规文件!E15/10000,0)</f>
        <v>107023</v>
      </c>
      <c r="M5" s="3439">
        <f ca="1">D19</f>
        <v>175512</v>
      </c>
      <c r="N5" s="2026"/>
      <c r="O5" s="2026"/>
      <c r="P5" s="2026"/>
      <c r="Q5" s="2026"/>
      <c r="R5" s="2026"/>
      <c r="S5" s="2026"/>
      <c r="T5" s="2026"/>
      <c r="U5" s="2026"/>
      <c r="V5" s="2026"/>
    </row>
    <row r="6" spans="1:22" ht="14.25">
      <c r="A6" s="4120"/>
      <c r="B6" s="4121"/>
      <c r="C6" s="4130"/>
      <c r="D6" s="4132"/>
      <c r="E6" s="259" t="s">
        <v>304</v>
      </c>
      <c r="F6" s="260"/>
      <c r="G6" s="260"/>
      <c r="H6" s="260"/>
      <c r="I6" s="261"/>
      <c r="J6" s="2027"/>
      <c r="K6" s="2026"/>
      <c r="L6" s="3439">
        <f>ROUND(L5*10000/'数据-汇总表'!D3,0)</f>
        <v>2609</v>
      </c>
      <c r="M6" s="3439">
        <f ca="1">D20</f>
        <v>3927</v>
      </c>
      <c r="N6" s="2026"/>
      <c r="O6" s="2026"/>
      <c r="P6" s="2026"/>
      <c r="Q6" s="2026"/>
      <c r="R6" s="2026"/>
      <c r="S6" s="2026"/>
      <c r="T6" s="2026"/>
      <c r="U6" s="2026"/>
      <c r="V6" s="2026"/>
    </row>
    <row r="7" spans="1:22" ht="14.25">
      <c r="A7" s="4120"/>
      <c r="B7" s="4121"/>
      <c r="C7" s="4131"/>
      <c r="D7" s="4132"/>
      <c r="E7" s="259" t="s">
        <v>305</v>
      </c>
      <c r="F7" s="260"/>
      <c r="G7" s="260"/>
      <c r="H7" s="260"/>
      <c r="I7" s="261"/>
      <c r="J7" s="2027"/>
      <c r="K7" s="2026"/>
      <c r="L7" s="3439">
        <f>ROUND(L5*10000/'数据-汇总表'!E3,0)</f>
        <v>2394</v>
      </c>
      <c r="M7" s="3439">
        <f ca="1">D21</f>
        <v>4279</v>
      </c>
      <c r="N7" s="2026"/>
      <c r="O7" s="2026"/>
      <c r="P7" s="2026"/>
      <c r="Q7" s="2026"/>
      <c r="R7" s="2026"/>
      <c r="S7" s="2026"/>
      <c r="T7" s="2026"/>
      <c r="U7" s="2026"/>
      <c r="V7" s="2026"/>
    </row>
    <row r="8" spans="1:22" ht="14.25">
      <c r="A8" s="4120" t="s">
        <v>306</v>
      </c>
      <c r="B8" s="4121">
        <v>15</v>
      </c>
      <c r="C8" s="4129"/>
      <c r="D8" s="4132"/>
      <c r="E8" s="259" t="s">
        <v>307</v>
      </c>
      <c r="F8" s="260"/>
      <c r="G8" s="260"/>
      <c r="H8" s="260"/>
      <c r="I8" s="261"/>
      <c r="J8" s="2027"/>
      <c r="K8" s="2026"/>
      <c r="L8" s="2026">
        <f>ROUND(L5/('数据-汇总表'!D3/666.67),0)</f>
        <v>174</v>
      </c>
      <c r="M8" s="2026">
        <f ca="1">ROUND(M5/('数据-汇总表'!D3/666.67),0)</f>
        <v>285</v>
      </c>
      <c r="N8" s="2026"/>
      <c r="O8" s="2026"/>
      <c r="P8" s="2026"/>
      <c r="Q8" s="2026"/>
      <c r="R8" s="2026"/>
      <c r="S8" s="2026"/>
      <c r="T8" s="2026"/>
      <c r="U8" s="2026"/>
      <c r="V8" s="2026"/>
    </row>
    <row r="9" spans="1:22" ht="14.25">
      <c r="A9" s="4120"/>
      <c r="B9" s="4121"/>
      <c r="C9" s="4131"/>
      <c r="D9" s="4132"/>
      <c r="E9" s="259" t="s">
        <v>308</v>
      </c>
      <c r="F9" s="260"/>
      <c r="G9" s="260"/>
      <c r="H9" s="260"/>
      <c r="I9" s="261"/>
      <c r="J9" s="2027"/>
      <c r="K9" s="2026"/>
      <c r="L9" s="3439"/>
      <c r="M9" s="3440">
        <f ca="1">IF(L5&lt;M5,M5/L5-1,L5/M5-1)</f>
        <v>0.6399465535445652</v>
      </c>
      <c r="N9" s="2026"/>
      <c r="O9" s="2026"/>
      <c r="P9" s="2026"/>
      <c r="Q9" s="2026"/>
      <c r="R9" s="2026"/>
      <c r="S9" s="2026"/>
      <c r="T9" s="2026"/>
      <c r="U9" s="2026"/>
      <c r="V9" s="2026"/>
    </row>
    <row r="10" spans="1:22" ht="14.25">
      <c r="A10" s="4120" t="s">
        <v>309</v>
      </c>
      <c r="B10" s="4121">
        <v>15</v>
      </c>
      <c r="C10" s="4129"/>
      <c r="D10" s="4132"/>
      <c r="E10" s="259" t="s">
        <v>310</v>
      </c>
      <c r="F10" s="260"/>
      <c r="G10" s="260"/>
      <c r="H10" s="260"/>
      <c r="I10" s="261"/>
      <c r="J10" s="2027"/>
      <c r="K10" s="2026"/>
      <c r="L10" s="3439"/>
      <c r="M10" s="3439"/>
      <c r="N10" s="2026"/>
      <c r="O10" s="2026"/>
      <c r="P10" s="2026"/>
      <c r="Q10" s="2026"/>
      <c r="R10" s="2026"/>
      <c r="S10" s="2026"/>
      <c r="T10" s="2026"/>
      <c r="U10" s="2026"/>
      <c r="V10" s="2026"/>
    </row>
    <row r="11" spans="1:22" ht="14.25">
      <c r="A11" s="4120"/>
      <c r="B11" s="4121"/>
      <c r="C11" s="4131"/>
      <c r="D11" s="4132"/>
      <c r="E11" s="259" t="s">
        <v>311</v>
      </c>
      <c r="F11" s="260"/>
      <c r="G11" s="260"/>
      <c r="H11" s="260"/>
      <c r="I11" s="261"/>
      <c r="J11" s="2027"/>
      <c r="K11" s="2026"/>
      <c r="L11" s="3439">
        <v>0.4</v>
      </c>
      <c r="M11" s="3439">
        <f>1-L11</f>
        <v>0.6</v>
      </c>
      <c r="N11" s="2026"/>
      <c r="O11" s="2026"/>
      <c r="P11" s="2026"/>
      <c r="Q11" s="2026"/>
      <c r="R11" s="2026"/>
      <c r="S11" s="2026"/>
      <c r="T11" s="2026"/>
      <c r="U11" s="2026"/>
      <c r="V11" s="2026"/>
    </row>
    <row r="12" spans="1:22" ht="14.25">
      <c r="A12" s="4120" t="s">
        <v>312</v>
      </c>
      <c r="B12" s="4121">
        <v>15</v>
      </c>
      <c r="C12" s="4129"/>
      <c r="D12" s="4132"/>
      <c r="E12" s="259" t="s">
        <v>313</v>
      </c>
      <c r="F12" s="260"/>
      <c r="G12" s="260"/>
      <c r="H12" s="260"/>
      <c r="I12" s="261"/>
      <c r="J12" s="2027"/>
      <c r="K12" s="2026"/>
      <c r="L12" s="3439"/>
      <c r="M12" s="3439">
        <f ca="1">ROUND(L5*L11+M5*M11,0)</f>
        <v>148116</v>
      </c>
      <c r="N12" s="2026"/>
      <c r="O12" s="2026"/>
      <c r="P12" s="2026"/>
      <c r="Q12" s="2026"/>
      <c r="R12" s="2026"/>
      <c r="S12" s="2026"/>
      <c r="T12" s="2026"/>
      <c r="U12" s="2026"/>
      <c r="V12" s="2026"/>
    </row>
    <row r="13" spans="1:22" ht="14.25">
      <c r="A13" s="4120"/>
      <c r="B13" s="4121"/>
      <c r="C13" s="4131"/>
      <c r="D13" s="4132"/>
      <c r="E13" s="259" t="s">
        <v>314</v>
      </c>
      <c r="F13" s="260"/>
      <c r="G13" s="260"/>
      <c r="H13" s="260"/>
      <c r="I13" s="261"/>
      <c r="J13" s="2027"/>
      <c r="K13" s="2026"/>
      <c r="L13" s="3439"/>
      <c r="M13" s="3439">
        <f ca="1">ROUND(M12*10000/'数据-汇总表'!D3,0)</f>
        <v>3611</v>
      </c>
      <c r="N13" s="2026"/>
      <c r="O13" s="2026"/>
      <c r="P13" s="2026"/>
      <c r="Q13" s="2026"/>
      <c r="R13" s="2026"/>
      <c r="S13" s="2026"/>
      <c r="T13" s="2026"/>
      <c r="U13" s="2026"/>
      <c r="V13" s="2026"/>
    </row>
    <row r="14" spans="1:22" ht="14.25">
      <c r="A14" s="4120" t="s">
        <v>315</v>
      </c>
      <c r="B14" s="4121">
        <v>30</v>
      </c>
      <c r="C14" s="4129">
        <v>4</v>
      </c>
      <c r="D14" s="4132">
        <v>6</v>
      </c>
      <c r="E14" s="259" t="s">
        <v>316</v>
      </c>
      <c r="F14" s="260"/>
      <c r="G14" s="260"/>
      <c r="H14" s="260"/>
      <c r="I14" s="261"/>
      <c r="J14" s="2027"/>
      <c r="K14" s="2026"/>
      <c r="L14" s="3439"/>
      <c r="M14" s="3439">
        <f ca="1">ROUND(M12*10000/'数据-汇总表'!E3,0)</f>
        <v>3314</v>
      </c>
      <c r="N14" s="2026"/>
      <c r="O14" s="2026"/>
      <c r="P14" s="2026"/>
      <c r="Q14" s="2026"/>
      <c r="R14" s="2026"/>
      <c r="S14" s="2026"/>
      <c r="T14" s="2026"/>
      <c r="U14" s="2026"/>
      <c r="V14" s="2026"/>
    </row>
    <row r="15" spans="1:22" ht="14.25">
      <c r="A15" s="4120"/>
      <c r="B15" s="4121"/>
      <c r="C15" s="4130"/>
      <c r="D15" s="4132"/>
      <c r="E15" s="259" t="s">
        <v>317</v>
      </c>
      <c r="F15" s="260"/>
      <c r="G15" s="260"/>
      <c r="H15" s="260"/>
      <c r="I15" s="261"/>
      <c r="J15" s="2027"/>
      <c r="K15" s="2026"/>
      <c r="L15" s="3439"/>
      <c r="M15" s="3439">
        <f ca="1">ROUND(M12/('数据-汇总表'!D3/666.67),0)</f>
        <v>241</v>
      </c>
      <c r="N15" s="2026"/>
      <c r="O15" s="2026"/>
      <c r="P15" s="2026"/>
      <c r="Q15" s="2026"/>
      <c r="R15" s="2026"/>
      <c r="S15" s="2026"/>
      <c r="T15" s="2026"/>
      <c r="U15" s="2026"/>
      <c r="V15" s="2026"/>
    </row>
    <row r="16" spans="1:22" ht="14.25">
      <c r="A16" s="4120"/>
      <c r="B16" s="4121"/>
      <c r="C16" s="4131"/>
      <c r="D16" s="4132"/>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4</v>
      </c>
      <c r="D17" s="263">
        <f>SUM(D5:D16)</f>
        <v>6</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0.4</v>
      </c>
      <c r="D18" s="265">
        <f>1-C18</f>
        <v>0.6</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112430</v>
      </c>
      <c r="D19" s="269">
        <f ca="1">SUMIF(INDIRECT("'"&amp;D4&amp;"'"&amp;"!A:A"),结果表!B19,INDIRECT("'"&amp;D4&amp;"'"&amp;"!B:B"))</f>
        <v>175512</v>
      </c>
      <c r="E19" s="266" t="s">
        <v>323</v>
      </c>
      <c r="F19" s="267" t="s">
        <v>322</v>
      </c>
      <c r="G19" s="270">
        <f ca="1">ROUND(C19*$C$18+D19*$D$18,0)</f>
        <v>150279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2515</v>
      </c>
      <c r="D20" s="275">
        <f ca="1">SUMIF(INDIRECT("'"&amp;D4&amp;"'"&amp;"!A:A"),结果表!B20,INDIRECT("'"&amp;D4&amp;"'"&amp;"!B:B"))</f>
        <v>3927</v>
      </c>
      <c r="E20" s="272"/>
      <c r="F20" s="273" t="s">
        <v>325</v>
      </c>
      <c r="G20" s="276">
        <f ca="1">ROUND(C20*$C$18+D20*$D$18,0)</f>
        <v>3362</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2741</v>
      </c>
      <c r="D21" s="151">
        <f ca="1">SUMIF(INDIRECT("'"&amp;D4&amp;"'"&amp;"!A:A"),结果表!B21,INDIRECT("'"&amp;D4&amp;"'"&amp;"!B:B"))</f>
        <v>4279</v>
      </c>
      <c r="E21" s="272"/>
      <c r="F21" s="278" t="s">
        <v>327</v>
      </c>
      <c r="G21" s="280">
        <f ca="1">ROUND(C21*$C$18+D21*$D$18,0)</f>
        <v>3664</v>
      </c>
      <c r="H21" s="1249" t="s">
        <v>326</v>
      </c>
      <c r="I21" s="309"/>
      <c r="J21" s="2026"/>
      <c r="K21" s="2026"/>
      <c r="L21" s="2026"/>
      <c r="M21" s="2026"/>
      <c r="N21" s="2026"/>
      <c r="O21" s="2026"/>
      <c r="P21" s="2026"/>
      <c r="Q21" s="2026"/>
      <c r="R21" s="2026"/>
      <c r="S21" s="2026"/>
      <c r="T21" s="2026"/>
      <c r="U21" s="2026"/>
      <c r="V21" s="2026"/>
    </row>
    <row r="22" spans="1:26" ht="15.75" thickBot="1">
      <c r="A22" s="126" t="s">
        <v>328</v>
      </c>
      <c r="B22" s="1250"/>
      <c r="C22" s="1251"/>
      <c r="D22" s="281">
        <f ca="1">IF(C19&lt;D19,D19/C19-1,C19/D19-1)</f>
        <v>0.56107800409143471</v>
      </c>
      <c r="E22" s="282"/>
      <c r="F22" s="283"/>
      <c r="G22" s="284">
        <f ca="1">ROUND(G19/('数据-汇总表'!D3/666.67),0)</f>
        <v>244</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4093"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4135"/>
      <c r="B25" s="1319" t="s">
        <v>331</v>
      </c>
      <c r="C25" s="288">
        <f>IF(B30=0,0,C30)</f>
        <v>0</v>
      </c>
      <c r="D25" s="289"/>
      <c r="E25" s="309"/>
      <c r="F25" s="309"/>
      <c r="G25" s="309"/>
      <c r="H25" s="309"/>
      <c r="I25" s="309"/>
      <c r="J25" s="2026"/>
      <c r="K25" s="1253" t="str">
        <f ca="1">项目基本情况!B16&amp;"国有建设用地使用权价格："&amp;O38&amp;"万元"</f>
        <v>出让国有建设用地使用权价格：150279万元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大写金额：人民币壹拾伍亿零贰佰柒拾玖万元整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单位面积地价：3664元/平方米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楼面地价：3362元/平方米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抵押价格：103279万元</v>
      </c>
      <c r="L29" s="1250"/>
      <c r="M29" s="1250"/>
      <c r="N29" s="1250"/>
      <c r="O29" s="1249"/>
      <c r="P29" s="2026"/>
      <c r="V29" s="2026"/>
    </row>
    <row r="30" spans="1:26" ht="18.75" thickBot="1">
      <c r="A30" s="3155" t="s">
        <v>336</v>
      </c>
      <c r="B30" s="307"/>
      <c r="C30" s="307"/>
      <c r="D30" s="308"/>
      <c r="E30" s="3156" t="s">
        <v>2958</v>
      </c>
      <c r="F30" s="309"/>
      <c r="G30" s="309"/>
      <c r="H30" s="309"/>
      <c r="I30" s="309"/>
      <c r="J30" s="2026"/>
      <c r="K30" s="1256" t="str">
        <f ca="1">IF(K29="——","——","大写金额：人民币"&amp;NUMBERSTRING(INT(O39*10000),2)&amp;"元整")</f>
        <v>大写金额：人民币壹拾亿叁仟贰佰柒拾玖万元整</v>
      </c>
      <c r="L30" s="1250"/>
      <c r="M30" s="1250"/>
      <c r="N30" s="1250"/>
      <c r="O30" s="1249"/>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1688</v>
      </c>
      <c r="C32" s="1380">
        <f ca="1">G19-C24</f>
        <v>150279</v>
      </c>
      <c r="D32" s="1381" t="s">
        <v>1689</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2" t="s">
        <v>1690</v>
      </c>
      <c r="C33" s="262">
        <f ca="1">ROUND(C32*10000/'数据-汇总表'!E3,0)</f>
        <v>3362</v>
      </c>
      <c r="D33" s="1383" t="s">
        <v>1691</v>
      </c>
      <c r="E33" s="4093" t="s">
        <v>338</v>
      </c>
      <c r="F33" s="294" t="s">
        <v>339</v>
      </c>
      <c r="G33" s="295">
        <v>47000</v>
      </c>
      <c r="H33" s="978" t="s">
        <v>4412</v>
      </c>
      <c r="I33" s="1257"/>
      <c r="J33" s="2026"/>
      <c r="K33" s="1256" t="str">
        <f>IF(项目基本情况!E9="——","——","抵押净值："&amp;C46&amp;"万元")</f>
        <v>——</v>
      </c>
      <c r="L33" s="1250"/>
      <c r="M33" s="1250"/>
      <c r="N33" s="1250"/>
      <c r="O33" s="1249"/>
      <c r="P33" s="2026"/>
      <c r="V33" s="2026"/>
    </row>
    <row r="34" spans="1:26" s="1252" customFormat="1" ht="18.75" thickBot="1">
      <c r="A34" s="298"/>
      <c r="B34" s="1384" t="s">
        <v>1692</v>
      </c>
      <c r="C34" s="262">
        <f ca="1">ROUND(C32*10000/'数据-汇总表'!D3,0)</f>
        <v>3664</v>
      </c>
      <c r="D34" s="1385" t="s">
        <v>1691</v>
      </c>
      <c r="E34" s="4094"/>
      <c r="F34" s="127"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244</v>
      </c>
      <c r="D35" s="1388" t="s">
        <v>1693</v>
      </c>
      <c r="E35" s="4095"/>
      <c r="F35" s="299" t="s">
        <v>342</v>
      </c>
      <c r="G35" s="980"/>
      <c r="H35" s="979" t="s">
        <v>343</v>
      </c>
      <c r="I35" s="309"/>
      <c r="J35" s="2026"/>
      <c r="K35" s="4099" t="s">
        <v>350</v>
      </c>
      <c r="L35" s="4099" t="s">
        <v>351</v>
      </c>
      <c r="M35" s="1262" t="s">
        <v>352</v>
      </c>
      <c r="N35" s="4099" t="s">
        <v>353</v>
      </c>
      <c r="O35" s="4099" t="s">
        <v>354</v>
      </c>
      <c r="P35" s="2026"/>
      <c r="V35" s="2026"/>
    </row>
    <row r="36" spans="1:26" ht="16.5" customHeight="1">
      <c r="A36" s="301" t="s">
        <v>344</v>
      </c>
      <c r="B36" s="302" t="s">
        <v>333</v>
      </c>
      <c r="C36" s="303" t="s">
        <v>345</v>
      </c>
      <c r="D36" s="303" t="s">
        <v>346</v>
      </c>
      <c r="E36" s="304" t="s">
        <v>347</v>
      </c>
      <c r="F36" s="309"/>
      <c r="G36" s="309"/>
      <c r="H36" s="309"/>
      <c r="I36" s="309"/>
      <c r="J36" s="2028"/>
      <c r="K36" s="4100"/>
      <c r="L36" s="4100"/>
      <c r="M36" s="1264" t="s">
        <v>355</v>
      </c>
      <c r="N36" s="4100"/>
      <c r="O36" s="4100"/>
      <c r="P36" s="2026"/>
      <c r="V36" s="2026"/>
    </row>
    <row r="37" spans="1:26" ht="16.5" customHeight="1" thickBot="1">
      <c r="A37" s="1258" t="s">
        <v>348</v>
      </c>
      <c r="B37" s="305"/>
      <c r="C37" s="292"/>
      <c r="D37" s="292"/>
      <c r="E37" s="293"/>
      <c r="F37" s="309"/>
      <c r="G37" s="309"/>
      <c r="H37" s="309"/>
      <c r="I37" s="309"/>
      <c r="J37" s="2028"/>
      <c r="K37" s="4101"/>
      <c r="L37" s="4101"/>
      <c r="M37" s="1265"/>
      <c r="N37" s="4101"/>
      <c r="O37" s="4101"/>
      <c r="P37" s="2026"/>
      <c r="V37" s="2026"/>
    </row>
    <row r="38" spans="1:26" ht="16.5" customHeight="1" thickBot="1">
      <c r="A38" s="1258" t="s">
        <v>349</v>
      </c>
      <c r="B38" s="305"/>
      <c r="C38" s="292"/>
      <c r="D38" s="292"/>
      <c r="E38" s="293"/>
      <c r="F38" s="309"/>
      <c r="G38" s="309"/>
      <c r="H38" s="309"/>
      <c r="I38" s="309"/>
      <c r="J38" s="2028"/>
      <c r="K38" s="1266">
        <f>'数据-汇总表'!D3</f>
        <v>410194.62</v>
      </c>
      <c r="L38" s="1267">
        <f>'数据-汇总表'!E3</f>
        <v>446955.26</v>
      </c>
      <c r="M38" s="1267">
        <f ca="1">C34</f>
        <v>3664</v>
      </c>
      <c r="N38" s="1267">
        <f ca="1">C33</f>
        <v>3362</v>
      </c>
      <c r="O38" s="1268">
        <f ca="1">C32</f>
        <v>150279</v>
      </c>
      <c r="P38" s="2026"/>
      <c r="V38" s="2026"/>
    </row>
    <row r="39" spans="1:26" ht="16.5" customHeight="1" thickBot="1">
      <c r="A39" s="1263"/>
      <c r="B39" s="306"/>
      <c r="C39" s="307"/>
      <c r="D39" s="307"/>
      <c r="E39" s="308"/>
      <c r="F39" s="309"/>
      <c r="G39" s="309"/>
      <c r="H39" s="309"/>
      <c r="I39" s="309"/>
      <c r="J39" s="2028"/>
      <c r="K39" s="4076" t="str">
        <f>MID(A44,3,LEN(A44)-2)</f>
        <v>抵押价格</v>
      </c>
      <c r="L39" s="4077"/>
      <c r="M39" s="4077"/>
      <c r="N39" s="4078"/>
      <c r="O39" s="1390">
        <f ca="1">C44</f>
        <v>103279</v>
      </c>
      <c r="P39" s="2026"/>
      <c r="V39" s="2026"/>
    </row>
    <row r="40" spans="1:26" ht="19.5" thickBot="1">
      <c r="A40" s="104" t="s">
        <v>872</v>
      </c>
      <c r="B40" s="309"/>
      <c r="C40" s="309"/>
      <c r="D40" s="309"/>
      <c r="E40" s="309"/>
      <c r="F40" s="309"/>
      <c r="G40" s="309"/>
      <c r="H40" s="309"/>
      <c r="I40" s="309"/>
      <c r="J40" s="2028"/>
      <c r="K40" s="4076" t="str">
        <f t="shared" ref="K40:K41" si="0">MID(A45,3,LEN(A45)-2)</f>
        <v/>
      </c>
      <c r="L40" s="4077"/>
      <c r="M40" s="4077"/>
      <c r="N40" s="4078"/>
      <c r="O40" s="1390" t="str">
        <f>C45</f>
        <v>——</v>
      </c>
      <c r="P40" s="2026"/>
      <c r="V40" s="2026"/>
    </row>
    <row r="41" spans="1:26" ht="16.5" thickBot="1">
      <c r="A41" s="310" t="s">
        <v>356</v>
      </c>
      <c r="B41" s="311"/>
      <c r="C41" s="312" t="s">
        <v>357</v>
      </c>
      <c r="D41" s="313" t="s">
        <v>358</v>
      </c>
      <c r="E41" s="313" t="s">
        <v>359</v>
      </c>
      <c r="F41" s="314" t="s">
        <v>360</v>
      </c>
      <c r="G41" s="309"/>
      <c r="H41" s="309"/>
      <c r="I41" s="309"/>
      <c r="J41" s="2028"/>
      <c r="K41" s="4076" t="str">
        <f t="shared" si="0"/>
        <v/>
      </c>
      <c r="L41" s="4077"/>
      <c r="M41" s="4077"/>
      <c r="N41" s="4078"/>
      <c r="O41" s="1390" t="str">
        <f>C46</f>
        <v>——</v>
      </c>
      <c r="P41" s="2026"/>
      <c r="V41" s="2026"/>
    </row>
    <row r="42" spans="1:26" ht="29.25">
      <c r="A42" s="4136" t="s">
        <v>2069</v>
      </c>
      <c r="B42" s="4137"/>
      <c r="C42" s="262">
        <f ca="1">C32</f>
        <v>150279</v>
      </c>
      <c r="D42" s="315">
        <f ca="1">C33</f>
        <v>3362</v>
      </c>
      <c r="E42" s="315">
        <f ca="1">C34</f>
        <v>3664</v>
      </c>
      <c r="F42" s="316">
        <f ca="1">C35</f>
        <v>244</v>
      </c>
      <c r="G42" s="309"/>
      <c r="H42" s="309"/>
      <c r="I42" s="317"/>
      <c r="J42" s="2028"/>
      <c r="K42" s="1269" t="s">
        <v>361</v>
      </c>
      <c r="L42" s="2045" t="s">
        <v>362</v>
      </c>
      <c r="M42" s="1270" t="s">
        <v>363</v>
      </c>
      <c r="N42" s="2046" t="s">
        <v>364</v>
      </c>
      <c r="O42" s="2047" t="s">
        <v>365</v>
      </c>
      <c r="P42" s="2026"/>
      <c r="V42" s="2026"/>
    </row>
    <row r="43" spans="1:26" ht="45">
      <c r="A43" s="4146" t="s">
        <v>2729</v>
      </c>
      <c r="B43" s="4147"/>
      <c r="C43" s="262">
        <f>IF(H33="正常操作",G33+G34+G35,G34+G35)</f>
        <v>47000</v>
      </c>
      <c r="D43" s="315" t="s">
        <v>43</v>
      </c>
      <c r="E43" s="315" t="s">
        <v>44</v>
      </c>
      <c r="F43" s="316" t="s">
        <v>44</v>
      </c>
      <c r="G43" s="2888" t="s">
        <v>951</v>
      </c>
      <c r="H43" s="309"/>
      <c r="I43" s="317"/>
      <c r="J43" s="2028"/>
      <c r="K43" s="1271" t="str">
        <f>C4</f>
        <v>比较法-住宅、综合（楼面价）</v>
      </c>
      <c r="L43" s="1272">
        <f ca="1">IF(L42="估价结果/万元",C19,C20)</f>
        <v>112430</v>
      </c>
      <c r="M43" s="1273">
        <f>C18</f>
        <v>0.4</v>
      </c>
      <c r="N43" s="1274">
        <f ca="1">IF(N42="测算结果/万元",G19,G20)</f>
        <v>150279</v>
      </c>
      <c r="O43" s="1275">
        <f ca="1">IF(O42="最终结果/万元",C32,C33)</f>
        <v>150279</v>
      </c>
      <c r="P43" s="2026"/>
      <c r="V43" s="2026"/>
    </row>
    <row r="44" spans="1:26" ht="30.75" thickBot="1">
      <c r="A44" s="4136" t="str">
        <f>IF(OR(项目基本情况!E8="抵押价格",项目基本情况!E8="已注销及未注销"),"3.抵押价格","——")</f>
        <v>3.抵押价格</v>
      </c>
      <c r="B44" s="4137"/>
      <c r="C44" s="262">
        <f ca="1">IF(A44="——","——",C42-C43)</f>
        <v>103279</v>
      </c>
      <c r="D44" s="315">
        <f ca="1">ROUND(C44*10000/'数据-汇总表'!E3,0)</f>
        <v>2311</v>
      </c>
      <c r="E44" s="315">
        <f ca="1">ROUND(C44*10000/'数据-汇总表'!D3,0)</f>
        <v>2518</v>
      </c>
      <c r="F44" s="316">
        <f ca="1">ROUND(C44/('数据-汇总表'!D3/666.67),0)</f>
        <v>168</v>
      </c>
      <c r="G44" s="309"/>
      <c r="H44" s="309"/>
      <c r="I44" s="317"/>
      <c r="J44" s="2028"/>
      <c r="K44" s="1276" t="str">
        <f>D4</f>
        <v>剩余法-待开发</v>
      </c>
      <c r="L44" s="1277">
        <f ca="1">IF(L42="估价结果/万元",D19,D20)</f>
        <v>175512</v>
      </c>
      <c r="M44" s="1278">
        <f>D18</f>
        <v>0.6</v>
      </c>
      <c r="N44" s="1279"/>
      <c r="O44" s="1280"/>
      <c r="P44" s="2026"/>
      <c r="V44" s="2026"/>
    </row>
    <row r="45" spans="1:26" ht="15">
      <c r="A45" s="4141" t="str">
        <f>IF(项目基本情况!E8="已注销及未注销","4.抵押担保权已注销时的抵押价格",IF(项目基本情况!E8="已注销","3.抵押担保权已注销时的抵押价格","——"))</f>
        <v>——</v>
      </c>
      <c r="B45" s="4142"/>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4138" t="str">
        <f>IF(项目基本情况!E9="抵押净值",IF(A45="——","4.抵押净值","5.抵押净值"),"——")</f>
        <v>——</v>
      </c>
      <c r="B46" s="4139"/>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本次评估估价师知悉的法定优先受偿款为人民币47000万元整。</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4104" t="s">
        <v>374</v>
      </c>
      <c r="B63" s="4105"/>
      <c r="C63" s="4106"/>
      <c r="D63" s="339">
        <f ca="1">ROUND(C42*F63,0)</f>
        <v>90167</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4143" t="s">
        <v>378</v>
      </c>
      <c r="B64" s="4144"/>
      <c r="C64" s="4144"/>
      <c r="D64" s="4144"/>
      <c r="E64" s="4144"/>
      <c r="F64" s="4144"/>
      <c r="G64" s="4145"/>
      <c r="H64" s="1286"/>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4140" t="s">
        <v>386</v>
      </c>
      <c r="B66" s="4111"/>
      <c r="C66" s="4111"/>
      <c r="D66" s="259">
        <f ca="1">IF(H66="情况1",0,IF(H66="情况2",D70,IF(H66="情况3",D71,IF(H66="情况4",D72))))</f>
        <v>4809</v>
      </c>
      <c r="E66" s="991" t="str">
        <f>IF(H66="情况4","(销售额-原购置价)×税（费）率","销售额×税（费）率")</f>
        <v>销售额×税（费）率</v>
      </c>
      <c r="F66" s="348">
        <f>IF(H66="情况1","免征",'数据-取费表'!B41)</f>
        <v>5.6000000000000001E-2</v>
      </c>
      <c r="G66" s="349" t="s">
        <v>387</v>
      </c>
      <c r="H66" s="191" t="s">
        <v>388</v>
      </c>
      <c r="I66" s="1286"/>
      <c r="J66" s="2032"/>
      <c r="K66" s="1289">
        <v>1</v>
      </c>
      <c r="L66" s="4080" t="s">
        <v>385</v>
      </c>
      <c r="M66" s="4081"/>
      <c r="N66" s="2480"/>
      <c r="O66" s="2481"/>
      <c r="P66" s="2482"/>
      <c r="Q66" s="2026"/>
      <c r="R66" s="2026"/>
      <c r="S66" s="2026"/>
      <c r="T66" s="2026"/>
      <c r="U66" s="2026"/>
      <c r="V66" s="2026"/>
    </row>
    <row r="67" spans="1:22" ht="25.5" customHeight="1">
      <c r="A67" s="350" t="s">
        <v>390</v>
      </c>
      <c r="B67" s="4123" t="s">
        <v>391</v>
      </c>
      <c r="C67" s="4123"/>
      <c r="D67" s="351">
        <v>0</v>
      </c>
      <c r="E67" s="41" t="s">
        <v>392</v>
      </c>
      <c r="F67" s="62" t="s">
        <v>21</v>
      </c>
      <c r="G67" s="4107"/>
      <c r="H67" s="309"/>
      <c r="I67" s="1290"/>
      <c r="J67" s="2033"/>
      <c r="K67" s="1974">
        <v>2</v>
      </c>
      <c r="L67" s="4079" t="s">
        <v>389</v>
      </c>
      <c r="M67" s="4079"/>
      <c r="N67" s="1323">
        <f>'数据-取费表'!B2</f>
        <v>43251</v>
      </c>
      <c r="O67" s="1323"/>
      <c r="P67" s="1323"/>
      <c r="Q67" s="2026"/>
      <c r="R67" s="2026"/>
      <c r="S67" s="2026"/>
      <c r="T67" s="2026"/>
      <c r="U67" s="2026"/>
      <c r="V67" s="2026"/>
    </row>
    <row r="68" spans="1:22" ht="25.5" customHeight="1">
      <c r="A68" s="352"/>
      <c r="B68" s="4123" t="s">
        <v>394</v>
      </c>
      <c r="C68" s="4123"/>
      <c r="D68" s="353"/>
      <c r="E68" s="77"/>
      <c r="F68" s="354"/>
      <c r="G68" s="4108"/>
      <c r="H68" s="309"/>
      <c r="I68" s="1290"/>
      <c r="J68" s="2033"/>
      <c r="K68" s="1974">
        <v>3</v>
      </c>
      <c r="L68" s="4079" t="s">
        <v>393</v>
      </c>
      <c r="M68" s="4079"/>
      <c r="N68" s="1291">
        <f ca="1">C42</f>
        <v>150279</v>
      </c>
      <c r="O68" s="1291"/>
      <c r="P68" s="1291"/>
      <c r="Q68" s="2026"/>
      <c r="R68" s="2026"/>
      <c r="S68" s="2026"/>
      <c r="T68" s="2026"/>
      <c r="U68" s="2026"/>
      <c r="V68" s="2026"/>
    </row>
    <row r="69" spans="1:22" ht="12" customHeight="1">
      <c r="A69" s="355"/>
      <c r="B69" s="4123" t="s">
        <v>395</v>
      </c>
      <c r="C69" s="4123"/>
      <c r="D69" s="356"/>
      <c r="E69" s="73"/>
      <c r="F69" s="354"/>
      <c r="G69" s="4109"/>
      <c r="H69" s="309"/>
      <c r="I69" s="1290"/>
      <c r="J69" s="2033"/>
      <c r="K69" s="1292">
        <v>4</v>
      </c>
      <c r="L69" s="4085" t="s">
        <v>2882</v>
      </c>
      <c r="M69" s="4086"/>
      <c r="N69" s="1293">
        <f ca="1">C44</f>
        <v>103279</v>
      </c>
      <c r="O69" s="1293"/>
      <c r="P69" s="1293"/>
      <c r="Q69" s="2026"/>
      <c r="R69" s="2026"/>
      <c r="S69" s="2026"/>
      <c r="T69" s="2026"/>
      <c r="U69" s="2026"/>
      <c r="V69" s="2026"/>
    </row>
    <row r="70" spans="1:22" ht="24" customHeight="1">
      <c r="A70" s="357" t="s">
        <v>396</v>
      </c>
      <c r="B70" s="4123" t="s">
        <v>397</v>
      </c>
      <c r="C70" s="4123"/>
      <c r="D70" s="356">
        <f ca="1">ROUND(D63*'数据-取费表'!B41/(1+'数据-取费表'!C42),0)</f>
        <v>4809</v>
      </c>
      <c r="E70" s="17" t="s">
        <v>398</v>
      </c>
      <c r="F70" s="358">
        <f>'数据-取费表'!B41</f>
        <v>5.6000000000000001E-2</v>
      </c>
      <c r="G70" s="359"/>
      <c r="H70" s="309"/>
      <c r="I70" s="1290"/>
      <c r="J70" s="2033"/>
      <c r="K70" s="3082"/>
      <c r="L70" s="3083"/>
      <c r="M70" s="3083"/>
      <c r="N70" s="3084" t="s">
        <v>2887</v>
      </c>
      <c r="O70" s="3083"/>
      <c r="P70" s="3085"/>
      <c r="Q70" s="2026"/>
      <c r="R70" s="2026"/>
      <c r="S70" s="2026"/>
      <c r="T70" s="2026"/>
      <c r="U70" s="2026"/>
      <c r="V70" s="2026"/>
    </row>
    <row r="71" spans="1:22" ht="12" customHeight="1">
      <c r="A71" s="357" t="s">
        <v>404</v>
      </c>
      <c r="B71" s="4122" t="s">
        <v>405</v>
      </c>
      <c r="C71" s="4134"/>
      <c r="D71" s="356">
        <f ca="1">ROUND(D63*'数据-取费表'!B41/(1+'数据-取费表'!C42),0)</f>
        <v>4809</v>
      </c>
      <c r="E71" s="17" t="s">
        <v>398</v>
      </c>
      <c r="F71" s="358">
        <f>'数据-取费表'!B41</f>
        <v>5.6000000000000001E-2</v>
      </c>
      <c r="G71" s="359"/>
      <c r="H71" s="309"/>
      <c r="I71" s="1290"/>
      <c r="J71" s="2033"/>
      <c r="K71" s="3081" t="s">
        <v>399</v>
      </c>
      <c r="L71" s="4087" t="s">
        <v>400</v>
      </c>
      <c r="M71" s="4087"/>
      <c r="N71" s="3081" t="s">
        <v>401</v>
      </c>
      <c r="O71" s="3081" t="s">
        <v>402</v>
      </c>
      <c r="P71" s="3081" t="s">
        <v>403</v>
      </c>
      <c r="Q71" s="2026"/>
      <c r="R71" s="2026"/>
      <c r="S71" s="2026"/>
      <c r="T71" s="2026"/>
      <c r="U71" s="2026"/>
      <c r="V71" s="2026"/>
    </row>
    <row r="72" spans="1:22" ht="12" customHeight="1">
      <c r="A72" s="357" t="s">
        <v>407</v>
      </c>
      <c r="B72" s="4122" t="s">
        <v>408</v>
      </c>
      <c r="C72" s="4134"/>
      <c r="D72" s="356">
        <f ca="1">C86</f>
        <v>4697</v>
      </c>
      <c r="E72" s="73" t="s">
        <v>409</v>
      </c>
      <c r="F72" s="358">
        <f>'数据-取费表'!B41</f>
        <v>5.6000000000000001E-2</v>
      </c>
      <c r="G72" s="359"/>
      <c r="H72" s="1296"/>
      <c r="I72" s="1290"/>
      <c r="J72" s="2033"/>
      <c r="K72" s="1974">
        <v>1</v>
      </c>
      <c r="L72" s="4084" t="s">
        <v>406</v>
      </c>
      <c r="M72" s="4084"/>
      <c r="N72" s="1294">
        <f ca="1">D66</f>
        <v>4809</v>
      </c>
      <c r="O72" s="1857" t="str">
        <f>E66</f>
        <v>销售额×税（费）率</v>
      </c>
      <c r="P72" s="1295">
        <f>F66</f>
        <v>5.6000000000000001E-2</v>
      </c>
      <c r="Q72" s="2026"/>
      <c r="R72" s="2026"/>
      <c r="S72" s="2026"/>
      <c r="T72" s="2026"/>
      <c r="U72" s="2026"/>
      <c r="V72" s="2026"/>
    </row>
    <row r="73" spans="1:22" ht="24" customHeight="1">
      <c r="A73" s="4110" t="s">
        <v>411</v>
      </c>
      <c r="B73" s="4111"/>
      <c r="C73" s="4111"/>
      <c r="D73" s="360">
        <f>IF(H73="个人住宅",0,ROUND(D63*I73,0))</f>
        <v>0</v>
      </c>
      <c r="E73" s="17" t="s">
        <v>412</v>
      </c>
      <c r="F73" s="358" t="str">
        <f>IF(H73="正常",I73,"免征")</f>
        <v>免征</v>
      </c>
      <c r="G73" s="359"/>
      <c r="H73" s="191" t="s">
        <v>2455</v>
      </c>
      <c r="I73" s="358">
        <f>'数据-取费表'!B49</f>
        <v>5.0000000000000001E-4</v>
      </c>
      <c r="J73" s="2033"/>
      <c r="K73" s="1974">
        <v>2</v>
      </c>
      <c r="L73" s="4084" t="s">
        <v>410</v>
      </c>
      <c r="M73" s="4084"/>
      <c r="N73" s="1294">
        <f t="shared" ref="N73:P74" si="1">D73</f>
        <v>0</v>
      </c>
      <c r="O73" s="1857" t="str">
        <f t="shared" si="1"/>
        <v>销售额×税（费）率</v>
      </c>
      <c r="P73" s="1295" t="str">
        <f t="shared" si="1"/>
        <v>免征</v>
      </c>
      <c r="Q73" s="2026"/>
      <c r="R73" s="2026"/>
      <c r="S73" s="2026"/>
      <c r="T73" s="2026"/>
      <c r="U73" s="2026"/>
      <c r="V73" s="2026"/>
    </row>
    <row r="74" spans="1:22" ht="24.75">
      <c r="A74" s="4110" t="s">
        <v>415</v>
      </c>
      <c r="B74" s="4111"/>
      <c r="C74" s="4111"/>
      <c r="D74" s="360">
        <f ca="1">IF(H74="个人住宅",D75,D76)</f>
        <v>50379</v>
      </c>
      <c r="E74" s="17" t="s">
        <v>416</v>
      </c>
      <c r="F74" s="358" t="str">
        <f>IF(H74="正常",F76,"免征")</f>
        <v>——</v>
      </c>
      <c r="G74" s="981" t="s">
        <v>417</v>
      </c>
      <c r="H74" s="361" t="s">
        <v>413</v>
      </c>
      <c r="I74" s="42"/>
      <c r="J74" s="2033"/>
      <c r="K74" s="1974">
        <v>3</v>
      </c>
      <c r="L74" s="4084" t="s">
        <v>414</v>
      </c>
      <c r="M74" s="4084"/>
      <c r="N74" s="1294">
        <f t="shared" ca="1" si="1"/>
        <v>50379</v>
      </c>
      <c r="O74" s="1857" t="str">
        <f t="shared" si="1"/>
        <v>增值额×税（费）率</v>
      </c>
      <c r="P74" s="1297" t="str">
        <f t="shared" si="1"/>
        <v>——</v>
      </c>
      <c r="Q74" s="2026"/>
      <c r="R74" s="2026"/>
      <c r="S74" s="2026"/>
      <c r="T74" s="2026"/>
      <c r="U74" s="2026"/>
      <c r="V74" s="2026"/>
    </row>
    <row r="75" spans="1:22" ht="24">
      <c r="A75" s="357" t="s">
        <v>418</v>
      </c>
      <c r="B75" s="4091" t="s">
        <v>419</v>
      </c>
      <c r="C75" s="4092"/>
      <c r="D75" s="362">
        <v>0</v>
      </c>
      <c r="E75" s="41" t="s">
        <v>420</v>
      </c>
      <c r="F75" s="363"/>
      <c r="G75" s="359"/>
      <c r="H75" s="42"/>
      <c r="I75" s="42"/>
      <c r="J75" s="2033"/>
      <c r="K75" s="3074">
        <f>IF(H77="非个人房产","",4)</f>
        <v>4</v>
      </c>
      <c r="L75" s="4084" t="str">
        <f>IF(H77="非个人房产","——","个人所得税")</f>
        <v>个人所得税</v>
      </c>
      <c r="M75" s="4084"/>
      <c r="N75" s="1298">
        <f ca="1">D77</f>
        <v>902</v>
      </c>
      <c r="O75" s="1870" t="str">
        <f>E77</f>
        <v>销售额×税（费）率</v>
      </c>
      <c r="P75" s="1299">
        <f>F77</f>
        <v>0.01</v>
      </c>
      <c r="Q75" s="2026"/>
      <c r="R75" s="2026"/>
      <c r="S75" s="2026"/>
      <c r="T75" s="2026"/>
      <c r="U75" s="2026"/>
      <c r="V75" s="2026"/>
    </row>
    <row r="76" spans="1:22" ht="24.75">
      <c r="A76" s="357" t="s">
        <v>396</v>
      </c>
      <c r="B76" s="4091" t="s">
        <v>422</v>
      </c>
      <c r="C76" s="4133"/>
      <c r="D76" s="360">
        <f ca="1">IF(H76="转让取得",C99,C115)</f>
        <v>50379</v>
      </c>
      <c r="E76" s="17" t="s">
        <v>423</v>
      </c>
      <c r="F76" s="53" t="s">
        <v>21</v>
      </c>
      <c r="G76" s="359"/>
      <c r="H76" s="361" t="s">
        <v>424</v>
      </c>
      <c r="I76" s="42"/>
      <c r="J76" s="2033"/>
      <c r="K76" s="3074" t="str">
        <f>IF(项目基本情况!K6="上海银行",IF(K75="",4,K75+1),"")</f>
        <v/>
      </c>
      <c r="L76" s="4072" t="str">
        <f>IF(项目基本情况!K6="上海银行","其他处置费用","")</f>
        <v/>
      </c>
      <c r="M76" s="4073"/>
      <c r="N76" s="1294" t="str">
        <f>IF(项目基本情况!K6="上海银行",N89,"")</f>
        <v/>
      </c>
      <c r="O76" s="4074" t="str">
        <f>IF(项目基本情况!K6="上海银行","包含处置中涉及的律师、诉讼、拍卖、评估等费用","")</f>
        <v/>
      </c>
      <c r="P76" s="4075"/>
      <c r="Q76" s="2026"/>
      <c r="R76" s="2026"/>
      <c r="S76" s="2026"/>
      <c r="T76" s="2026"/>
      <c r="U76" s="2026"/>
      <c r="V76" s="2026"/>
    </row>
    <row r="77" spans="1:22" ht="26.25" thickBot="1">
      <c r="A77" s="4102" t="s">
        <v>426</v>
      </c>
      <c r="B77" s="4103"/>
      <c r="C77" s="4103"/>
      <c r="D77" s="364">
        <f ca="1">IF(H77="非个人房产","——",IF(H77="个人住宅",0,ROUND(D63*I77,0)))</f>
        <v>902</v>
      </c>
      <c r="E77" s="365" t="str">
        <f>IF(H77="非个人房产","——","销售额×税（费）率")</f>
        <v>销售额×税（费）率</v>
      </c>
      <c r="F77" s="366">
        <f>IF(H77="非个人房产","——",IF(H77="个人住宅","免征",I77))</f>
        <v>0.01</v>
      </c>
      <c r="G77" s="982" t="s">
        <v>417</v>
      </c>
      <c r="H77" s="361" t="s">
        <v>2883</v>
      </c>
      <c r="I77" s="367">
        <v>0.01</v>
      </c>
      <c r="J77" s="2033"/>
      <c r="K77" s="4098">
        <f>IF(AND(K75="",K76=""),4,IF(项目基本情况!K6="上海银行",K76+1,K75+1))</f>
        <v>5</v>
      </c>
      <c r="L77" s="4084" t="s">
        <v>2884</v>
      </c>
      <c r="M77" s="3080" t="s">
        <v>421</v>
      </c>
      <c r="N77" s="1300"/>
      <c r="O77" s="1301">
        <f ca="1">SUMIF(N72:N76,"&lt;9e307")</f>
        <v>56090</v>
      </c>
      <c r="P77" s="1302"/>
      <c r="Q77" s="3078">
        <f ca="1">O77/N69</f>
        <v>0.54309201289710396</v>
      </c>
      <c r="R77" s="2026"/>
      <c r="S77" s="2026"/>
      <c r="T77" s="2026"/>
      <c r="U77" s="2026"/>
      <c r="V77" s="2026"/>
    </row>
    <row r="78" spans="1:22" ht="12" customHeight="1">
      <c r="A78" s="1303"/>
      <c r="B78" s="309"/>
      <c r="C78" s="309"/>
      <c r="D78" s="309"/>
      <c r="E78" s="42"/>
      <c r="F78" s="42"/>
      <c r="G78" s="42"/>
      <c r="H78" s="1001"/>
      <c r="I78" s="309"/>
      <c r="J78" s="2033"/>
      <c r="K78" s="4098"/>
      <c r="L78" s="4084"/>
      <c r="M78" s="3080" t="s">
        <v>425</v>
      </c>
      <c r="N78" s="1300"/>
      <c r="O78" s="1301" t="str">
        <f ca="1">NUMBERSTRING(INT(O77*10000),2)&amp;"元整"</f>
        <v>伍亿陆仟零玖拾万元整</v>
      </c>
      <c r="P78" s="1302"/>
      <c r="Q78" s="2026"/>
      <c r="R78" s="2026"/>
      <c r="S78" s="2026"/>
      <c r="T78" s="2026"/>
      <c r="U78" s="2026"/>
      <c r="V78" s="2026"/>
    </row>
    <row r="79" spans="1:22" ht="13.5" thickBot="1">
      <c r="A79" s="4088" t="s">
        <v>427</v>
      </c>
      <c r="B79" s="4088"/>
      <c r="C79" s="4088"/>
      <c r="D79" s="4088"/>
      <c r="E79" s="4088"/>
      <c r="F79" s="42"/>
      <c r="G79" s="42"/>
      <c r="H79" s="1001"/>
      <c r="I79" s="309"/>
      <c r="J79" s="2033"/>
      <c r="K79" s="4082">
        <f>K77+1</f>
        <v>6</v>
      </c>
      <c r="L79" s="4084" t="s">
        <v>2885</v>
      </c>
      <c r="M79" s="3080" t="s">
        <v>421</v>
      </c>
      <c r="N79" s="1300"/>
      <c r="O79" s="1301">
        <f ca="1">N69-O77</f>
        <v>47189</v>
      </c>
      <c r="P79" s="1302"/>
      <c r="Q79" s="2026"/>
      <c r="R79" s="2026"/>
      <c r="S79" s="2026"/>
      <c r="T79" s="2026"/>
      <c r="U79" s="2026"/>
      <c r="V79" s="2026"/>
    </row>
    <row r="80" spans="1:22" ht="25.5">
      <c r="A80" s="4089" t="s">
        <v>428</v>
      </c>
      <c r="B80" s="4090"/>
      <c r="C80" s="992"/>
      <c r="D80" s="992" t="s">
        <v>429</v>
      </c>
      <c r="E80" s="368" t="s">
        <v>430</v>
      </c>
      <c r="F80" s="42"/>
      <c r="G80" s="42"/>
      <c r="H80" s="1001"/>
      <c r="I80" s="309"/>
      <c r="J80" s="2026"/>
      <c r="K80" s="4083"/>
      <c r="L80" s="4084"/>
      <c r="M80" s="3080" t="s">
        <v>425</v>
      </c>
      <c r="N80" s="1300"/>
      <c r="O80" s="1301" t="str">
        <f ca="1">NUMBERSTRING(INT(O79*10000),2)&amp;"元整"</f>
        <v>肆亿柒仟壹佰捌拾玖万元整</v>
      </c>
      <c r="P80" s="1302"/>
      <c r="Q80" s="2026"/>
      <c r="R80" s="2026"/>
      <c r="S80" s="2026"/>
      <c r="T80" s="2026"/>
      <c r="U80" s="2026"/>
      <c r="V80" s="2026"/>
    </row>
    <row r="81" spans="1:26" ht="13.5" thickBot="1">
      <c r="A81" s="379" t="s">
        <v>1823</v>
      </c>
      <c r="B81" s="369" t="s">
        <v>431</v>
      </c>
      <c r="C81" s="370">
        <f ca="1">ROUND((C82+C83)/(1+'数据-取费表'!C42),0)</f>
        <v>85873</v>
      </c>
      <c r="D81" s="371"/>
      <c r="E81" s="372"/>
      <c r="F81" s="42"/>
      <c r="G81" s="42"/>
      <c r="H81" s="1001"/>
      <c r="I81" s="309"/>
      <c r="J81" s="2026"/>
      <c r="K81" s="3074">
        <f>K79+1</f>
        <v>7</v>
      </c>
      <c r="L81" s="4096" t="s">
        <v>2886</v>
      </c>
      <c r="M81" s="4097"/>
      <c r="N81" s="1304"/>
      <c r="O81" s="1305">
        <f ca="1">ROUND(O79*10000/'数据-汇总表'!E3,0)</f>
        <v>1056</v>
      </c>
      <c r="P81" s="1306"/>
      <c r="Q81" s="2026"/>
      <c r="R81" s="2026"/>
      <c r="S81" s="2026"/>
      <c r="T81" s="2026"/>
      <c r="U81" s="2026"/>
      <c r="V81" s="2026"/>
    </row>
    <row r="82" spans="1:26" ht="13.5" thickTop="1">
      <c r="A82" s="373" t="s">
        <v>1824</v>
      </c>
      <c r="B82" s="374" t="s">
        <v>432</v>
      </c>
      <c r="C82" s="375">
        <f ca="1">D63</f>
        <v>90167</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1"/>
      <c r="I83" s="309"/>
      <c r="J83" s="2026"/>
      <c r="K83" s="4071" t="s">
        <v>2873</v>
      </c>
      <c r="L83" s="3086" t="s">
        <v>2874</v>
      </c>
      <c r="M83" s="3076">
        <f ca="1">IF(N69&gt;10000,N69*0.5%,IF(AND(N69&gt;1000,N69&lt;=10000),N69*1%,IF(AND(N69&gt;100,N69&lt;=1000),N69*3%,IF(AND(N69&gt;10,N69&lt;=100),N69*5%,N69*8%))))</f>
        <v>516.39499999999998</v>
      </c>
      <c r="N83" s="53">
        <f ca="1">ROUND(M83,1)</f>
        <v>516.4</v>
      </c>
      <c r="O83" s="3079"/>
      <c r="P83" s="2026"/>
      <c r="Q83" s="2026"/>
      <c r="R83" s="2026"/>
      <c r="S83" s="2026"/>
      <c r="T83" s="2026"/>
      <c r="U83" s="2026"/>
      <c r="V83" s="2026"/>
    </row>
    <row r="84" spans="1:26" ht="12.75">
      <c r="A84" s="379" t="s">
        <v>1826</v>
      </c>
      <c r="B84" s="380" t="s">
        <v>434</v>
      </c>
      <c r="C84" s="381">
        <v>2000</v>
      </c>
      <c r="D84" s="382" t="s">
        <v>19</v>
      </c>
      <c r="E84" s="3120" t="s">
        <v>2930</v>
      </c>
      <c r="F84" s="42"/>
      <c r="G84" s="42"/>
      <c r="H84" s="1001"/>
      <c r="I84" s="309"/>
      <c r="J84" s="2026"/>
      <c r="K84" s="4071"/>
      <c r="L84" s="3086" t="s">
        <v>2875</v>
      </c>
      <c r="M84" s="3076">
        <f ca="1">IF(N69&gt;2000,N69*0.5%,IF(AND(N69&gt;1000,N69&lt;=2000),N69*0.6%,IF(AND(N69&gt;500,N69&lt;=1000),N69*0.7%,IF(AND(N69&gt;200,N69&lt;=500),N69*0.8%,IF(AND(N69&gt;100,N69&lt;=200),N69*0.9%,IF(AND(N69&gt;50,N69&lt;=100),N69*1%,IF(AND(N69&gt;20,N69&lt;=50),N69*1.5%,IF(AND(N69&gt;10,N69&lt;=20),N69*2%,IF(AND(N69&gt;1,N69&lt;=10),N69*2.5%)))))))))</f>
        <v>516.39499999999998</v>
      </c>
      <c r="N84" s="53">
        <f t="shared" ref="N84:N85" ca="1" si="2">ROUND(M84,1)</f>
        <v>516.4</v>
      </c>
      <c r="O84" s="2026" t="s">
        <v>2876</v>
      </c>
      <c r="P84" s="2026"/>
      <c r="Q84" s="2026"/>
      <c r="R84" s="2026"/>
      <c r="S84" s="2026"/>
      <c r="T84" s="2026"/>
      <c r="U84" s="2026"/>
      <c r="V84" s="2026"/>
    </row>
    <row r="85" spans="1:26" ht="12.75">
      <c r="A85" s="379" t="s">
        <v>1827</v>
      </c>
      <c r="B85" s="380" t="s">
        <v>435</v>
      </c>
      <c r="C85" s="383">
        <f ca="1">C81-C84</f>
        <v>83873</v>
      </c>
      <c r="D85" s="376" t="s">
        <v>19</v>
      </c>
      <c r="E85" s="377"/>
      <c r="F85" s="42"/>
      <c r="G85" s="42"/>
      <c r="H85" s="1001"/>
      <c r="I85" s="309"/>
      <c r="J85" s="2026"/>
      <c r="K85" s="4071"/>
      <c r="L85" s="3086" t="s">
        <v>2877</v>
      </c>
      <c r="M85" s="3076">
        <f ca="1">IF(N69&gt;1000,N69*0.1%,IF(AND(N69&gt;500,N69&lt;=1000),N69*0.5%,IF(AND(N69&gt;50,N69&lt;=500),N69*1%,IF(AND(N69&gt;1,N69&lt;=50),N69*1.5%))))</f>
        <v>103.279</v>
      </c>
      <c r="N85" s="53">
        <f t="shared" ca="1" si="2"/>
        <v>103.3</v>
      </c>
      <c r="O85" s="2026" t="s">
        <v>2876</v>
      </c>
      <c r="P85" s="2026"/>
      <c r="Q85" s="2026"/>
      <c r="R85" s="2026"/>
      <c r="S85" s="2026"/>
      <c r="T85" s="2026"/>
      <c r="U85" s="2026"/>
      <c r="V85" s="2026"/>
    </row>
    <row r="86" spans="1:26" ht="13.5" thickBot="1">
      <c r="A86" s="384" t="s">
        <v>1828</v>
      </c>
      <c r="B86" s="385" t="s">
        <v>436</v>
      </c>
      <c r="C86" s="386">
        <f ca="1">IF(C85&lt;=0,0,ROUND(C85*D86,0))</f>
        <v>4697</v>
      </c>
      <c r="D86" s="387">
        <f>'数据-取费表'!B41</f>
        <v>5.6000000000000001E-2</v>
      </c>
      <c r="E86" s="388"/>
      <c r="F86" s="42"/>
      <c r="G86" s="42"/>
      <c r="H86" s="1001"/>
      <c r="I86" s="309"/>
      <c r="J86" s="2026"/>
      <c r="K86" s="4071"/>
      <c r="L86" s="3086" t="s">
        <v>2878</v>
      </c>
      <c r="M86" s="3076">
        <f ca="1">N69*0.5%</f>
        <v>516.39499999999998</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4071"/>
      <c r="L87" s="3086" t="s">
        <v>2880</v>
      </c>
      <c r="M87" s="3076">
        <f ca="1">IF(N69&gt;=10000,(8.25+(N69-10000)*0.01%),IF(AND(N69&gt;=8000,N69&lt;10000),(7.85+(N69-8000)*0.02%),IF(AND(N69&gt;=5000,N69&lt;8000),(6.65+(N69-5000)*0.04%),IF(AND(N69&gt;=2000,N69&lt;5000),(4.25+(PN69-2000)*0.08%),IF(AND(N69&gt;=1000,N69&lt;2000),(2.75+(N69-1000)*0.15%),IF(AND(N69&gt;=100,N69&lt;1000),(0.5+(N69-100)*0.25%),IF(AND(N69&gt;0,N69&lt;100),N69*0.5%)))))))</f>
        <v>17.5779</v>
      </c>
      <c r="N87" s="53">
        <f ca="1">ROUND(M87*0.9,1)</f>
        <v>15.8</v>
      </c>
      <c r="O87" s="3079"/>
      <c r="P87" s="309"/>
      <c r="Q87" s="2026"/>
      <c r="R87" s="2026"/>
      <c r="S87" s="2026"/>
      <c r="T87" s="2026"/>
      <c r="U87" s="2026"/>
      <c r="V87" s="2026"/>
      <c r="W87" s="290"/>
      <c r="X87" s="290"/>
      <c r="Y87" s="290"/>
      <c r="Z87" s="290"/>
    </row>
    <row r="88" spans="1:26" s="1312" customFormat="1" ht="15" thickBot="1">
      <c r="A88" s="4125" t="s">
        <v>437</v>
      </c>
      <c r="B88" s="4126"/>
      <c r="C88" s="4126"/>
      <c r="D88" s="4126"/>
      <c r="E88" s="4126"/>
      <c r="F88" s="4126"/>
      <c r="G88" s="4126"/>
      <c r="H88" s="4126"/>
      <c r="I88" s="1313"/>
      <c r="J88" s="2034"/>
      <c r="K88" s="4071"/>
      <c r="L88" s="3086" t="s">
        <v>2881</v>
      </c>
      <c r="M88" s="3076">
        <f ca="1">IF(N69&gt;10000,N69*0.5%,IF(AND(N69&gt;5000,N69&lt;=10000),N69*1%,IF(AND(N69&gt;1000,N69&lt;=5000),N69*2%,IF(AND(N69&gt;200,N69&lt;=1000),N69*3%,N69*5%))))</f>
        <v>516.39499999999998</v>
      </c>
      <c r="N88" s="53">
        <f ca="1">ROUND(M88,1)</f>
        <v>516.4</v>
      </c>
      <c r="O88" s="3079"/>
      <c r="P88" s="11"/>
      <c r="Q88" s="2031"/>
      <c r="R88" s="2031"/>
      <c r="S88" s="2031"/>
      <c r="T88" s="2031"/>
      <c r="U88" s="2031"/>
      <c r="V88" s="2031"/>
      <c r="W88" s="2035"/>
      <c r="X88" s="2035"/>
      <c r="Y88" s="2035"/>
      <c r="Z88" s="2035"/>
    </row>
    <row r="89" spans="1:26" s="1312" customFormat="1" ht="14.25">
      <c r="A89" s="4089" t="s">
        <v>428</v>
      </c>
      <c r="B89" s="4090"/>
      <c r="C89" s="992"/>
      <c r="D89" s="992" t="s">
        <v>429</v>
      </c>
      <c r="E89" s="389" t="s">
        <v>438</v>
      </c>
      <c r="F89" s="390"/>
      <c r="G89" s="390"/>
      <c r="H89" s="391"/>
      <c r="I89" s="1314"/>
      <c r="J89" s="2036"/>
      <c r="K89" s="4071"/>
      <c r="L89" s="3086" t="s">
        <v>27</v>
      </c>
      <c r="M89" s="3077"/>
      <c r="N89" s="53">
        <f ca="1">ROUND(SUM(N83:N88),0)</f>
        <v>1669</v>
      </c>
      <c r="O89" s="3087">
        <f ca="1">N89/N69</f>
        <v>1.6160109993319068E-2</v>
      </c>
      <c r="P89" s="2031"/>
      <c r="Q89" s="2031"/>
      <c r="R89" s="2031"/>
      <c r="S89" s="2031"/>
      <c r="T89" s="2031"/>
      <c r="U89" s="2031"/>
      <c r="V89" s="2031"/>
      <c r="W89" s="2035"/>
      <c r="X89" s="2035"/>
      <c r="Y89" s="2035"/>
      <c r="Z89" s="2035"/>
    </row>
    <row r="90" spans="1:26" s="1312" customFormat="1" ht="14.25">
      <c r="A90" s="379" t="s">
        <v>1823</v>
      </c>
      <c r="B90" s="380" t="s">
        <v>439</v>
      </c>
      <c r="C90" s="383">
        <f ca="1">ROUND(D63/(1+'数据-取费表'!C42),0)</f>
        <v>85873</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440</v>
      </c>
      <c r="C91" s="383">
        <f ca="1">C92+C96</f>
        <v>3076</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446</v>
      </c>
      <c r="C94" s="376">
        <f>IF(F93="购房发票",ROUND(C93*H93*5%,0),0)</f>
        <v>500</v>
      </c>
      <c r="D94" s="399">
        <v>0.05</v>
      </c>
      <c r="E94" s="4122" t="s">
        <v>447</v>
      </c>
      <c r="F94" s="4123"/>
      <c r="G94" s="4123"/>
      <c r="H94" s="4124"/>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2429</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450</v>
      </c>
      <c r="C96" s="403">
        <f ca="1">ROUND(D63*D96/(1+'数据-取费表'!C42),0)</f>
        <v>515</v>
      </c>
      <c r="D96" s="404">
        <f>'数据-取费表'!B43</f>
        <v>6.000000000000001E-3</v>
      </c>
      <c r="E96" s="4112" t="s">
        <v>2428</v>
      </c>
      <c r="F96" s="4113"/>
      <c r="G96" s="4113"/>
      <c r="H96" s="4114"/>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4" t="s">
        <v>1835</v>
      </c>
      <c r="B97" s="380" t="s">
        <v>451</v>
      </c>
      <c r="C97" s="383">
        <f ca="1">C90-C91</f>
        <v>82797</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4" t="s">
        <v>1836</v>
      </c>
      <c r="B98" s="380" t="s">
        <v>452</v>
      </c>
      <c r="C98" s="405">
        <f ca="1">IF(C97&lt;=0,0,C97/C91)</f>
        <v>26.91710013003901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5" t="s">
        <v>1837</v>
      </c>
      <c r="B99" s="385" t="s">
        <v>453</v>
      </c>
      <c r="C99" s="406">
        <f ca="1">ROUND(IF(C97&lt;=0,0,IF(C98&gt;=200%,C97*60%-C91*35%,IF(C98&gt;=100%,C97*50%-C91*15%,IF(C98&gt;=50%,C97*40%-C91*5%,IF(C98&lt;50%,C97*30%,0))))),0)</f>
        <v>48602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4125" t="s">
        <v>454</v>
      </c>
      <c r="B101" s="4126"/>
      <c r="C101" s="4126"/>
      <c r="D101" s="4126"/>
      <c r="E101" s="4126"/>
      <c r="F101" s="4126"/>
      <c r="G101" s="4126"/>
      <c r="H101" s="4126"/>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4089" t="s">
        <v>428</v>
      </c>
      <c r="B102" s="4090"/>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439</v>
      </c>
      <c r="C103" s="383">
        <f ca="1">ROUND(D63/(1+'数据-取费表'!C42),0)</f>
        <v>85873</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440</v>
      </c>
      <c r="C104" s="383">
        <f ca="1">IF(H106="仅含出让金",C105+C108+C109+C110+C111+C112,C105+C109+C110+C111+C112)</f>
        <v>1205</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456</v>
      </c>
      <c r="C106" s="414">
        <v>555</v>
      </c>
      <c r="D106" s="404"/>
      <c r="E106" s="415" t="s">
        <v>457</v>
      </c>
      <c r="F106" s="984"/>
      <c r="G106" s="416" t="s">
        <v>458</v>
      </c>
      <c r="H106" s="417"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6" t="s">
        <v>1838</v>
      </c>
      <c r="B109" s="374" t="s">
        <v>461</v>
      </c>
      <c r="C109" s="403">
        <f>IF(H109="——",IF(F1="现房",'剩余法-现房'!C18,'剩余法-待开发'!C18),I109)</f>
        <v>55</v>
      </c>
      <c r="D109" s="404"/>
      <c r="E109" s="4115" t="s">
        <v>462</v>
      </c>
      <c r="F109" s="4113"/>
      <c r="G109" s="4113"/>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6" t="s">
        <v>1839</v>
      </c>
      <c r="B110" s="374" t="s">
        <v>463</v>
      </c>
      <c r="C110" s="403">
        <f>ROUND((C105+C108+C109)*D110,0)</f>
        <v>63</v>
      </c>
      <c r="D110" s="404">
        <v>0.1</v>
      </c>
      <c r="E110" s="4115" t="s">
        <v>464</v>
      </c>
      <c r="F110" s="4113"/>
      <c r="G110" s="4113"/>
      <c r="H110" s="4114"/>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6" t="s">
        <v>1840</v>
      </c>
      <c r="B111" s="374" t="s">
        <v>450</v>
      </c>
      <c r="C111" s="403">
        <f ca="1">ROUND(D63*D111/(1+'数据-取费表'!C42),0)</f>
        <v>515</v>
      </c>
      <c r="D111" s="404">
        <f>'数据-取费表'!B43</f>
        <v>6.000000000000001E-3</v>
      </c>
      <c r="E111" s="4112" t="s">
        <v>2428</v>
      </c>
      <c r="F111" s="4113"/>
      <c r="G111" s="4113"/>
      <c r="H111" s="4114"/>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6" t="s">
        <v>1841</v>
      </c>
      <c r="B112" s="374" t="s">
        <v>465</v>
      </c>
      <c r="C112" s="403">
        <f>ROUND(C108*D112,0)</f>
        <v>0</v>
      </c>
      <c r="D112" s="404">
        <v>0.2</v>
      </c>
      <c r="E112" s="4115" t="s">
        <v>2453</v>
      </c>
      <c r="F112" s="4113"/>
      <c r="G112" s="4113"/>
      <c r="H112" s="4114"/>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4" t="s">
        <v>1835</v>
      </c>
      <c r="B113" s="380" t="s">
        <v>451</v>
      </c>
      <c r="C113" s="383">
        <f ca="1">ROUND(C103-C104,0)</f>
        <v>84668</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4" t="s">
        <v>1836</v>
      </c>
      <c r="B114" s="380" t="s">
        <v>452</v>
      </c>
      <c r="C114" s="405">
        <f ca="1">IF(C113&lt;=0,0,C113/C104)</f>
        <v>70.263900414937766</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5" t="s">
        <v>1837</v>
      </c>
      <c r="B115" s="385" t="s">
        <v>453</v>
      </c>
      <c r="C115" s="406">
        <f ca="1">ROUND(IF(C113&lt;=0,0,IF(C114&gt;=200%,C113*60%-C104*35%,IF(C114&gt;=100%,C113*50%-C104*15%,IF(C114&gt;=50%,C113*40%-C104*5%,IF(C114&lt;50%,C113*30%,0))))),0)</f>
        <v>50379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 zoomScale="80" zoomScaleNormal="95" zoomScaleSheetLayoutView="80" workbookViewId="0">
      <selection activeCell="H12" sqref="H12"/>
    </sheetView>
  </sheetViews>
  <sheetFormatPr defaultRowHeight="14.25"/>
  <cols>
    <col min="1" max="1" width="15.625" style="3543" customWidth="1"/>
    <col min="2" max="2" width="15.75" style="3543" customWidth="1"/>
    <col min="3" max="3" width="24.625" style="3543" customWidth="1"/>
    <col min="4" max="4" width="8.625" style="3543" customWidth="1"/>
    <col min="5" max="5" width="24.625" style="3543" customWidth="1"/>
    <col min="6" max="6" width="8.625" style="3543" customWidth="1"/>
    <col min="7" max="7" width="24.625" style="3543" customWidth="1"/>
    <col min="8" max="8" width="8.625" style="3543" customWidth="1"/>
    <col min="9" max="9" width="24.625" style="3543" customWidth="1"/>
    <col min="10" max="10" width="8.625" style="3543" customWidth="1"/>
    <col min="11" max="11" width="8.625" style="3893" customWidth="1"/>
    <col min="12" max="12" width="12.25" style="3894" customWidth="1"/>
    <col min="13" max="15" width="12.25" style="3543" customWidth="1"/>
    <col min="16" max="16" width="4.75" style="3543" customWidth="1"/>
    <col min="17" max="17" width="19.5" style="3543" customWidth="1"/>
    <col min="18" max="22" width="6.125" style="3543" customWidth="1"/>
    <col min="23" max="23" width="5.75" style="3543" customWidth="1"/>
    <col min="24" max="24" width="4.25" style="3543" customWidth="1"/>
    <col min="25" max="25" width="3.5" style="3543" customWidth="1"/>
    <col min="26" max="26" width="19.75" style="3543" customWidth="1"/>
    <col min="27" max="28" width="9.375" style="3543" customWidth="1"/>
    <col min="29" max="16384" width="9" style="3543"/>
  </cols>
  <sheetData>
    <row r="1" spans="1:30" s="3521" customFormat="1" ht="28.5" customHeight="1">
      <c r="A1" s="3509" t="s">
        <v>4561</v>
      </c>
      <c r="B1" s="3510"/>
      <c r="C1" s="3511" t="s">
        <v>4562</v>
      </c>
      <c r="D1" s="3512" t="s">
        <v>4563</v>
      </c>
      <c r="E1" s="3513"/>
      <c r="F1" s="3514"/>
      <c r="G1" s="3513"/>
      <c r="H1" s="3513"/>
      <c r="I1" s="3513"/>
      <c r="J1" s="3513"/>
      <c r="K1" s="3515"/>
      <c r="L1" s="3516"/>
      <c r="M1" s="3517"/>
      <c r="N1" s="3517"/>
      <c r="O1" s="3517"/>
      <c r="P1" s="3518"/>
      <c r="Q1" s="3518"/>
      <c r="R1" s="3518"/>
      <c r="S1" s="3518"/>
      <c r="T1" s="3518"/>
      <c r="U1" s="3518"/>
      <c r="V1" s="3518"/>
      <c r="W1" s="3518"/>
      <c r="X1" s="3518"/>
      <c r="Y1" s="3518"/>
      <c r="Z1" s="3518"/>
      <c r="AA1" s="3518"/>
      <c r="AB1" s="3518"/>
      <c r="AC1" s="3519"/>
      <c r="AD1" s="3520"/>
    </row>
    <row r="2" spans="1:30" s="3521" customFormat="1" ht="28.5" customHeight="1">
      <c r="A2" s="421" t="s">
        <v>4564</v>
      </c>
      <c r="B2" s="3522">
        <f>F68</f>
        <v>112430</v>
      </c>
      <c r="C2" s="3523"/>
      <c r="D2" s="3523"/>
      <c r="E2" s="3524"/>
      <c r="F2" s="3525"/>
      <c r="G2" s="3524"/>
      <c r="H2" s="3524"/>
      <c r="I2" s="3524"/>
      <c r="J2" s="3524"/>
      <c r="K2" s="3526"/>
      <c r="L2" s="3527"/>
      <c r="M2" s="3528"/>
      <c r="N2" s="3528"/>
      <c r="O2" s="3528"/>
      <c r="P2" s="3518"/>
      <c r="Q2" s="3518"/>
      <c r="R2" s="3518"/>
      <c r="S2" s="3518"/>
      <c r="T2" s="3518"/>
      <c r="U2" s="3518"/>
      <c r="V2" s="3518"/>
      <c r="W2" s="3518"/>
      <c r="X2" s="3518"/>
      <c r="Y2" s="3518"/>
      <c r="Z2" s="3518"/>
      <c r="AA2" s="3518"/>
      <c r="AB2" s="3518"/>
      <c r="AC2" s="3519"/>
      <c r="AD2" s="3520"/>
    </row>
    <row r="3" spans="1:30" s="3521" customFormat="1" ht="28.5" customHeight="1">
      <c r="A3" s="1377" t="s">
        <v>4565</v>
      </c>
      <c r="B3" s="3529">
        <f>ROUND(B2*10000/'[1]数据-汇总表'!E3,0)</f>
        <v>2515</v>
      </c>
      <c r="C3" s="3530"/>
      <c r="D3" s="3531"/>
      <c r="E3" s="3530"/>
      <c r="F3" s="3530"/>
      <c r="G3" s="3524"/>
      <c r="H3" s="3524"/>
      <c r="I3" s="3524"/>
      <c r="J3" s="3524"/>
      <c r="K3" s="3526"/>
      <c r="L3" s="3527"/>
      <c r="M3" s="3528"/>
      <c r="N3" s="3528"/>
      <c r="O3" s="3528"/>
      <c r="P3" s="3518"/>
      <c r="Q3" s="3518"/>
      <c r="R3" s="3518"/>
      <c r="S3" s="3518"/>
      <c r="T3" s="3518"/>
      <c r="U3" s="3518"/>
      <c r="V3" s="3518"/>
      <c r="W3" s="3518"/>
      <c r="X3" s="3518"/>
      <c r="Y3" s="3518"/>
      <c r="Z3" s="3518"/>
      <c r="AA3" s="3518"/>
      <c r="AB3" s="3532"/>
      <c r="AC3" s="3514"/>
    </row>
    <row r="4" spans="1:30" s="3521" customFormat="1" ht="28.5" customHeight="1">
      <c r="A4" s="3533" t="s">
        <v>4566</v>
      </c>
      <c r="B4" s="3534">
        <f>IF(B48="单位面积地价",C50,ROUND(B2*10000/'[1]数据-汇总表'!D3,0))</f>
        <v>2741</v>
      </c>
      <c r="C4" s="3530"/>
      <c r="D4" s="3531"/>
      <c r="E4" s="3530"/>
      <c r="F4" s="3530"/>
      <c r="G4" s="3524"/>
      <c r="H4" s="3524"/>
      <c r="I4" s="3524"/>
      <c r="J4" s="3524"/>
      <c r="K4" s="3526"/>
      <c r="L4" s="3527"/>
      <c r="M4" s="3528"/>
      <c r="N4" s="3528"/>
      <c r="O4" s="3528"/>
      <c r="P4" s="3518"/>
      <c r="Q4" s="3518"/>
      <c r="R4" s="3518"/>
      <c r="S4" s="3518"/>
      <c r="T4" s="3518"/>
      <c r="U4" s="3518"/>
      <c r="V4" s="3518"/>
      <c r="W4" s="3518"/>
      <c r="X4" s="3518"/>
      <c r="Y4" s="3518"/>
      <c r="Z4" s="3518"/>
      <c r="AA4" s="3518"/>
      <c r="AB4" s="3518"/>
      <c r="AC4" s="3514"/>
    </row>
    <row r="5" spans="1:30" s="3521" customFormat="1" ht="28.5" customHeight="1" thickBot="1">
      <c r="A5" s="427"/>
      <c r="B5" s="3535">
        <f>ROUND(B2/('[1]数据-汇总表'!D3/666.67),0)</f>
        <v>183</v>
      </c>
      <c r="C5" s="3536" t="s">
        <v>4567</v>
      </c>
      <c r="D5" s="3530"/>
      <c r="E5" s="3530"/>
      <c r="F5" s="3530"/>
      <c r="G5" s="3524"/>
      <c r="H5" s="3524"/>
      <c r="I5" s="3524"/>
      <c r="J5" s="3524"/>
      <c r="K5" s="3526"/>
      <c r="L5" s="3527"/>
      <c r="M5" s="3528"/>
      <c r="N5" s="3528"/>
      <c r="O5" s="3528"/>
      <c r="P5" s="3518"/>
      <c r="Q5" s="3518"/>
      <c r="R5" s="3518"/>
      <c r="S5" s="3518"/>
      <c r="T5" s="3518"/>
      <c r="U5" s="3518"/>
      <c r="V5" s="3518"/>
      <c r="W5" s="3518"/>
      <c r="X5" s="3518"/>
      <c r="Y5" s="3518"/>
      <c r="Z5" s="3518"/>
      <c r="AA5" s="3518"/>
      <c r="AB5" s="3518"/>
      <c r="AC5" s="3514"/>
    </row>
    <row r="6" spans="1:30" ht="20.25">
      <c r="A6" s="3537" t="s">
        <v>4568</v>
      </c>
      <c r="B6" s="3538"/>
      <c r="C6" s="4180" t="s">
        <v>4569</v>
      </c>
      <c r="D6" s="4181"/>
      <c r="E6" s="4180" t="s">
        <v>4570</v>
      </c>
      <c r="F6" s="4181"/>
      <c r="G6" s="4180" t="s">
        <v>4571</v>
      </c>
      <c r="H6" s="4181"/>
      <c r="I6" s="4180" t="s">
        <v>4572</v>
      </c>
      <c r="J6" s="4181"/>
      <c r="K6" s="3539" t="s">
        <v>4573</v>
      </c>
      <c r="L6" s="3540"/>
      <c r="M6" s="3528"/>
      <c r="N6" s="3528"/>
      <c r="O6" s="3541"/>
      <c r="P6" s="4182" t="s">
        <v>4574</v>
      </c>
      <c r="Q6" s="4183"/>
      <c r="R6" s="4171" t="s">
        <v>4570</v>
      </c>
      <c r="S6" s="4172"/>
      <c r="T6" s="4171" t="s">
        <v>4571</v>
      </c>
      <c r="U6" s="4172"/>
      <c r="V6" s="4160" t="s">
        <v>4572</v>
      </c>
      <c r="W6" s="4160"/>
      <c r="X6" s="3542"/>
      <c r="Y6" s="4171" t="s">
        <v>4574</v>
      </c>
      <c r="Z6" s="4172"/>
      <c r="AA6" s="4177" t="s">
        <v>4570</v>
      </c>
      <c r="AB6" s="4178" t="s">
        <v>4571</v>
      </c>
      <c r="AC6" s="4177" t="s">
        <v>4572</v>
      </c>
    </row>
    <row r="7" spans="1:30" ht="39" customHeight="1">
      <c r="A7" s="3544"/>
      <c r="B7" s="3545"/>
      <c r="C7" s="4188" t="s">
        <v>4575</v>
      </c>
      <c r="D7" s="4189"/>
      <c r="E7" s="4188" t="str">
        <f>住宅用地案例!A12</f>
        <v>都江堰市银杏街道王家桥社区</v>
      </c>
      <c r="F7" s="4189"/>
      <c r="G7" s="4188" t="str">
        <f>住宅用地案例!A16</f>
        <v>都江堰市银杏街道宁江社区</v>
      </c>
      <c r="H7" s="4189"/>
      <c r="I7" s="4188" t="str">
        <f>住宅用地案例!A18</f>
        <v>都江堰市银杏街道王家桥社区</v>
      </c>
      <c r="J7" s="4189"/>
      <c r="K7" s="3539"/>
      <c r="L7" s="3540"/>
      <c r="M7" s="3528"/>
      <c r="N7" s="3528"/>
      <c r="O7" s="3541"/>
      <c r="P7" s="4184"/>
      <c r="Q7" s="4185"/>
      <c r="R7" s="4173"/>
      <c r="S7" s="4174"/>
      <c r="T7" s="4173"/>
      <c r="U7" s="4174"/>
      <c r="V7" s="4160"/>
      <c r="W7" s="4160"/>
      <c r="X7" s="3542"/>
      <c r="Y7" s="4173"/>
      <c r="Z7" s="4174"/>
      <c r="AA7" s="4178"/>
      <c r="AB7" s="4178"/>
      <c r="AC7" s="4178"/>
    </row>
    <row r="8" spans="1:30" ht="21" thickBot="1">
      <c r="A8" s="3544"/>
      <c r="B8" s="3545"/>
      <c r="C8" s="4166" t="s">
        <v>4576</v>
      </c>
      <c r="D8" s="4167"/>
      <c r="E8" s="4166" t="str">
        <f>住宅用地案例!F12</f>
        <v>DJY2017-26(0701/05)</v>
      </c>
      <c r="F8" s="4167"/>
      <c r="G8" s="4168" t="str">
        <f>住宅用地案例!F16</f>
        <v>DJY2017-02(252/211)</v>
      </c>
      <c r="H8" s="4169"/>
      <c r="I8" s="4168" t="str">
        <f>住宅用地案例!F18</f>
        <v>DJY2016-31(252/211)</v>
      </c>
      <c r="J8" s="4169"/>
      <c r="K8" s="3539" t="s">
        <v>4577</v>
      </c>
      <c r="L8" s="3540"/>
      <c r="M8" s="3528"/>
      <c r="N8" s="3528"/>
      <c r="O8" s="3541"/>
      <c r="P8" s="4186"/>
      <c r="Q8" s="4187"/>
      <c r="R8" s="4173"/>
      <c r="S8" s="4174"/>
      <c r="T8" s="4175"/>
      <c r="U8" s="4176"/>
      <c r="V8" s="4160"/>
      <c r="W8" s="4160"/>
      <c r="X8" s="3542"/>
      <c r="Y8" s="4175"/>
      <c r="Z8" s="4176"/>
      <c r="AA8" s="4179"/>
      <c r="AB8" s="4179"/>
      <c r="AC8" s="4179"/>
    </row>
    <row r="9" spans="1:30" s="3560" customFormat="1" ht="21" thickBot="1">
      <c r="A9" s="3546"/>
      <c r="B9" s="3547" t="s">
        <v>4578</v>
      </c>
      <c r="C9" s="3548">
        <f>'[1]数据-取费表'!B2</f>
        <v>43251</v>
      </c>
      <c r="D9" s="3549">
        <v>100</v>
      </c>
      <c r="E9" s="3550" t="str">
        <f>住宅用地案例!L12</f>
        <v>2018-01-02</v>
      </c>
      <c r="F9" s="3551">
        <f>SUMIF(72:72,YEAR(E9)&amp;"-"&amp;INT((MONTH(E9)+2)/3),73:73)</f>
        <v>99</v>
      </c>
      <c r="G9" s="3552" t="str">
        <f>住宅用地案例!L16</f>
        <v>2017-09-05</v>
      </c>
      <c r="H9" s="3549">
        <f>SUMIF(72:72,YEAR(G9)&amp;"-"&amp;INT((MONTH(G9)+2)/3),73:73)</f>
        <v>97</v>
      </c>
      <c r="I9" s="3552" t="str">
        <f>住宅用地案例!L18</f>
        <v>2017-06-22</v>
      </c>
      <c r="J9" s="3549">
        <f>SUMIF(72:72,YEAR(I9)&amp;"-"&amp;INT((MONTH(I9)+2)/3),73:73)</f>
        <v>96</v>
      </c>
      <c r="K9" s="3553"/>
      <c r="L9" s="3554"/>
      <c r="M9" s="3528"/>
      <c r="N9" s="3528"/>
      <c r="O9" s="3555"/>
      <c r="P9" s="4161" t="s">
        <v>4579</v>
      </c>
      <c r="Q9" s="4170"/>
      <c r="R9" s="3556" t="s">
        <v>4580</v>
      </c>
      <c r="S9" s="3557">
        <f t="shared" ref="S9:S17" si="0">F9</f>
        <v>99</v>
      </c>
      <c r="T9" s="3556" t="s">
        <v>4580</v>
      </c>
      <c r="U9" s="3557">
        <f t="shared" ref="U9:U17" si="1">H9</f>
        <v>97</v>
      </c>
      <c r="V9" s="3556" t="s">
        <v>4580</v>
      </c>
      <c r="W9" s="3557">
        <f t="shared" ref="W9:W17" si="2">J9</f>
        <v>96</v>
      </c>
      <c r="X9" s="3558"/>
      <c r="Y9" s="4161" t="s">
        <v>4581</v>
      </c>
      <c r="Z9" s="4162"/>
      <c r="AA9" s="3559">
        <f>D9/F9</f>
        <v>1.0101010101010102</v>
      </c>
      <c r="AB9" s="3559">
        <f>D9/H9</f>
        <v>1.0309278350515463</v>
      </c>
      <c r="AC9" s="3559">
        <f>D9/J9</f>
        <v>1.0416666666666667</v>
      </c>
    </row>
    <row r="10" spans="1:30" s="3560" customFormat="1" ht="21" thickBot="1">
      <c r="A10" s="3561"/>
      <c r="B10" s="3562" t="s">
        <v>4582</v>
      </c>
      <c r="C10" s="3563" t="s">
        <v>532</v>
      </c>
      <c r="D10" s="3549">
        <v>100</v>
      </c>
      <c r="E10" s="3564" t="s">
        <v>4357</v>
      </c>
      <c r="F10" s="3551">
        <f>SUMIF(75:75,E10,76:76)-SUMIF(75:75,C10,76:76)+100</f>
        <v>100</v>
      </c>
      <c r="G10" s="3564" t="s">
        <v>4357</v>
      </c>
      <c r="H10" s="3549">
        <f>SUMIF(75:75,G10,76:76)-SUMIF(75:75,C10,76:76)+100</f>
        <v>100</v>
      </c>
      <c r="I10" s="3564" t="s">
        <v>4357</v>
      </c>
      <c r="J10" s="3549">
        <f>SUMIF(75:75,I10,76:76)-SUMIF(75:75,C10,76:76)+100</f>
        <v>100</v>
      </c>
      <c r="K10" s="3553"/>
      <c r="L10" s="3554"/>
      <c r="M10" s="3528"/>
      <c r="N10" s="3528"/>
      <c r="O10" s="3555"/>
      <c r="P10" s="4161" t="s">
        <v>4583</v>
      </c>
      <c r="Q10" s="4162"/>
      <c r="R10" s="3556" t="s">
        <v>4584</v>
      </c>
      <c r="S10" s="3557">
        <f t="shared" si="0"/>
        <v>100</v>
      </c>
      <c r="T10" s="3556" t="s">
        <v>4584</v>
      </c>
      <c r="U10" s="3557">
        <f t="shared" si="1"/>
        <v>100</v>
      </c>
      <c r="V10" s="3556" t="s">
        <v>4584</v>
      </c>
      <c r="W10" s="3557">
        <f t="shared" si="2"/>
        <v>100</v>
      </c>
      <c r="X10" s="3558"/>
      <c r="Y10" s="4161" t="s">
        <v>4583</v>
      </c>
      <c r="Z10" s="4162"/>
      <c r="AA10" s="3559">
        <f t="shared" ref="AA10:AA47" si="3">D10/F10</f>
        <v>1</v>
      </c>
      <c r="AB10" s="3559">
        <f t="shared" ref="AB10:AB47" si="4">D10/H10</f>
        <v>1</v>
      </c>
      <c r="AC10" s="3559">
        <f t="shared" ref="AC10:AC47" si="5">D10/J10</f>
        <v>1</v>
      </c>
    </row>
    <row r="11" spans="1:30" s="3560" customFormat="1" ht="20.25">
      <c r="A11" s="3565"/>
      <c r="B11" s="3566" t="s">
        <v>4585</v>
      </c>
      <c r="C11" s="3567" t="s">
        <v>4694</v>
      </c>
      <c r="D11" s="3568">
        <v>100</v>
      </c>
      <c r="E11" s="3900" t="s">
        <v>3053</v>
      </c>
      <c r="F11" s="3568">
        <f>SUMIF(77:77,E11,78:78)-SUMIF(77:77,C11,78:78)+100</f>
        <v>100</v>
      </c>
      <c r="G11" s="3900" t="s">
        <v>3099</v>
      </c>
      <c r="H11" s="3568">
        <f>SUMIF(77:77,G11,78:78)-SUMIF(77:77,C11,78:78)+100</f>
        <v>100</v>
      </c>
      <c r="I11" s="3569" t="s">
        <v>3099</v>
      </c>
      <c r="J11" s="3568">
        <f>SUMIF(77:77,I11,78:78)-SUMIF(77:77,C11,78:78)+100</f>
        <v>100</v>
      </c>
      <c r="K11" s="3553"/>
      <c r="L11" s="3554"/>
      <c r="M11" s="3528"/>
      <c r="N11" s="3528"/>
      <c r="O11" s="3570"/>
      <c r="P11" s="4153" t="s">
        <v>4586</v>
      </c>
      <c r="Q11" s="3571" t="str">
        <f t="shared" ref="Q11:Q17" si="6">B11</f>
        <v>用途</v>
      </c>
      <c r="R11" s="3556" t="s">
        <v>4587</v>
      </c>
      <c r="S11" s="3557">
        <f t="shared" si="0"/>
        <v>100</v>
      </c>
      <c r="T11" s="3556" t="s">
        <v>4587</v>
      </c>
      <c r="U11" s="3557">
        <f t="shared" si="1"/>
        <v>100</v>
      </c>
      <c r="V11" s="3556" t="s">
        <v>4587</v>
      </c>
      <c r="W11" s="3557">
        <f t="shared" si="2"/>
        <v>100</v>
      </c>
      <c r="X11" s="3558"/>
      <c r="Y11" s="4163" t="s">
        <v>4588</v>
      </c>
      <c r="Z11" s="3572" t="str">
        <f t="shared" ref="Z11:Z17" si="7">Q11</f>
        <v>用途</v>
      </c>
      <c r="AA11" s="3559">
        <f t="shared" si="3"/>
        <v>1</v>
      </c>
      <c r="AB11" s="3559">
        <f t="shared" si="4"/>
        <v>1</v>
      </c>
      <c r="AC11" s="3559">
        <f t="shared" si="5"/>
        <v>1</v>
      </c>
    </row>
    <row r="12" spans="1:30" s="3582" customFormat="1" ht="27">
      <c r="A12" s="3573"/>
      <c r="B12" s="3562" t="s">
        <v>4589</v>
      </c>
      <c r="C12" s="3574">
        <f>[1]项目基本情况!D19</f>
        <v>63.79</v>
      </c>
      <c r="D12" s="3575">
        <v>100</v>
      </c>
      <c r="E12" s="3576" t="s">
        <v>4590</v>
      </c>
      <c r="F12" s="3577">
        <f>ROUND(100/'数据-取费表'!G16,0)</f>
        <v>104</v>
      </c>
      <c r="G12" s="3578" t="s">
        <v>4590</v>
      </c>
      <c r="H12" s="3575">
        <f>F12</f>
        <v>104</v>
      </c>
      <c r="I12" s="3578" t="s">
        <v>4590</v>
      </c>
      <c r="J12" s="3575">
        <f>F12</f>
        <v>104</v>
      </c>
      <c r="K12" s="3579"/>
      <c r="L12" s="3580"/>
      <c r="M12" s="3528"/>
      <c r="N12" s="3528"/>
      <c r="O12" s="3581"/>
      <c r="P12" s="4153"/>
      <c r="Q12" s="3571" t="str">
        <f t="shared" si="6"/>
        <v>土地使用年限（年）</v>
      </c>
      <c r="R12" s="3556" t="s">
        <v>4591</v>
      </c>
      <c r="S12" s="3557">
        <f t="shared" si="0"/>
        <v>104</v>
      </c>
      <c r="T12" s="3556" t="s">
        <v>4591</v>
      </c>
      <c r="U12" s="3557">
        <f t="shared" si="1"/>
        <v>104</v>
      </c>
      <c r="V12" s="3556" t="s">
        <v>4591</v>
      </c>
      <c r="W12" s="3557">
        <f t="shared" si="2"/>
        <v>104</v>
      </c>
      <c r="X12" s="3558"/>
      <c r="Y12" s="4163"/>
      <c r="Z12" s="3572" t="str">
        <f t="shared" si="7"/>
        <v>土地使用年限（年）</v>
      </c>
      <c r="AA12" s="3559">
        <f t="shared" si="3"/>
        <v>0.96153846153846156</v>
      </c>
      <c r="AB12" s="3559">
        <f t="shared" si="4"/>
        <v>0.96153846153846156</v>
      </c>
      <c r="AC12" s="3559">
        <f t="shared" si="5"/>
        <v>0.96153846153846156</v>
      </c>
    </row>
    <row r="13" spans="1:30" ht="20.25">
      <c r="A13" s="3583"/>
      <c r="B13" s="3562" t="s">
        <v>4592</v>
      </c>
      <c r="C13" s="3584">
        <v>1.1000000000000001</v>
      </c>
      <c r="D13" s="3575">
        <v>100</v>
      </c>
      <c r="E13" s="3585">
        <v>1.6</v>
      </c>
      <c r="F13" s="3575">
        <f>LOOKUP(E13,82:82,83:83)-LOOKUP(C13,82:82,83:83)+100</f>
        <v>80</v>
      </c>
      <c r="G13" s="3584">
        <v>1.8</v>
      </c>
      <c r="H13" s="3575">
        <f>LOOKUP(G13,82:82,83:83)-LOOKUP(C13,82:82,83:83)+100</f>
        <v>80</v>
      </c>
      <c r="I13" s="3585">
        <v>1.6</v>
      </c>
      <c r="J13" s="3575">
        <f>LOOKUP(I13,82:82,83:83)-LOOKUP(C13,82:82,83:83)+100</f>
        <v>80</v>
      </c>
      <c r="K13" s="3586">
        <v>20</v>
      </c>
      <c r="L13" s="3587"/>
      <c r="M13" s="3528"/>
      <c r="N13" s="3528"/>
      <c r="O13" s="3588"/>
      <c r="P13" s="4153"/>
      <c r="Q13" s="3571" t="str">
        <f t="shared" si="6"/>
        <v>容积率</v>
      </c>
      <c r="R13" s="3556" t="s">
        <v>4591</v>
      </c>
      <c r="S13" s="3557">
        <f t="shared" si="0"/>
        <v>80</v>
      </c>
      <c r="T13" s="3556" t="s">
        <v>4591</v>
      </c>
      <c r="U13" s="3557">
        <f t="shared" si="1"/>
        <v>80</v>
      </c>
      <c r="V13" s="3556" t="s">
        <v>4591</v>
      </c>
      <c r="W13" s="3557">
        <f t="shared" si="2"/>
        <v>80</v>
      </c>
      <c r="X13" s="3558"/>
      <c r="Y13" s="4163"/>
      <c r="Z13" s="3572" t="str">
        <f t="shared" si="7"/>
        <v>容积率</v>
      </c>
      <c r="AA13" s="3559">
        <f t="shared" si="3"/>
        <v>1.25</v>
      </c>
      <c r="AB13" s="3559">
        <f t="shared" si="4"/>
        <v>1.25</v>
      </c>
      <c r="AC13" s="3559">
        <f t="shared" si="5"/>
        <v>1.25</v>
      </c>
    </row>
    <row r="14" spans="1:30" s="3560" customFormat="1" ht="42">
      <c r="A14" s="3561"/>
      <c r="B14" s="3589" t="s">
        <v>4593</v>
      </c>
      <c r="C14" s="3897" t="s">
        <v>4689</v>
      </c>
      <c r="D14" s="3590">
        <v>100</v>
      </c>
      <c r="E14" s="3591" t="s">
        <v>4594</v>
      </c>
      <c r="F14" s="3575">
        <f>SUMIF(84:84,E14,85:85)-SUMIF(84:84,C14,85:85)+100</f>
        <v>100</v>
      </c>
      <c r="G14" s="3592" t="s">
        <v>4696</v>
      </c>
      <c r="H14" s="3575">
        <f>SUMIF(84:84,G14,85:85)-SUMIF(84:84,C14,85:85)+100</f>
        <v>100</v>
      </c>
      <c r="I14" s="3592" t="s">
        <v>4697</v>
      </c>
      <c r="J14" s="3575">
        <f>SUMIF(84:84,I14,85:85)-SUMIF(84:84,C14,85:85)+100</f>
        <v>100</v>
      </c>
      <c r="K14" s="3579"/>
      <c r="L14" s="3554"/>
      <c r="M14" s="3528"/>
      <c r="N14" s="3528"/>
      <c r="O14" s="3570"/>
      <c r="P14" s="4153"/>
      <c r="Q14" s="3571" t="str">
        <f t="shared" si="6"/>
        <v>配建</v>
      </c>
      <c r="R14" s="3556" t="s">
        <v>4591</v>
      </c>
      <c r="S14" s="3557">
        <f t="shared" si="0"/>
        <v>100</v>
      </c>
      <c r="T14" s="3556" t="s">
        <v>4591</v>
      </c>
      <c r="U14" s="3557">
        <f t="shared" si="1"/>
        <v>100</v>
      </c>
      <c r="V14" s="3556" t="s">
        <v>4591</v>
      </c>
      <c r="W14" s="3557">
        <f t="shared" si="2"/>
        <v>100</v>
      </c>
      <c r="X14" s="3558"/>
      <c r="Y14" s="4163"/>
      <c r="Z14" s="3572" t="str">
        <f t="shared" si="7"/>
        <v>配建</v>
      </c>
      <c r="AA14" s="3559">
        <f>D14/F14</f>
        <v>1</v>
      </c>
      <c r="AB14" s="3559">
        <f>D14/H14</f>
        <v>1</v>
      </c>
      <c r="AC14" s="3559">
        <f>D14/J14</f>
        <v>1</v>
      </c>
    </row>
    <row r="15" spans="1:30" ht="20.25">
      <c r="A15" s="3593"/>
      <c r="B15" s="3594"/>
      <c r="C15" s="3595"/>
      <c r="D15" s="3596">
        <v>100</v>
      </c>
      <c r="E15" s="3592" t="s">
        <v>4595</v>
      </c>
      <c r="F15" s="3575">
        <f>SUMIF(86:86,E15,87:87)-SUMIF(86:86,C15,87:87)+100</f>
        <v>100</v>
      </c>
      <c r="G15" s="3592" t="s">
        <v>4595</v>
      </c>
      <c r="H15" s="3596">
        <f>SUMIF(86:86,G15,87:87)-SUMIF(86:86,C15,87:87)+100</f>
        <v>100</v>
      </c>
      <c r="I15" s="3592" t="s">
        <v>4595</v>
      </c>
      <c r="J15" s="3596">
        <f>SUMIF(86:86,I15,87:87)-SUMIF(86:86,C15,87:87)+100</f>
        <v>100</v>
      </c>
      <c r="K15" s="3579"/>
      <c r="L15" s="3597"/>
      <c r="M15" s="3528"/>
      <c r="N15" s="3528"/>
      <c r="O15" s="3588"/>
      <c r="P15" s="4153"/>
      <c r="Q15" s="3571">
        <f t="shared" si="6"/>
        <v>0</v>
      </c>
      <c r="R15" s="3556" t="s">
        <v>4591</v>
      </c>
      <c r="S15" s="3557">
        <f t="shared" si="0"/>
        <v>100</v>
      </c>
      <c r="T15" s="3556" t="s">
        <v>4591</v>
      </c>
      <c r="U15" s="3557">
        <f t="shared" si="1"/>
        <v>100</v>
      </c>
      <c r="V15" s="3556" t="s">
        <v>4591</v>
      </c>
      <c r="W15" s="3557">
        <f t="shared" si="2"/>
        <v>100</v>
      </c>
      <c r="X15" s="3558"/>
      <c r="Y15" s="4163"/>
      <c r="Z15" s="3572">
        <f t="shared" si="7"/>
        <v>0</v>
      </c>
      <c r="AA15" s="3559">
        <f>D15/F15</f>
        <v>1</v>
      </c>
      <c r="AB15" s="3559">
        <f>D15/H15</f>
        <v>1</v>
      </c>
      <c r="AC15" s="3559">
        <f>D15/J15</f>
        <v>1</v>
      </c>
    </row>
    <row r="16" spans="1:30" ht="21" thickBot="1">
      <c r="A16" s="3598"/>
      <c r="B16" s="3599" t="s">
        <v>4596</v>
      </c>
      <c r="C16" s="3600" t="s">
        <v>4685</v>
      </c>
      <c r="D16" s="3601">
        <v>100</v>
      </c>
      <c r="E16" s="3600" t="s">
        <v>4688</v>
      </c>
      <c r="F16" s="3601">
        <f>SUMIF(88:88,E16,89:89)-SUMIF(88:88,C16,89:89)+100</f>
        <v>110</v>
      </c>
      <c r="G16" s="3600" t="s">
        <v>4688</v>
      </c>
      <c r="H16" s="3601">
        <f>SUMIF(88:88,G16,89:89)-SUMIF(88:88,C16,89:89)+100</f>
        <v>110</v>
      </c>
      <c r="I16" s="3600" t="s">
        <v>4688</v>
      </c>
      <c r="J16" s="3601">
        <f>SUMIF(88:88,I16,89:89)-SUMIF(88:88,C16,89:89)+100</f>
        <v>110</v>
      </c>
      <c r="K16" s="3579"/>
      <c r="L16" s="3597"/>
      <c r="M16" s="3528"/>
      <c r="N16" s="3528"/>
      <c r="O16" s="3588"/>
      <c r="P16" s="4153"/>
      <c r="Q16" s="3571" t="str">
        <f t="shared" si="6"/>
        <v>商业比</v>
      </c>
      <c r="R16" s="3556" t="s">
        <v>4591</v>
      </c>
      <c r="S16" s="3557">
        <f t="shared" si="0"/>
        <v>110</v>
      </c>
      <c r="T16" s="3556" t="s">
        <v>4591</v>
      </c>
      <c r="U16" s="3557">
        <f t="shared" si="1"/>
        <v>110</v>
      </c>
      <c r="V16" s="3556" t="s">
        <v>4591</v>
      </c>
      <c r="W16" s="3557">
        <f t="shared" si="2"/>
        <v>110</v>
      </c>
      <c r="X16" s="3558"/>
      <c r="Y16" s="4163"/>
      <c r="Z16" s="3572" t="str">
        <f t="shared" si="7"/>
        <v>商业比</v>
      </c>
      <c r="AA16" s="3559">
        <f>D16/F16</f>
        <v>0.90909090909090906</v>
      </c>
      <c r="AB16" s="3559">
        <f>D16/H16</f>
        <v>0.90909090909090906</v>
      </c>
      <c r="AC16" s="3559">
        <f>D16/J16</f>
        <v>0.90909090909090906</v>
      </c>
    </row>
    <row r="17" spans="1:29" ht="57">
      <c r="A17" s="3602" t="s">
        <v>4597</v>
      </c>
      <c r="B17" s="3603" t="s">
        <v>295</v>
      </c>
      <c r="C17" s="3604" t="str">
        <f>[1]估价对象房地状况!C15</f>
        <v>估价对象周边居住用地比例、居住小区规模和社区发展完善程度，综合评价居住社区成熟度一般</v>
      </c>
      <c r="D17" s="3605">
        <v>100</v>
      </c>
      <c r="E17" s="3606"/>
      <c r="F17" s="3607">
        <f>SUMIF(90:90,E18,91:91)-SUMIF(90:90,C18,91:91)+100</f>
        <v>103</v>
      </c>
      <c r="G17" s="3608"/>
      <c r="H17" s="3607">
        <f>SUMIF(90:90,G18,91:91)-SUMIF(90:90,C18,91:91)+100</f>
        <v>103</v>
      </c>
      <c r="I17" s="3606"/>
      <c r="J17" s="3607">
        <f>SUMIF(90:90,I18,91:91)-SUMIF(90:90,C18,91:91)+100</f>
        <v>103</v>
      </c>
      <c r="K17" s="3586">
        <v>3</v>
      </c>
      <c r="L17" s="3597"/>
      <c r="M17" s="3528"/>
      <c r="N17" s="3528"/>
      <c r="O17" s="3588"/>
      <c r="P17" s="4164" t="s">
        <v>4598</v>
      </c>
      <c r="Q17" s="3609" t="str">
        <f t="shared" si="6"/>
        <v>居住社区成熟度</v>
      </c>
      <c r="R17" s="3610" t="s">
        <v>4587</v>
      </c>
      <c r="S17" s="3611">
        <f t="shared" si="0"/>
        <v>103</v>
      </c>
      <c r="T17" s="3610" t="s">
        <v>4587</v>
      </c>
      <c r="U17" s="3611">
        <f t="shared" si="1"/>
        <v>103</v>
      </c>
      <c r="V17" s="3610" t="s">
        <v>4587</v>
      </c>
      <c r="W17" s="3611">
        <f t="shared" si="2"/>
        <v>103</v>
      </c>
      <c r="X17" s="3542"/>
      <c r="Y17" s="4164" t="s">
        <v>4598</v>
      </c>
      <c r="Z17" s="3612" t="str">
        <f t="shared" si="7"/>
        <v>居住社区成熟度</v>
      </c>
      <c r="AA17" s="3613">
        <f t="shared" si="3"/>
        <v>0.970873786407767</v>
      </c>
      <c r="AB17" s="3613">
        <f t="shared" si="4"/>
        <v>0.970873786407767</v>
      </c>
      <c r="AC17" s="3613">
        <f t="shared" si="5"/>
        <v>0.970873786407767</v>
      </c>
    </row>
    <row r="18" spans="1:29" ht="20.25">
      <c r="A18" s="3614"/>
      <c r="B18" s="3615"/>
      <c r="C18" s="3616" t="s">
        <v>4360</v>
      </c>
      <c r="D18" s="3617"/>
      <c r="E18" s="3618" t="s">
        <v>4361</v>
      </c>
      <c r="F18" s="3619"/>
      <c r="G18" s="3620" t="s">
        <v>4361</v>
      </c>
      <c r="H18" s="3621"/>
      <c r="I18" s="3618" t="s">
        <v>4361</v>
      </c>
      <c r="J18" s="3619"/>
      <c r="K18" s="3579"/>
      <c r="L18" s="3597"/>
      <c r="M18" s="3528"/>
      <c r="N18" s="3528"/>
      <c r="O18" s="3588"/>
      <c r="P18" s="4165"/>
      <c r="Q18" s="3609"/>
      <c r="R18" s="3610"/>
      <c r="S18" s="3611"/>
      <c r="T18" s="3610"/>
      <c r="U18" s="3611"/>
      <c r="V18" s="3610"/>
      <c r="W18" s="3611"/>
      <c r="X18" s="3542"/>
      <c r="Y18" s="4165"/>
      <c r="Z18" s="3612"/>
      <c r="AA18" s="3613">
        <v>1</v>
      </c>
      <c r="AB18" s="3613">
        <v>1</v>
      </c>
      <c r="AC18" s="3613">
        <v>1</v>
      </c>
    </row>
    <row r="19" spans="1:29" ht="42.75">
      <c r="A19" s="3614"/>
      <c r="B19" s="3622" t="s">
        <v>4599</v>
      </c>
      <c r="C19" s="3623" t="str">
        <f>[1]估价对象房地状况!C16</f>
        <v>估价对象位于XX商圈，周边商业氛围成熟，人流量大，商业繁华度好</v>
      </c>
      <c r="D19" s="3624">
        <v>100</v>
      </c>
      <c r="E19" s="3625"/>
      <c r="F19" s="3621">
        <f>SUMIF(92:92,E20,93:93)-SUMIF(92:92,C20,93:93)+100</f>
        <v>102</v>
      </c>
      <c r="G19" s="3626"/>
      <c r="H19" s="3627">
        <f>SUMIF(92:92,G20,93:93)-SUMIF(92:92,C20,93:93)+100</f>
        <v>102</v>
      </c>
      <c r="I19" s="3625"/>
      <c r="J19" s="3627">
        <f>SUMIF(92:92,I20,93:93)-SUMIF(92:92,C20,93:93)+100</f>
        <v>102</v>
      </c>
      <c r="K19" s="3586">
        <v>2</v>
      </c>
      <c r="L19" s="3597"/>
      <c r="M19" s="3528"/>
      <c r="N19" s="3528"/>
      <c r="O19" s="3588"/>
      <c r="P19" s="4165"/>
      <c r="Q19" s="3609" t="str">
        <f>B19</f>
        <v>商业繁华度</v>
      </c>
      <c r="R19" s="3610" t="s">
        <v>4587</v>
      </c>
      <c r="S19" s="3611">
        <f>F19</f>
        <v>102</v>
      </c>
      <c r="T19" s="3610" t="s">
        <v>4600</v>
      </c>
      <c r="U19" s="3611">
        <f>H19</f>
        <v>102</v>
      </c>
      <c r="V19" s="3610" t="s">
        <v>4587</v>
      </c>
      <c r="W19" s="3611">
        <f>J19</f>
        <v>102</v>
      </c>
      <c r="X19" s="3542"/>
      <c r="Y19" s="4165"/>
      <c r="Z19" s="3612" t="str">
        <f>Q19</f>
        <v>商业繁华度</v>
      </c>
      <c r="AA19" s="3613">
        <f t="shared" si="3"/>
        <v>0.98039215686274506</v>
      </c>
      <c r="AB19" s="3613">
        <f t="shared" si="4"/>
        <v>0.98039215686274506</v>
      </c>
      <c r="AC19" s="3613">
        <f t="shared" si="5"/>
        <v>0.98039215686274506</v>
      </c>
    </row>
    <row r="20" spans="1:29" ht="20.25">
      <c r="A20" s="3614"/>
      <c r="B20" s="3628"/>
      <c r="C20" s="3629" t="s">
        <v>4360</v>
      </c>
      <c r="D20" s="3624"/>
      <c r="E20" s="3630" t="s">
        <v>4361</v>
      </c>
      <c r="F20" s="3621"/>
      <c r="G20" s="3631" t="s">
        <v>4361</v>
      </c>
      <c r="H20" s="3619"/>
      <c r="I20" s="3630" t="s">
        <v>4361</v>
      </c>
      <c r="J20" s="3619"/>
      <c r="K20" s="3579"/>
      <c r="L20" s="3597"/>
      <c r="M20" s="3528"/>
      <c r="N20" s="3528"/>
      <c r="O20" s="3588"/>
      <c r="P20" s="4165"/>
      <c r="Q20" s="3609"/>
      <c r="R20" s="3610"/>
      <c r="S20" s="3611"/>
      <c r="T20" s="3610"/>
      <c r="U20" s="3611"/>
      <c r="V20" s="3610"/>
      <c r="W20" s="3611"/>
      <c r="X20" s="3542"/>
      <c r="Y20" s="4165"/>
      <c r="Z20" s="3612"/>
      <c r="AA20" s="3613">
        <v>1</v>
      </c>
      <c r="AB20" s="3613">
        <v>1</v>
      </c>
      <c r="AC20" s="3613">
        <v>1</v>
      </c>
    </row>
    <row r="21" spans="1:29" ht="42.75" hidden="1">
      <c r="A21" s="3614"/>
      <c r="B21" s="3622" t="s">
        <v>585</v>
      </c>
      <c r="C21" s="3623" t="str">
        <f>[1]估价对象房地状况!C17</f>
        <v>估价对象位于XX商圈，周边办公楼项目较多，入驻率高，办公集聚程度较好</v>
      </c>
      <c r="D21" s="3632">
        <v>100</v>
      </c>
      <c r="E21" s="3633"/>
      <c r="F21" s="3627">
        <f>SUMIF(94:94,E22,95:95)-SUMIF(94:94,C22,95:95)+100</f>
        <v>100</v>
      </c>
      <c r="G21" s="3634"/>
      <c r="H21" s="3621">
        <f>SUMIF(94:94,G22,95:95)-SUMIF(94:94,C22,95:95)+100</f>
        <v>100</v>
      </c>
      <c r="I21" s="3633"/>
      <c r="J21" s="3621">
        <f>SUMIF(94:94,I22,95:95)-SUMIF(94:94,C22,95:95)+100</f>
        <v>100</v>
      </c>
      <c r="K21" s="3586"/>
      <c r="L21" s="3597"/>
      <c r="M21" s="3528"/>
      <c r="N21" s="3528"/>
      <c r="O21" s="3588"/>
      <c r="P21" s="4165"/>
      <c r="Q21" s="3609" t="str">
        <f>B21</f>
        <v>办公集聚程度</v>
      </c>
      <c r="R21" s="3610" t="s">
        <v>4587</v>
      </c>
      <c r="S21" s="3611">
        <f>F21</f>
        <v>100</v>
      </c>
      <c r="T21" s="3610" t="s">
        <v>4600</v>
      </c>
      <c r="U21" s="3611">
        <f>H21</f>
        <v>100</v>
      </c>
      <c r="V21" s="3610" t="s">
        <v>4587</v>
      </c>
      <c r="W21" s="3611">
        <f>J21</f>
        <v>100</v>
      </c>
      <c r="X21" s="3542"/>
      <c r="Y21" s="4165"/>
      <c r="Z21" s="3612" t="str">
        <f>Q21</f>
        <v>办公集聚程度</v>
      </c>
      <c r="AA21" s="3613">
        <f t="shared" si="3"/>
        <v>1</v>
      </c>
      <c r="AB21" s="3613">
        <f t="shared" si="4"/>
        <v>1</v>
      </c>
      <c r="AC21" s="3613">
        <f t="shared" si="5"/>
        <v>1</v>
      </c>
    </row>
    <row r="22" spans="1:29" ht="20.25" hidden="1">
      <c r="A22" s="3614"/>
      <c r="B22" s="3628"/>
      <c r="C22" s="3616"/>
      <c r="D22" s="3617"/>
      <c r="E22" s="3618"/>
      <c r="F22" s="3619"/>
      <c r="G22" s="3620"/>
      <c r="H22" s="3619"/>
      <c r="I22" s="3618"/>
      <c r="J22" s="3619"/>
      <c r="K22" s="3579"/>
      <c r="L22" s="3597"/>
      <c r="M22" s="3528"/>
      <c r="N22" s="3528"/>
      <c r="O22" s="3588"/>
      <c r="P22" s="4165"/>
      <c r="Q22" s="3609"/>
      <c r="R22" s="3610"/>
      <c r="S22" s="3611"/>
      <c r="T22" s="3610"/>
      <c r="U22" s="3611"/>
      <c r="V22" s="3610"/>
      <c r="W22" s="3611"/>
      <c r="X22" s="3542"/>
      <c r="Y22" s="4165"/>
      <c r="Z22" s="3612"/>
      <c r="AA22" s="3613">
        <v>1</v>
      </c>
      <c r="AB22" s="3613">
        <v>1</v>
      </c>
      <c r="AC22" s="3613">
        <v>1</v>
      </c>
    </row>
    <row r="23" spans="1:29" ht="57">
      <c r="A23" s="3614"/>
      <c r="B23" s="3622" t="s">
        <v>4601</v>
      </c>
      <c r="C23" s="3635" t="str">
        <f>[1]估价对象房地状况!C18</f>
        <v>估价对象周边道路状况、公共交通通达情况、停车便捷程度，综合评价交通便捷度较好</v>
      </c>
      <c r="D23" s="3624">
        <v>100</v>
      </c>
      <c r="E23" s="3625"/>
      <c r="F23" s="3627">
        <f>SUMIF(96:96,E24,97:97)-SUMIF(96:96,C24,97:97)+100</f>
        <v>100</v>
      </c>
      <c r="G23" s="3626"/>
      <c r="H23" s="3621">
        <f>SUMIF(96:96,G24,97:97)-SUMIF(96:96,C24,97:97)+100</f>
        <v>100</v>
      </c>
      <c r="I23" s="3625"/>
      <c r="J23" s="3621">
        <f>SUMIF(96:96,I24,97:97)-SUMIF(96:96,C24,97:97)+100</f>
        <v>100</v>
      </c>
      <c r="K23" s="3586">
        <v>3</v>
      </c>
      <c r="L23" s="3597"/>
      <c r="M23" s="3528"/>
      <c r="N23" s="3528"/>
      <c r="O23" s="3588"/>
      <c r="P23" s="4165"/>
      <c r="Q23" s="3609" t="str">
        <f>B23</f>
        <v>交通便捷度</v>
      </c>
      <c r="R23" s="3610" t="s">
        <v>4587</v>
      </c>
      <c r="S23" s="3611">
        <f>F23</f>
        <v>100</v>
      </c>
      <c r="T23" s="3610" t="s">
        <v>4587</v>
      </c>
      <c r="U23" s="3611">
        <f>H23</f>
        <v>100</v>
      </c>
      <c r="V23" s="3610" t="s">
        <v>4600</v>
      </c>
      <c r="W23" s="3611">
        <f>J23</f>
        <v>100</v>
      </c>
      <c r="X23" s="3542"/>
      <c r="Y23" s="4165"/>
      <c r="Z23" s="3612" t="str">
        <f>Q23</f>
        <v>交通便捷度</v>
      </c>
      <c r="AA23" s="3613">
        <f t="shared" si="3"/>
        <v>1</v>
      </c>
      <c r="AB23" s="3613">
        <f t="shared" si="4"/>
        <v>1</v>
      </c>
      <c r="AC23" s="3613">
        <f t="shared" si="5"/>
        <v>1</v>
      </c>
    </row>
    <row r="24" spans="1:29" ht="20.25">
      <c r="A24" s="3614"/>
      <c r="B24" s="3603"/>
      <c r="C24" s="3616" t="s">
        <v>4361</v>
      </c>
      <c r="D24" s="3617"/>
      <c r="E24" s="3618" t="s">
        <v>4361</v>
      </c>
      <c r="F24" s="3619"/>
      <c r="G24" s="3618" t="s">
        <v>4361</v>
      </c>
      <c r="H24" s="3619"/>
      <c r="I24" s="3618" t="s">
        <v>4361</v>
      </c>
      <c r="J24" s="3619"/>
      <c r="K24" s="3579"/>
      <c r="L24" s="3597"/>
      <c r="M24" s="3528"/>
      <c r="N24" s="3528"/>
      <c r="O24" s="3588"/>
      <c r="P24" s="4165"/>
      <c r="Q24" s="3609"/>
      <c r="R24" s="3610"/>
      <c r="S24" s="3611"/>
      <c r="T24" s="3610"/>
      <c r="U24" s="3611"/>
      <c r="V24" s="3610"/>
      <c r="W24" s="3611"/>
      <c r="X24" s="3542"/>
      <c r="Y24" s="4165"/>
      <c r="Z24" s="3612"/>
      <c r="AA24" s="3613">
        <v>1</v>
      </c>
      <c r="AB24" s="3613">
        <v>1</v>
      </c>
      <c r="AC24" s="3613">
        <v>1</v>
      </c>
    </row>
    <row r="25" spans="1:29" ht="27">
      <c r="A25" s="3544"/>
      <c r="B25" s="3636" t="s">
        <v>587</v>
      </c>
      <c r="C25" s="3635">
        <f>[1]估价对象房地状况!C19</f>
        <v>0</v>
      </c>
      <c r="D25" s="3624">
        <v>100</v>
      </c>
      <c r="E25" s="3625"/>
      <c r="F25" s="3627">
        <f>SUMIF(98:98,E26,99:99)-SUMIF(98:98,C26,99:99)+100</f>
        <v>100</v>
      </c>
      <c r="G25" s="3625"/>
      <c r="H25" s="3621">
        <f>SUMIF(98:98,G26,99:99)-SUMIF(98:98,C26,99:99)+100</f>
        <v>100</v>
      </c>
      <c r="I25" s="3625"/>
      <c r="J25" s="3621">
        <f>SUMIF(98:98,I26,99:99)-SUMIF(98:98,C26,99:99)+100</f>
        <v>100</v>
      </c>
      <c r="K25" s="3586">
        <v>5</v>
      </c>
      <c r="L25" s="3597"/>
      <c r="M25" s="3528"/>
      <c r="N25" s="3528"/>
      <c r="O25" s="3588"/>
      <c r="P25" s="4165"/>
      <c r="Q25" s="3609" t="str">
        <f t="shared" ref="Q25:Q39" si="8">B25</f>
        <v>区域土地利用方向</v>
      </c>
      <c r="R25" s="3610" t="s">
        <v>4587</v>
      </c>
      <c r="S25" s="3611">
        <f>F25</f>
        <v>100</v>
      </c>
      <c r="T25" s="3610" t="s">
        <v>4587</v>
      </c>
      <c r="U25" s="3611">
        <f>H25</f>
        <v>100</v>
      </c>
      <c r="V25" s="3610" t="s">
        <v>4600</v>
      </c>
      <c r="W25" s="3611">
        <f>J25</f>
        <v>100</v>
      </c>
      <c r="X25" s="3542"/>
      <c r="Y25" s="4165"/>
      <c r="Z25" s="3612" t="str">
        <f>Q25</f>
        <v>区域土地利用方向</v>
      </c>
      <c r="AA25" s="3613">
        <f t="shared" si="3"/>
        <v>1</v>
      </c>
      <c r="AB25" s="3613">
        <f t="shared" si="4"/>
        <v>1</v>
      </c>
      <c r="AC25" s="3613">
        <f t="shared" si="5"/>
        <v>1</v>
      </c>
    </row>
    <row r="26" spans="1:29" ht="20.25">
      <c r="A26" s="3544"/>
      <c r="B26" s="3637"/>
      <c r="C26" s="3616" t="s">
        <v>4362</v>
      </c>
      <c r="D26" s="3617"/>
      <c r="E26" s="3618" t="s">
        <v>4362</v>
      </c>
      <c r="F26" s="3619"/>
      <c r="G26" s="3618" t="s">
        <v>4362</v>
      </c>
      <c r="H26" s="3619"/>
      <c r="I26" s="3618" t="s">
        <v>4362</v>
      </c>
      <c r="J26" s="3619"/>
      <c r="K26" s="3579"/>
      <c r="L26" s="3597"/>
      <c r="M26" s="3528"/>
      <c r="N26" s="3528"/>
      <c r="O26" s="3588"/>
      <c r="P26" s="4165"/>
      <c r="Q26" s="3609"/>
      <c r="R26" s="3610"/>
      <c r="S26" s="3611"/>
      <c r="T26" s="3610"/>
      <c r="U26" s="3611"/>
      <c r="V26" s="3610"/>
      <c r="W26" s="3611"/>
      <c r="X26" s="3542"/>
      <c r="Y26" s="4165"/>
      <c r="Z26" s="3612"/>
      <c r="AA26" s="3613"/>
      <c r="AB26" s="3613"/>
      <c r="AC26" s="3613"/>
    </row>
    <row r="27" spans="1:29" ht="28.5">
      <c r="A27" s="3544"/>
      <c r="B27" s="3603" t="s">
        <v>588</v>
      </c>
      <c r="C27" s="3623" t="str">
        <f>[1]估价对象房地状况!C20</f>
        <v>区域自然环境：；人文环境；综合评价环境状况一般</v>
      </c>
      <c r="D27" s="3624">
        <v>100</v>
      </c>
      <c r="E27" s="3625"/>
      <c r="F27" s="3621">
        <f>SUMIF(100:100,E28,101:101)-SUMIF(100:100,C28,101:101)+100</f>
        <v>100</v>
      </c>
      <c r="G27" s="3625"/>
      <c r="H27" s="3621">
        <f>SUMIF(100:100,G28,101:101)-SUMIF(100:100,C28,101:101)+100</f>
        <v>100</v>
      </c>
      <c r="I27" s="3625"/>
      <c r="J27" s="3621">
        <f>SUMIF(100:100,I28,101:101)-SUMIF(100:100,C28,101:101)+100</f>
        <v>100</v>
      </c>
      <c r="K27" s="3586">
        <v>3</v>
      </c>
      <c r="L27" s="3597"/>
      <c r="M27" s="3528"/>
      <c r="N27" s="3528"/>
      <c r="O27" s="3588"/>
      <c r="P27" s="4165"/>
      <c r="Q27" s="3609" t="str">
        <f t="shared" si="8"/>
        <v>自然及人文环境状况</v>
      </c>
      <c r="R27" s="3610" t="s">
        <v>4587</v>
      </c>
      <c r="S27" s="3611">
        <f>F27</f>
        <v>100</v>
      </c>
      <c r="T27" s="3610" t="s">
        <v>4587</v>
      </c>
      <c r="U27" s="3611">
        <f>H27</f>
        <v>100</v>
      </c>
      <c r="V27" s="3610" t="s">
        <v>4587</v>
      </c>
      <c r="W27" s="3611">
        <f>J27</f>
        <v>100</v>
      </c>
      <c r="X27" s="3542"/>
      <c r="Y27" s="4165"/>
      <c r="Z27" s="3612" t="str">
        <f>Q27</f>
        <v>自然及人文环境状况</v>
      </c>
      <c r="AA27" s="3613">
        <f t="shared" si="3"/>
        <v>1</v>
      </c>
      <c r="AB27" s="3613">
        <f t="shared" si="4"/>
        <v>1</v>
      </c>
      <c r="AC27" s="3613">
        <f t="shared" si="5"/>
        <v>1</v>
      </c>
    </row>
    <row r="28" spans="1:29" ht="20.25">
      <c r="A28" s="3544"/>
      <c r="B28" s="3628"/>
      <c r="C28" s="3616" t="s">
        <v>4362</v>
      </c>
      <c r="D28" s="3617"/>
      <c r="E28" s="3638" t="s">
        <v>4362</v>
      </c>
      <c r="F28" s="3619"/>
      <c r="G28" s="3638" t="s">
        <v>4362</v>
      </c>
      <c r="H28" s="3619"/>
      <c r="I28" s="3638" t="s">
        <v>4362</v>
      </c>
      <c r="J28" s="3619"/>
      <c r="K28" s="3579"/>
      <c r="L28" s="3597"/>
      <c r="M28" s="3528"/>
      <c r="N28" s="3528"/>
      <c r="O28" s="3588"/>
      <c r="P28" s="4165"/>
      <c r="Q28" s="3609"/>
      <c r="R28" s="3610"/>
      <c r="S28" s="3611"/>
      <c r="T28" s="3610"/>
      <c r="U28" s="3611"/>
      <c r="V28" s="3610"/>
      <c r="W28" s="3611"/>
      <c r="X28" s="3542"/>
      <c r="Y28" s="4165"/>
      <c r="Z28" s="3612"/>
      <c r="AA28" s="3613">
        <v>1</v>
      </c>
      <c r="AB28" s="3613">
        <v>1</v>
      </c>
      <c r="AC28" s="3613">
        <v>1</v>
      </c>
    </row>
    <row r="29" spans="1:29" s="3560" customFormat="1" ht="28.5">
      <c r="A29" s="3639"/>
      <c r="B29" s="3640" t="s">
        <v>4602</v>
      </c>
      <c r="C29" s="3635" t="str">
        <f>[1]估价对象房地状况!C21</f>
        <v>估价对象所在区域公共配套设施齐备情况</v>
      </c>
      <c r="D29" s="3624">
        <v>100</v>
      </c>
      <c r="E29" s="3625"/>
      <c r="F29" s="3621">
        <f>SUMIF(102:102,E30,103:103)-SUMIF(102:102,C30,103:103)+100</f>
        <v>103</v>
      </c>
      <c r="G29" s="3625"/>
      <c r="H29" s="3621">
        <f>SUMIF(102:102,G30,103:103)-SUMIF(102:102,C30,103:103)+100</f>
        <v>103</v>
      </c>
      <c r="I29" s="3625"/>
      <c r="J29" s="3621">
        <f>SUMIF(102:102,I30,103:103)-SUMIF(102:102,C30,103:103)+100</f>
        <v>103</v>
      </c>
      <c r="K29" s="3586">
        <v>3</v>
      </c>
      <c r="L29" s="3554"/>
      <c r="M29" s="3528"/>
      <c r="N29" s="3528"/>
      <c r="O29" s="3570"/>
      <c r="P29" s="4165"/>
      <c r="Q29" s="3571" t="str">
        <f t="shared" si="8"/>
        <v>公共配套设施</v>
      </c>
      <c r="R29" s="3556" t="s">
        <v>4587</v>
      </c>
      <c r="S29" s="3557">
        <f>F29</f>
        <v>103</v>
      </c>
      <c r="T29" s="3556" t="s">
        <v>4600</v>
      </c>
      <c r="U29" s="3557">
        <f>H29</f>
        <v>103</v>
      </c>
      <c r="V29" s="3556" t="s">
        <v>4587</v>
      </c>
      <c r="W29" s="3557">
        <f>J29</f>
        <v>103</v>
      </c>
      <c r="X29" s="3558"/>
      <c r="Y29" s="4165"/>
      <c r="Z29" s="3572" t="str">
        <f>Q29</f>
        <v>公共配套设施</v>
      </c>
      <c r="AA29" s="3613">
        <f>D29/F29</f>
        <v>0.970873786407767</v>
      </c>
      <c r="AB29" s="3613">
        <f>D29/H29</f>
        <v>0.970873786407767</v>
      </c>
      <c r="AC29" s="3613">
        <f>D29/J29</f>
        <v>0.970873786407767</v>
      </c>
    </row>
    <row r="30" spans="1:29" s="3560" customFormat="1" ht="20.25">
      <c r="A30" s="3639"/>
      <c r="B30" s="3628"/>
      <c r="C30" s="3641" t="s">
        <v>4361</v>
      </c>
      <c r="D30" s="3617"/>
      <c r="E30" s="3642" t="s">
        <v>4362</v>
      </c>
      <c r="F30" s="3619"/>
      <c r="G30" s="3643" t="s">
        <v>4362</v>
      </c>
      <c r="H30" s="3619"/>
      <c r="I30" s="3641" t="s">
        <v>4362</v>
      </c>
      <c r="J30" s="3619"/>
      <c r="K30" s="3579"/>
      <c r="L30" s="3554"/>
      <c r="M30" s="3528"/>
      <c r="N30" s="3528"/>
      <c r="O30" s="3570"/>
      <c r="P30" s="4165"/>
      <c r="Q30" s="3571"/>
      <c r="R30" s="3556"/>
      <c r="S30" s="3557"/>
      <c r="T30" s="3556"/>
      <c r="U30" s="3557"/>
      <c r="V30" s="3556"/>
      <c r="W30" s="3557"/>
      <c r="X30" s="3558"/>
      <c r="Y30" s="4165"/>
      <c r="Z30" s="3572"/>
      <c r="AA30" s="3613">
        <v>1</v>
      </c>
      <c r="AB30" s="3613">
        <v>1</v>
      </c>
      <c r="AC30" s="3613">
        <v>1</v>
      </c>
    </row>
    <row r="31" spans="1:29" s="3560" customFormat="1" ht="28.5">
      <c r="A31" s="3639"/>
      <c r="B31" s="3640" t="s">
        <v>4603</v>
      </c>
      <c r="C31" s="3635" t="str">
        <f>[1]估价对象房地状况!C22</f>
        <v>估价对象所在区域基础设施水平</v>
      </c>
      <c r="D31" s="3624">
        <v>100</v>
      </c>
      <c r="E31" s="3625"/>
      <c r="F31" s="3621">
        <f>SUMIF(104:104,E32,105:105)-SUMIF(104:104,C32,105:105)+100</f>
        <v>100</v>
      </c>
      <c r="G31" s="3625"/>
      <c r="H31" s="3621">
        <f>SUMIF(104:104,G32,105:105)-SUMIF(104:104,C32,105:105)+100</f>
        <v>100</v>
      </c>
      <c r="I31" s="3625"/>
      <c r="J31" s="3621">
        <f>SUMIF(104:104,I32,105:105)-SUMIF(104:104,C32,105:105)+100</f>
        <v>100</v>
      </c>
      <c r="K31" s="3586">
        <v>2</v>
      </c>
      <c r="L31" s="3554"/>
      <c r="M31" s="3528"/>
      <c r="N31" s="3528"/>
      <c r="O31" s="3570"/>
      <c r="P31" s="4165"/>
      <c r="Q31" s="3571" t="str">
        <f>B31</f>
        <v>基础设施水平</v>
      </c>
      <c r="R31" s="3556" t="s">
        <v>4587</v>
      </c>
      <c r="S31" s="3557">
        <f>F31</f>
        <v>100</v>
      </c>
      <c r="T31" s="3556" t="s">
        <v>4587</v>
      </c>
      <c r="U31" s="3557">
        <f>H31</f>
        <v>100</v>
      </c>
      <c r="V31" s="3556" t="s">
        <v>4600</v>
      </c>
      <c r="W31" s="3557">
        <f>J31</f>
        <v>100</v>
      </c>
      <c r="X31" s="3558"/>
      <c r="Y31" s="4165"/>
      <c r="Z31" s="3572" t="str">
        <f>Q31</f>
        <v>基础设施水平</v>
      </c>
      <c r="AA31" s="3613">
        <f>D31/F31</f>
        <v>1</v>
      </c>
      <c r="AB31" s="3613">
        <f>D31/H31</f>
        <v>1</v>
      </c>
      <c r="AC31" s="3613">
        <f>D31/J31</f>
        <v>1</v>
      </c>
    </row>
    <row r="32" spans="1:29" s="3560" customFormat="1" ht="20.25">
      <c r="A32" s="3639"/>
      <c r="B32" s="3628"/>
      <c r="C32" s="3641" t="s">
        <v>4350</v>
      </c>
      <c r="D32" s="3617"/>
      <c r="E32" s="3644" t="s">
        <v>4350</v>
      </c>
      <c r="F32" s="3619"/>
      <c r="G32" s="3644" t="s">
        <v>4350</v>
      </c>
      <c r="H32" s="3619"/>
      <c r="I32" s="3644" t="s">
        <v>4350</v>
      </c>
      <c r="J32" s="3619"/>
      <c r="K32" s="3579"/>
      <c r="L32" s="3554"/>
      <c r="M32" s="3528"/>
      <c r="N32" s="3528"/>
      <c r="O32" s="3570"/>
      <c r="P32" s="4165"/>
      <c r="Q32" s="3571"/>
      <c r="R32" s="3556"/>
      <c r="S32" s="3557"/>
      <c r="T32" s="3556"/>
      <c r="U32" s="3557"/>
      <c r="V32" s="3556"/>
      <c r="W32" s="3557"/>
      <c r="X32" s="3558"/>
      <c r="Y32" s="4165"/>
      <c r="Z32" s="3572"/>
      <c r="AA32" s="3613">
        <v>1</v>
      </c>
      <c r="AB32" s="3613">
        <v>1</v>
      </c>
      <c r="AC32" s="3613">
        <v>1</v>
      </c>
    </row>
    <row r="33" spans="1:29" ht="20.25" hidden="1">
      <c r="A33" s="3614"/>
      <c r="B33" s="3628" t="s">
        <v>4604</v>
      </c>
      <c r="C33" s="3645"/>
      <c r="D33" s="3646">
        <v>100</v>
      </c>
      <c r="E33" s="3647"/>
      <c r="F33" s="3596">
        <f>SUMIF(106:106,E33,107:107)-SUMIF(106:106,C33,107:107)+100</f>
        <v>100</v>
      </c>
      <c r="G33" s="3645"/>
      <c r="H33" s="3596">
        <f>SUMIF(106:106,G33,107:107)-SUMIF(106:106,C33,107:107)+100</f>
        <v>100</v>
      </c>
      <c r="I33" s="3645"/>
      <c r="J33" s="3596">
        <f>SUMIF(106:106,I33,107:107)-SUMIF(106:106,C33,107:107)+100</f>
        <v>100</v>
      </c>
      <c r="K33" s="3586"/>
      <c r="L33" s="3597"/>
      <c r="M33" s="3528"/>
      <c r="N33" s="3528"/>
      <c r="O33" s="3588"/>
      <c r="P33" s="4165"/>
      <c r="Q33" s="3609" t="str">
        <f t="shared" si="8"/>
        <v>临街状况</v>
      </c>
      <c r="R33" s="3610" t="s">
        <v>4600</v>
      </c>
      <c r="S33" s="3611">
        <f t="shared" ref="S33:S47" si="9">F33</f>
        <v>100</v>
      </c>
      <c r="T33" s="3610" t="s">
        <v>4587</v>
      </c>
      <c r="U33" s="3611">
        <f t="shared" ref="U33:U47" si="10">H33</f>
        <v>100</v>
      </c>
      <c r="V33" s="3610" t="s">
        <v>4605</v>
      </c>
      <c r="W33" s="3611">
        <f t="shared" ref="W33:W47" si="11">J33</f>
        <v>100</v>
      </c>
      <c r="X33" s="3542"/>
      <c r="Y33" s="4165"/>
      <c r="Z33" s="3612" t="str">
        <f t="shared" ref="Z33:Z47" si="12">Q33</f>
        <v>临街状况</v>
      </c>
      <c r="AA33" s="3613">
        <f t="shared" si="3"/>
        <v>1</v>
      </c>
      <c r="AB33" s="3613">
        <f t="shared" si="4"/>
        <v>1</v>
      </c>
      <c r="AC33" s="3613">
        <f t="shared" si="5"/>
        <v>1</v>
      </c>
    </row>
    <row r="34" spans="1:29" ht="27">
      <c r="A34" s="3614"/>
      <c r="B34" s="3603" t="s">
        <v>4606</v>
      </c>
      <c r="C34" s="3648" t="s">
        <v>4607</v>
      </c>
      <c r="D34" s="3624">
        <v>100</v>
      </c>
      <c r="E34" s="3649" t="s">
        <v>4608</v>
      </c>
      <c r="F34" s="3621">
        <f>SUMIF(108:108,E35,109:109)-SUMIF(108:108,C35,109:109)+100</f>
        <v>100</v>
      </c>
      <c r="G34" s="3648" t="s">
        <v>4693</v>
      </c>
      <c r="H34" s="3621">
        <f>SUMIF(108:108,G35,109:109)-SUMIF(108:108,C35,109:109)+100</f>
        <v>100</v>
      </c>
      <c r="I34" s="3648" t="s">
        <v>4608</v>
      </c>
      <c r="J34" s="3621">
        <f>SUMIF(108:108,I35,109:109)-SUMIF(108:108,C35,109:109)+100</f>
        <v>100</v>
      </c>
      <c r="K34" s="3586">
        <v>1</v>
      </c>
      <c r="L34" s="3597"/>
      <c r="M34" s="3528"/>
      <c r="N34" s="3528"/>
      <c r="O34" s="3588"/>
      <c r="P34" s="4165"/>
      <c r="Q34" s="3609" t="str">
        <f t="shared" si="8"/>
        <v>毗邻道路的类型与等级</v>
      </c>
      <c r="R34" s="3610" t="s">
        <v>4605</v>
      </c>
      <c r="S34" s="3611">
        <f t="shared" si="9"/>
        <v>100</v>
      </c>
      <c r="T34" s="3610" t="s">
        <v>4605</v>
      </c>
      <c r="U34" s="3611">
        <f t="shared" si="10"/>
        <v>100</v>
      </c>
      <c r="V34" s="3610" t="s">
        <v>4605</v>
      </c>
      <c r="W34" s="3611">
        <f t="shared" si="11"/>
        <v>100</v>
      </c>
      <c r="X34" s="3542"/>
      <c r="Y34" s="4165"/>
      <c r="Z34" s="3612" t="str">
        <f t="shared" si="12"/>
        <v>毗邻道路的类型与等级</v>
      </c>
      <c r="AA34" s="3613">
        <f t="shared" si="3"/>
        <v>1</v>
      </c>
      <c r="AB34" s="3613">
        <f t="shared" si="4"/>
        <v>1</v>
      </c>
      <c r="AC34" s="3613">
        <f t="shared" si="5"/>
        <v>1</v>
      </c>
    </row>
    <row r="35" spans="1:29" ht="21" thickBot="1">
      <c r="A35" s="3614"/>
      <c r="B35" s="3628"/>
      <c r="C35" s="3616" t="s">
        <v>4395</v>
      </c>
      <c r="D35" s="3617"/>
      <c r="E35" s="3650" t="s">
        <v>4395</v>
      </c>
      <c r="F35" s="3651"/>
      <c r="G35" s="3616" t="s">
        <v>4395</v>
      </c>
      <c r="H35" s="3619"/>
      <c r="I35" s="3642" t="s">
        <v>4395</v>
      </c>
      <c r="J35" s="3619"/>
      <c r="K35" s="3652"/>
      <c r="L35" s="3597"/>
      <c r="M35" s="3528"/>
      <c r="N35" s="3528"/>
      <c r="O35" s="3588"/>
      <c r="P35" s="4165"/>
      <c r="Q35" s="3609"/>
      <c r="R35" s="3610"/>
      <c r="S35" s="3611"/>
      <c r="T35" s="3610"/>
      <c r="U35" s="3611"/>
      <c r="V35" s="3610"/>
      <c r="W35" s="3611"/>
      <c r="X35" s="3542"/>
      <c r="Y35" s="4165"/>
      <c r="Z35" s="3612"/>
      <c r="AA35" s="3613">
        <v>1</v>
      </c>
      <c r="AB35" s="3613">
        <v>1</v>
      </c>
      <c r="AC35" s="3613">
        <v>1</v>
      </c>
    </row>
    <row r="36" spans="1:29" ht="21" hidden="1" thickBot="1">
      <c r="A36" s="3614"/>
      <c r="B36" s="3653" t="s">
        <v>4609</v>
      </c>
      <c r="C36" s="3645"/>
      <c r="D36" s="3646">
        <v>100</v>
      </c>
      <c r="E36" s="3654"/>
      <c r="F36" s="3619">
        <f>SUMIF(110:110,E36,111:111)-SUMIF(110:110,C36,111:111)+100</f>
        <v>100</v>
      </c>
      <c r="G36" s="3645"/>
      <c r="H36" s="3596">
        <f>SUMIF(110:110,G36,111:111)-SUMIF(110:110,C36,111:111)+100</f>
        <v>100</v>
      </c>
      <c r="I36" s="3647"/>
      <c r="J36" s="3596">
        <f>SUMIF(110:110,I36,111:111)-SUMIF(110:110,C36,111:111)+100</f>
        <v>100</v>
      </c>
      <c r="K36" s="3655"/>
      <c r="L36" s="3597"/>
      <c r="M36" s="3528"/>
      <c r="N36" s="3528"/>
      <c r="O36" s="3588"/>
      <c r="P36" s="4165"/>
      <c r="Q36" s="3609" t="str">
        <f t="shared" si="8"/>
        <v>土地级别</v>
      </c>
      <c r="R36" s="3610" t="s">
        <v>4605</v>
      </c>
      <c r="S36" s="3611">
        <f t="shared" si="9"/>
        <v>100</v>
      </c>
      <c r="T36" s="3610" t="s">
        <v>4605</v>
      </c>
      <c r="U36" s="3611">
        <f t="shared" si="10"/>
        <v>100</v>
      </c>
      <c r="V36" s="3610" t="s">
        <v>4605</v>
      </c>
      <c r="W36" s="3611">
        <f t="shared" si="11"/>
        <v>100</v>
      </c>
      <c r="X36" s="3542"/>
      <c r="Y36" s="4165"/>
      <c r="Z36" s="3612" t="str">
        <f t="shared" si="12"/>
        <v>土地级别</v>
      </c>
      <c r="AA36" s="3613">
        <f t="shared" si="3"/>
        <v>1</v>
      </c>
      <c r="AB36" s="3613">
        <f t="shared" si="4"/>
        <v>1</v>
      </c>
      <c r="AC36" s="3613">
        <f t="shared" si="5"/>
        <v>1</v>
      </c>
    </row>
    <row r="37" spans="1:29" ht="21" hidden="1" thickBot="1">
      <c r="A37" s="3544"/>
      <c r="B37" s="3656"/>
      <c r="C37" s="3657"/>
      <c r="D37" s="3646">
        <v>100</v>
      </c>
      <c r="E37" s="3592"/>
      <c r="F37" s="3596">
        <f>SUMIF(112:112,E37,113:113)-SUMIF(112:112,C37,113:113)+100</f>
        <v>100</v>
      </c>
      <c r="G37" s="3657"/>
      <c r="H37" s="3596">
        <f>SUMIF(112:112,G37,113:113)-SUMIF(112:112,C37,113:113)+100</f>
        <v>100</v>
      </c>
      <c r="I37" s="3592"/>
      <c r="J37" s="3596">
        <f>SUMIF(112:112,I37,113:113)-SUMIF(112:112,C37,113:113)+100</f>
        <v>100</v>
      </c>
      <c r="K37" s="3652"/>
      <c r="L37" s="3597"/>
      <c r="M37" s="3528"/>
      <c r="N37" s="3528"/>
      <c r="O37" s="3588"/>
      <c r="P37" s="4165"/>
      <c r="Q37" s="3609">
        <f t="shared" si="8"/>
        <v>0</v>
      </c>
      <c r="R37" s="3610" t="s">
        <v>4605</v>
      </c>
      <c r="S37" s="3611">
        <f t="shared" si="9"/>
        <v>100</v>
      </c>
      <c r="T37" s="3610" t="s">
        <v>4605</v>
      </c>
      <c r="U37" s="3611">
        <f t="shared" si="10"/>
        <v>100</v>
      </c>
      <c r="V37" s="3610" t="s">
        <v>4605</v>
      </c>
      <c r="W37" s="3611">
        <f t="shared" si="11"/>
        <v>100</v>
      </c>
      <c r="X37" s="3542"/>
      <c r="Y37" s="4165"/>
      <c r="Z37" s="3612">
        <f t="shared" si="12"/>
        <v>0</v>
      </c>
      <c r="AA37" s="3613">
        <f t="shared" si="3"/>
        <v>1</v>
      </c>
      <c r="AB37" s="3613">
        <f t="shared" si="4"/>
        <v>1</v>
      </c>
      <c r="AC37" s="3613">
        <f t="shared" si="5"/>
        <v>1</v>
      </c>
    </row>
    <row r="38" spans="1:29" ht="21" hidden="1" thickBot="1">
      <c r="A38" s="3658"/>
      <c r="B38" s="3659"/>
      <c r="C38" s="3657"/>
      <c r="D38" s="3646">
        <v>100</v>
      </c>
      <c r="E38" s="3592"/>
      <c r="F38" s="3596">
        <f>SUMIF(114:114,E39,115:115)-SUMIF(114:114,C39,115:115)+100</f>
        <v>100</v>
      </c>
      <c r="G38" s="3657"/>
      <c r="H38" s="3596">
        <f>SUMIF(114:114,G38,115:115)-SUMIF(114:114,C38,115:115)+100</f>
        <v>100</v>
      </c>
      <c r="I38" s="3592"/>
      <c r="J38" s="3596">
        <f>SUMIF(114:114,I38,115:115)-SUMIF(114:114,C38,115:115)+100</f>
        <v>100</v>
      </c>
      <c r="K38" s="3652"/>
      <c r="L38" s="3597"/>
      <c r="M38" s="3528"/>
      <c r="N38" s="3528"/>
      <c r="O38" s="3588"/>
      <c r="P38" s="4158" t="s">
        <v>4610</v>
      </c>
      <c r="Q38" s="3609">
        <f t="shared" si="8"/>
        <v>0</v>
      </c>
      <c r="R38" s="3610" t="s">
        <v>4605</v>
      </c>
      <c r="S38" s="3611">
        <f t="shared" si="9"/>
        <v>100</v>
      </c>
      <c r="T38" s="3610" t="s">
        <v>4605</v>
      </c>
      <c r="U38" s="3611">
        <f t="shared" si="10"/>
        <v>100</v>
      </c>
      <c r="V38" s="3610" t="s">
        <v>4605</v>
      </c>
      <c r="W38" s="3611">
        <f t="shared" si="11"/>
        <v>100</v>
      </c>
      <c r="X38" s="3542"/>
      <c r="Y38" s="4159" t="s">
        <v>4610</v>
      </c>
      <c r="Z38" s="3612">
        <f t="shared" si="12"/>
        <v>0</v>
      </c>
      <c r="AA38" s="3613">
        <f t="shared" si="3"/>
        <v>1</v>
      </c>
      <c r="AB38" s="3613">
        <f t="shared" si="4"/>
        <v>1</v>
      </c>
      <c r="AC38" s="3613">
        <f t="shared" si="5"/>
        <v>1</v>
      </c>
    </row>
    <row r="39" spans="1:29" s="3671" customFormat="1" ht="21" hidden="1" thickBot="1">
      <c r="A39" s="3660"/>
      <c r="B39" s="3661"/>
      <c r="C39" s="3662"/>
      <c r="D39" s="3663">
        <v>100</v>
      </c>
      <c r="E39" s="3664"/>
      <c r="F39" s="3601">
        <f>SUMIF(116:116,E39,117:117)-SUMIF(116:116,C39,117:117)+100</f>
        <v>100</v>
      </c>
      <c r="G39" s="3665"/>
      <c r="H39" s="3601">
        <f>SUMIF(116:116,G39,117:117)-SUMIF(116:116,C39,117:117)+100</f>
        <v>100</v>
      </c>
      <c r="I39" s="3664"/>
      <c r="J39" s="3601">
        <f>SUMIF(116:116,I39,117:117)-SUMIF(116:116,C39,117:117)+100</f>
        <v>100</v>
      </c>
      <c r="K39" s="3652"/>
      <c r="L39" s="3587"/>
      <c r="M39" s="3528"/>
      <c r="N39" s="3528"/>
      <c r="O39" s="3666"/>
      <c r="P39" s="4159"/>
      <c r="Q39" s="3609">
        <f t="shared" si="8"/>
        <v>0</v>
      </c>
      <c r="R39" s="3667" t="s">
        <v>4605</v>
      </c>
      <c r="S39" s="3668">
        <f t="shared" si="9"/>
        <v>100</v>
      </c>
      <c r="T39" s="3667" t="s">
        <v>4605</v>
      </c>
      <c r="U39" s="3668">
        <f t="shared" si="10"/>
        <v>100</v>
      </c>
      <c r="V39" s="3667" t="s">
        <v>4605</v>
      </c>
      <c r="W39" s="3668">
        <f t="shared" si="11"/>
        <v>100</v>
      </c>
      <c r="X39" s="3669"/>
      <c r="Y39" s="4159"/>
      <c r="Z39" s="3670">
        <f t="shared" si="12"/>
        <v>0</v>
      </c>
      <c r="AA39" s="3613">
        <f t="shared" si="3"/>
        <v>1</v>
      </c>
      <c r="AB39" s="3613">
        <f t="shared" si="4"/>
        <v>1</v>
      </c>
      <c r="AC39" s="3613">
        <f t="shared" si="5"/>
        <v>1</v>
      </c>
    </row>
    <row r="40" spans="1:29" ht="20.25">
      <c r="A40" s="3672" t="s">
        <v>4611</v>
      </c>
      <c r="B40" s="3673" t="s">
        <v>4612</v>
      </c>
      <c r="C40" s="3674">
        <f>'数据-汇总表'!D3</f>
        <v>410194.62</v>
      </c>
      <c r="D40" s="3675">
        <v>100</v>
      </c>
      <c r="E40" s="3674">
        <f>住宅用地案例!H12</f>
        <v>56213.45</v>
      </c>
      <c r="F40" s="3675">
        <f>LOOKUP(E40,119:119,120:120)-LOOKUP(C40,119:119,120:120)+100</f>
        <v>97</v>
      </c>
      <c r="G40" s="3674">
        <f>住宅用地案例!H16</f>
        <v>13132.19</v>
      </c>
      <c r="H40" s="3675">
        <f>LOOKUP(G40,119:119,120:120)-LOOKUP(C40,119:119,120:120)+100</f>
        <v>97</v>
      </c>
      <c r="I40" s="3676">
        <f>住宅用地案例!H18</f>
        <v>53549.48</v>
      </c>
      <c r="J40" s="3675">
        <f>LOOKUP(I40,119:119,120:120)-LOOKUP(C40,119:119,120:120)+100</f>
        <v>97</v>
      </c>
      <c r="K40" s="3652"/>
      <c r="L40" s="3597"/>
      <c r="M40" s="3528"/>
      <c r="N40" s="3528"/>
      <c r="O40" s="3588"/>
      <c r="P40" s="4159"/>
      <c r="Q40" s="3609" t="str">
        <f>B40</f>
        <v>宗地面积</v>
      </c>
      <c r="R40" s="3610" t="s">
        <v>4605</v>
      </c>
      <c r="S40" s="3611">
        <f t="shared" si="9"/>
        <v>97</v>
      </c>
      <c r="T40" s="3610" t="s">
        <v>4605</v>
      </c>
      <c r="U40" s="3611">
        <f t="shared" si="10"/>
        <v>97</v>
      </c>
      <c r="V40" s="3610" t="s">
        <v>4605</v>
      </c>
      <c r="W40" s="3611">
        <f t="shared" si="11"/>
        <v>97</v>
      </c>
      <c r="X40" s="3542"/>
      <c r="Y40" s="4159"/>
      <c r="Z40" s="3612" t="str">
        <f t="shared" si="12"/>
        <v>宗地面积</v>
      </c>
      <c r="AA40" s="3613">
        <f t="shared" si="3"/>
        <v>1.0309278350515463</v>
      </c>
      <c r="AB40" s="3613">
        <f t="shared" si="4"/>
        <v>1.0309278350515463</v>
      </c>
      <c r="AC40" s="3613">
        <f t="shared" si="5"/>
        <v>1.0309278350515463</v>
      </c>
    </row>
    <row r="41" spans="1:29" ht="20.25">
      <c r="A41" s="3677"/>
      <c r="B41" s="3678" t="s">
        <v>4613</v>
      </c>
      <c r="C41" s="3679" t="s">
        <v>4382</v>
      </c>
      <c r="D41" s="3596">
        <v>100</v>
      </c>
      <c r="E41" s="3679" t="s">
        <v>4382</v>
      </c>
      <c r="F41" s="3596">
        <f>SUMIF(121:121,E41,122:122)-SUMIF(121:121,C41,122:122)+100</f>
        <v>100</v>
      </c>
      <c r="G41" s="3679" t="s">
        <v>4382</v>
      </c>
      <c r="H41" s="3596">
        <f>SUMIF(121:121,G41,122:122)-SUMIF(121:121,C41,122:122)+100</f>
        <v>100</v>
      </c>
      <c r="I41" s="3679" t="s">
        <v>4382</v>
      </c>
      <c r="J41" s="3596">
        <f>SUMIF(121:121,I41,122:122)-SUMIF(121:121,C41,122:122)+100</f>
        <v>100</v>
      </c>
      <c r="K41" s="3655">
        <v>2</v>
      </c>
      <c r="L41" s="3597"/>
      <c r="M41" s="3528"/>
      <c r="N41" s="3528"/>
      <c r="O41" s="3588"/>
      <c r="P41" s="4159"/>
      <c r="Q41" s="3609" t="str">
        <f t="shared" ref="Q41:Q47" si="13">B41</f>
        <v>宗地形状</v>
      </c>
      <c r="R41" s="3610" t="s">
        <v>4605</v>
      </c>
      <c r="S41" s="3611">
        <f t="shared" si="9"/>
        <v>100</v>
      </c>
      <c r="T41" s="3610" t="s">
        <v>4605</v>
      </c>
      <c r="U41" s="3611">
        <f t="shared" si="10"/>
        <v>100</v>
      </c>
      <c r="V41" s="3610" t="s">
        <v>4605</v>
      </c>
      <c r="W41" s="3611">
        <f t="shared" si="11"/>
        <v>100</v>
      </c>
      <c r="X41" s="3542"/>
      <c r="Y41" s="4159"/>
      <c r="Z41" s="3612" t="str">
        <f t="shared" si="12"/>
        <v>宗地形状</v>
      </c>
      <c r="AA41" s="3613">
        <f t="shared" si="3"/>
        <v>1</v>
      </c>
      <c r="AB41" s="3613">
        <f t="shared" si="4"/>
        <v>1</v>
      </c>
      <c r="AC41" s="3613">
        <f t="shared" si="5"/>
        <v>1</v>
      </c>
    </row>
    <row r="42" spans="1:29" ht="20.25" hidden="1">
      <c r="A42" s="3677"/>
      <c r="B42" s="3678" t="s">
        <v>4614</v>
      </c>
      <c r="C42" s="3679"/>
      <c r="D42" s="3596">
        <v>100</v>
      </c>
      <c r="E42" s="3679"/>
      <c r="F42" s="3596">
        <f>SUMIF(123:123,E42,124:124)-SUMIF(123:123,C42,124:124)+100</f>
        <v>100</v>
      </c>
      <c r="G42" s="3679"/>
      <c r="H42" s="3596">
        <f>SUMIF(123:123,G42,124:124)-SUMIF(123:123,C42,124:124)+100</f>
        <v>100</v>
      </c>
      <c r="I42" s="3679"/>
      <c r="J42" s="3596">
        <f>SUMIF(123:123,I42,124:124)-SUMIF(123:123,C42,124:124)+100</f>
        <v>100</v>
      </c>
      <c r="K42" s="3655"/>
      <c r="L42" s="3597"/>
      <c r="M42" s="3528"/>
      <c r="N42" s="3528"/>
      <c r="O42" s="3588"/>
      <c r="P42" s="4159"/>
      <c r="Q42" s="3609" t="str">
        <f t="shared" si="13"/>
        <v>临街宽度及深度</v>
      </c>
      <c r="R42" s="3610" t="s">
        <v>4615</v>
      </c>
      <c r="S42" s="3611">
        <f t="shared" si="9"/>
        <v>100</v>
      </c>
      <c r="T42" s="3610" t="s">
        <v>4615</v>
      </c>
      <c r="U42" s="3611">
        <f t="shared" si="10"/>
        <v>100</v>
      </c>
      <c r="V42" s="3610" t="s">
        <v>4615</v>
      </c>
      <c r="W42" s="3611">
        <f t="shared" si="11"/>
        <v>100</v>
      </c>
      <c r="X42" s="3542"/>
      <c r="Y42" s="4159"/>
      <c r="Z42" s="3612" t="str">
        <f t="shared" si="12"/>
        <v>临街宽度及深度</v>
      </c>
      <c r="AA42" s="3613">
        <f t="shared" si="3"/>
        <v>1</v>
      </c>
      <c r="AB42" s="3613">
        <f t="shared" si="4"/>
        <v>1</v>
      </c>
      <c r="AC42" s="3613">
        <f t="shared" si="5"/>
        <v>1</v>
      </c>
    </row>
    <row r="43" spans="1:29" s="3560" customFormat="1" ht="20.25">
      <c r="A43" s="3680"/>
      <c r="B43" s="3681" t="s">
        <v>2425</v>
      </c>
      <c r="C43" s="3682" t="s">
        <v>4407</v>
      </c>
      <c r="D43" s="3575">
        <v>100</v>
      </c>
      <c r="E43" s="3682" t="s">
        <v>4407</v>
      </c>
      <c r="F43" s="3596">
        <f>SUMIF(125:125,E43,126:126)-SUMIF(125:125,C43,126:126)+100</f>
        <v>100</v>
      </c>
      <c r="G43" s="3682" t="s">
        <v>4407</v>
      </c>
      <c r="H43" s="3596">
        <f>SUMIF(125:125,G43,126:126)-SUMIF(125:125,C43,126:126)+100</f>
        <v>100</v>
      </c>
      <c r="I43" s="3682" t="s">
        <v>4407</v>
      </c>
      <c r="J43" s="3596">
        <f>SUMIF(125:125,I43,126:126)-SUMIF(125:125,C43,126:126)+100</f>
        <v>100</v>
      </c>
      <c r="K43" s="3655">
        <v>2</v>
      </c>
      <c r="L43" s="3554"/>
      <c r="M43" s="3528"/>
      <c r="N43" s="3528"/>
      <c r="O43" s="3570"/>
      <c r="P43" s="4159"/>
      <c r="Q43" s="3609" t="str">
        <f t="shared" si="13"/>
        <v>宗地开发程度</v>
      </c>
      <c r="R43" s="3556" t="s">
        <v>4616</v>
      </c>
      <c r="S43" s="3557">
        <f t="shared" si="9"/>
        <v>100</v>
      </c>
      <c r="T43" s="3556" t="s">
        <v>4616</v>
      </c>
      <c r="U43" s="3557">
        <f t="shared" si="10"/>
        <v>100</v>
      </c>
      <c r="V43" s="3556" t="s">
        <v>4616</v>
      </c>
      <c r="W43" s="3557">
        <f t="shared" si="11"/>
        <v>100</v>
      </c>
      <c r="X43" s="3558"/>
      <c r="Y43" s="4159"/>
      <c r="Z43" s="3572" t="str">
        <f t="shared" si="12"/>
        <v>宗地开发程度</v>
      </c>
      <c r="AA43" s="3559">
        <f t="shared" si="3"/>
        <v>1</v>
      </c>
      <c r="AB43" s="3559">
        <f t="shared" si="4"/>
        <v>1</v>
      </c>
      <c r="AC43" s="3559">
        <f t="shared" si="5"/>
        <v>1</v>
      </c>
    </row>
    <row r="44" spans="1:29" ht="21" thickBot="1">
      <c r="A44" s="3677"/>
      <c r="B44" s="3678" t="s">
        <v>4617</v>
      </c>
      <c r="C44" s="3679" t="s">
        <v>4362</v>
      </c>
      <c r="D44" s="3596">
        <v>100</v>
      </c>
      <c r="E44" s="3679" t="s">
        <v>4362</v>
      </c>
      <c r="F44" s="3596">
        <f>SUMIF(127:127,E44,128:128)-SUMIF(127:127,C44,128:128)+100</f>
        <v>100</v>
      </c>
      <c r="G44" s="3679" t="s">
        <v>4362</v>
      </c>
      <c r="H44" s="3596">
        <f>SUMIF(127:127,G44,128:128)-SUMIF(127:127,C44,128:128)+100</f>
        <v>100</v>
      </c>
      <c r="I44" s="3679" t="s">
        <v>4362</v>
      </c>
      <c r="J44" s="3596">
        <f>SUMIF(127:127,I44,128:128)-SUMIF(127:127,C44,128:128)+100</f>
        <v>100</v>
      </c>
      <c r="K44" s="3655">
        <v>2</v>
      </c>
      <c r="L44" s="3597"/>
      <c r="M44" s="3528"/>
      <c r="N44" s="3528"/>
      <c r="O44" s="3588"/>
      <c r="P44" s="4159" t="s">
        <v>4618</v>
      </c>
      <c r="Q44" s="3609" t="str">
        <f t="shared" si="13"/>
        <v>工程地质条件</v>
      </c>
      <c r="R44" s="3610" t="s">
        <v>4615</v>
      </c>
      <c r="S44" s="3611">
        <f t="shared" si="9"/>
        <v>100</v>
      </c>
      <c r="T44" s="3610" t="s">
        <v>4615</v>
      </c>
      <c r="U44" s="3611">
        <f t="shared" si="10"/>
        <v>100</v>
      </c>
      <c r="V44" s="3610" t="s">
        <v>4615</v>
      </c>
      <c r="W44" s="3611">
        <f t="shared" si="11"/>
        <v>100</v>
      </c>
      <c r="X44" s="3542"/>
      <c r="Y44" s="4159" t="s">
        <v>4619</v>
      </c>
      <c r="Z44" s="3612" t="str">
        <f t="shared" si="12"/>
        <v>工程地质条件</v>
      </c>
      <c r="AA44" s="3613">
        <f t="shared" si="3"/>
        <v>1</v>
      </c>
      <c r="AB44" s="3613">
        <f t="shared" si="4"/>
        <v>1</v>
      </c>
      <c r="AC44" s="3613">
        <f t="shared" si="5"/>
        <v>1</v>
      </c>
    </row>
    <row r="45" spans="1:29" ht="21" hidden="1" thickBot="1">
      <c r="A45" s="3677"/>
      <c r="B45" s="3683"/>
      <c r="C45" s="3592"/>
      <c r="D45" s="3596">
        <v>100</v>
      </c>
      <c r="E45" s="3592"/>
      <c r="F45" s="3596">
        <f>SUMIF(129:129,E45,130:130)-SUMIF(129:129,C45,130:130)+100</f>
        <v>100</v>
      </c>
      <c r="G45" s="3592"/>
      <c r="H45" s="3596">
        <f>SUMIF(129:129,G45,130:130)-SUMIF(129:129,C45,130:130)+100</f>
        <v>100</v>
      </c>
      <c r="I45" s="3684"/>
      <c r="J45" s="3596">
        <f>SUMIF(129:129,I45,130:130)-SUMIF(129:129,C45,130:130)+100</f>
        <v>100</v>
      </c>
      <c r="K45" s="3652"/>
      <c r="L45" s="3597"/>
      <c r="M45" s="3528"/>
      <c r="N45" s="3528"/>
      <c r="O45" s="3588"/>
      <c r="P45" s="4159"/>
      <c r="Q45" s="3609">
        <f t="shared" si="13"/>
        <v>0</v>
      </c>
      <c r="R45" s="3610" t="s">
        <v>4616</v>
      </c>
      <c r="S45" s="3611">
        <f t="shared" si="9"/>
        <v>100</v>
      </c>
      <c r="T45" s="3610" t="s">
        <v>4616</v>
      </c>
      <c r="U45" s="3611">
        <f t="shared" si="10"/>
        <v>100</v>
      </c>
      <c r="V45" s="3610" t="s">
        <v>4616</v>
      </c>
      <c r="W45" s="3611">
        <f t="shared" si="11"/>
        <v>100</v>
      </c>
      <c r="X45" s="3542"/>
      <c r="Y45" s="4159"/>
      <c r="Z45" s="3612">
        <f t="shared" si="12"/>
        <v>0</v>
      </c>
      <c r="AA45" s="3613">
        <f t="shared" si="3"/>
        <v>1</v>
      </c>
      <c r="AB45" s="3613">
        <f t="shared" si="4"/>
        <v>1</v>
      </c>
      <c r="AC45" s="3613">
        <f t="shared" si="5"/>
        <v>1</v>
      </c>
    </row>
    <row r="46" spans="1:29" ht="21" hidden="1" thickBot="1">
      <c r="A46" s="3677"/>
      <c r="B46" s="3683"/>
      <c r="C46" s="3592"/>
      <c r="D46" s="3596">
        <v>100</v>
      </c>
      <c r="E46" s="3592"/>
      <c r="F46" s="3596">
        <f>SUMIF(131:131,E46,132:132)-SUMIF(131:131,C46,132:132)+100</f>
        <v>100</v>
      </c>
      <c r="G46" s="3592"/>
      <c r="H46" s="3596">
        <f>SUMIF(131:131,G46,132:132)-SUMIF(131:131,C46,132:132)+100</f>
        <v>100</v>
      </c>
      <c r="I46" s="3684"/>
      <c r="J46" s="3596">
        <f>SUMIF(131:131,I46,132:132)-SUMIF(131:131,C46,132:132)+100</f>
        <v>100</v>
      </c>
      <c r="K46" s="3652"/>
      <c r="L46" s="3597"/>
      <c r="M46" s="3528"/>
      <c r="N46" s="3528"/>
      <c r="O46" s="3588"/>
      <c r="P46" s="4159"/>
      <c r="Q46" s="3609">
        <f t="shared" si="13"/>
        <v>0</v>
      </c>
      <c r="R46" s="3610" t="s">
        <v>4600</v>
      </c>
      <c r="S46" s="3611">
        <f t="shared" si="9"/>
        <v>100</v>
      </c>
      <c r="T46" s="3610" t="s">
        <v>4600</v>
      </c>
      <c r="U46" s="3611">
        <f t="shared" si="10"/>
        <v>100</v>
      </c>
      <c r="V46" s="3610" t="s">
        <v>4600</v>
      </c>
      <c r="W46" s="3611">
        <f t="shared" si="11"/>
        <v>100</v>
      </c>
      <c r="X46" s="3542"/>
      <c r="Y46" s="4159"/>
      <c r="Z46" s="3612">
        <f t="shared" si="12"/>
        <v>0</v>
      </c>
      <c r="AA46" s="3613">
        <f t="shared" si="3"/>
        <v>1</v>
      </c>
      <c r="AB46" s="3613">
        <f t="shared" si="4"/>
        <v>1</v>
      </c>
      <c r="AC46" s="3613">
        <f t="shared" si="5"/>
        <v>1</v>
      </c>
    </row>
    <row r="47" spans="1:29" s="3671" customFormat="1" ht="21" hidden="1" thickBot="1">
      <c r="A47" s="3685"/>
      <c r="B47" s="3683"/>
      <c r="C47" s="3686"/>
      <c r="D47" s="3687">
        <v>100</v>
      </c>
      <c r="E47" s="3592"/>
      <c r="F47" s="3601">
        <f>SUMIF(133:133,E47,134:134)-SUMIF(133:133,C47,134:134)+100</f>
        <v>100</v>
      </c>
      <c r="G47" s="3592"/>
      <c r="H47" s="3601">
        <f>SUMIF(133:133,G47,134:134)-SUMIF(133:133,C47,134:134)+100</f>
        <v>100</v>
      </c>
      <c r="I47" s="3592"/>
      <c r="J47" s="3601">
        <f>SUMIF(133:133,I47,134:134)-SUMIF(133:133,C47,134:134)+100</f>
        <v>100</v>
      </c>
      <c r="K47" s="3688"/>
      <c r="L47" s="3587"/>
      <c r="M47" s="3528"/>
      <c r="N47" s="3528"/>
      <c r="O47" s="3666"/>
      <c r="P47" s="4159"/>
      <c r="Q47" s="3609">
        <f t="shared" si="13"/>
        <v>0</v>
      </c>
      <c r="R47" s="3667" t="s">
        <v>4600</v>
      </c>
      <c r="S47" s="3668">
        <f t="shared" si="9"/>
        <v>100</v>
      </c>
      <c r="T47" s="3667" t="s">
        <v>4600</v>
      </c>
      <c r="U47" s="3668">
        <f t="shared" si="10"/>
        <v>100</v>
      </c>
      <c r="V47" s="3667" t="s">
        <v>4600</v>
      </c>
      <c r="W47" s="3668">
        <f t="shared" si="11"/>
        <v>100</v>
      </c>
      <c r="X47" s="3669"/>
      <c r="Y47" s="4159"/>
      <c r="Z47" s="3670">
        <f t="shared" si="12"/>
        <v>0</v>
      </c>
      <c r="AA47" s="3613">
        <f t="shared" si="3"/>
        <v>1</v>
      </c>
      <c r="AB47" s="3613">
        <f t="shared" si="4"/>
        <v>1</v>
      </c>
      <c r="AC47" s="3613">
        <f t="shared" si="5"/>
        <v>1</v>
      </c>
    </row>
    <row r="48" spans="1:29" ht="20.25">
      <c r="A48" s="3689" t="s">
        <v>556</v>
      </c>
      <c r="B48" s="3690" t="s">
        <v>4620</v>
      </c>
      <c r="C48" s="3691" t="s">
        <v>1764</v>
      </c>
      <c r="D48" s="3692"/>
      <c r="E48" s="3693">
        <f>[1]住宅用地案例!P12</f>
        <v>3581.25</v>
      </c>
      <c r="F48" s="3694"/>
      <c r="G48" s="3695">
        <f>[1]住宅用地案例!P16</f>
        <v>3083.34</v>
      </c>
      <c r="H48" s="3696"/>
      <c r="I48" s="3693">
        <f>[1]住宅用地案例!P18</f>
        <v>2718.75</v>
      </c>
      <c r="J48" s="3696"/>
      <c r="K48" s="3697"/>
      <c r="L48" s="3698"/>
      <c r="M48" s="3528"/>
      <c r="N48" s="3528"/>
      <c r="O48" s="3699"/>
      <c r="P48" s="4153" t="str">
        <f>A48</f>
        <v>成交单价</v>
      </c>
      <c r="Q48" s="4153"/>
      <c r="R48" s="4160">
        <f>E48</f>
        <v>3581.25</v>
      </c>
      <c r="S48" s="4160"/>
      <c r="T48" s="4160">
        <f>G48</f>
        <v>3083.34</v>
      </c>
      <c r="U48" s="4160"/>
      <c r="V48" s="4160">
        <f>I48</f>
        <v>2718.75</v>
      </c>
      <c r="W48" s="4160"/>
      <c r="X48" s="3700"/>
      <c r="Y48" s="3701"/>
      <c r="Z48" s="3700"/>
      <c r="AA48" s="3700"/>
      <c r="AB48" s="3700"/>
      <c r="AC48" s="3700"/>
    </row>
    <row r="49" spans="1:29" ht="21" thickBot="1">
      <c r="A49" s="3702" t="s">
        <v>4621</v>
      </c>
      <c r="B49" s="3703"/>
      <c r="C49" s="3704">
        <f>R50</f>
        <v>3341</v>
      </c>
      <c r="D49" s="3705"/>
      <c r="E49" s="3704">
        <f>R49</f>
        <v>3766</v>
      </c>
      <c r="F49" s="3706"/>
      <c r="G49" s="3707">
        <f>T49</f>
        <v>3309</v>
      </c>
      <c r="H49" s="3705"/>
      <c r="I49" s="3704">
        <f>V49</f>
        <v>2948</v>
      </c>
      <c r="J49" s="3705"/>
      <c r="K49" s="3708"/>
      <c r="L49" s="3698"/>
      <c r="M49" s="3528"/>
      <c r="N49" s="3528"/>
      <c r="O49" s="3699"/>
      <c r="P49" s="4153" t="str">
        <f>A49</f>
        <v>比较价格（元/平方米）</v>
      </c>
      <c r="Q49" s="4153"/>
      <c r="R49" s="4154">
        <f>ROUND(PRODUCT(R48,AA9:AA47),0)</f>
        <v>3766</v>
      </c>
      <c r="S49" s="4154"/>
      <c r="T49" s="4154">
        <f>ROUND(PRODUCT(T48,AB9:AB47),0)</f>
        <v>3309</v>
      </c>
      <c r="U49" s="4154"/>
      <c r="V49" s="4154">
        <f>ROUND(PRODUCT(V48,AC9:AC47),0)</f>
        <v>2948</v>
      </c>
      <c r="W49" s="4154"/>
      <c r="X49" s="3700"/>
      <c r="Y49" s="3700"/>
      <c r="Z49" s="3700"/>
      <c r="AA49" s="3700"/>
      <c r="AB49" s="3700"/>
      <c r="AC49" s="3700"/>
    </row>
    <row r="50" spans="1:29" ht="21" thickBot="1">
      <c r="A50" s="3709" t="s">
        <v>4622</v>
      </c>
      <c r="B50" s="3710"/>
      <c r="C50" s="3711">
        <f>R50</f>
        <v>3341</v>
      </c>
      <c r="D50" s="3711"/>
      <c r="E50" s="3711"/>
      <c r="F50" s="3711"/>
      <c r="G50" s="3711"/>
      <c r="H50" s="3711"/>
      <c r="I50" s="3711"/>
      <c r="J50" s="3711"/>
      <c r="K50" s="3712"/>
      <c r="L50" s="3698"/>
      <c r="M50" s="3528"/>
      <c r="N50" s="3528"/>
      <c r="O50" s="3699"/>
      <c r="P50" s="4155" t="str">
        <f>A50</f>
        <v>估价对象XX用房的比较价格（楼面单价，元/平方米）</v>
      </c>
      <c r="Q50" s="4156"/>
      <c r="R50" s="4157">
        <f>ROUND(AVERAGE(R49:V49),0)</f>
        <v>3341</v>
      </c>
      <c r="S50" s="4157"/>
      <c r="T50" s="4157"/>
      <c r="U50" s="4157"/>
      <c r="V50" s="4157"/>
      <c r="W50" s="4157"/>
      <c r="X50" s="3700"/>
      <c r="Y50" s="3700"/>
      <c r="Z50" s="3700"/>
      <c r="AA50" s="3700"/>
      <c r="AB50" s="3700"/>
      <c r="AC50" s="3700"/>
    </row>
    <row r="51" spans="1:29" ht="20.25">
      <c r="A51" s="3699"/>
      <c r="B51" s="3699"/>
      <c r="C51" s="3699"/>
      <c r="D51" s="3699"/>
      <c r="E51" s="3699"/>
      <c r="F51" s="3699"/>
      <c r="G51" s="3713"/>
      <c r="H51" s="3699"/>
      <c r="I51" s="3699"/>
      <c r="J51" s="3699"/>
      <c r="K51" s="3714"/>
      <c r="L51" s="3715"/>
      <c r="M51" s="3528"/>
      <c r="N51" s="3528"/>
      <c r="O51" s="3699"/>
      <c r="P51" s="3700"/>
      <c r="Q51" s="3699"/>
      <c r="R51" s="3699"/>
      <c r="S51" s="3699"/>
      <c r="T51" s="3699"/>
      <c r="U51" s="3699"/>
      <c r="V51" s="3699"/>
      <c r="W51" s="3699"/>
      <c r="X51" s="3699"/>
      <c r="Y51" s="3699"/>
      <c r="Z51" s="3699"/>
      <c r="AA51" s="3699"/>
      <c r="AB51" s="3699"/>
      <c r="AC51" s="3699"/>
    </row>
    <row r="52" spans="1:29" ht="20.25">
      <c r="A52" s="3699"/>
      <c r="B52" s="3699"/>
      <c r="C52" s="3699"/>
      <c r="D52" s="3699"/>
      <c r="E52" s="3699"/>
      <c r="F52" s="3699"/>
      <c r="G52" s="3699"/>
      <c r="H52" s="3699"/>
      <c r="I52" s="3699"/>
      <c r="J52" s="3699"/>
      <c r="K52" s="3714"/>
      <c r="L52" s="3715"/>
      <c r="M52" s="3528"/>
      <c r="N52" s="3528"/>
      <c r="O52" s="3699"/>
      <c r="P52" s="3700"/>
      <c r="Q52" s="3699"/>
      <c r="R52" s="3699"/>
      <c r="S52" s="3699"/>
      <c r="T52" s="3699"/>
      <c r="U52" s="3699"/>
      <c r="V52" s="3699"/>
      <c r="W52" s="3699"/>
      <c r="X52" s="3699"/>
      <c r="Y52" s="3699"/>
      <c r="Z52" s="3699"/>
      <c r="AA52" s="3699"/>
      <c r="AB52" s="3699"/>
      <c r="AC52" s="3699"/>
    </row>
    <row r="53" spans="1:29" ht="13.5" customHeight="1">
      <c r="A53" s="3699"/>
      <c r="B53" s="3699"/>
      <c r="C53" s="3716" t="s">
        <v>4623</v>
      </c>
      <c r="D53" s="3717"/>
      <c r="E53" s="3718">
        <f>IF(E48&lt;E49,E49/E48-1,E48/E49-1)</f>
        <v>5.158813263525297E-2</v>
      </c>
      <c r="F53" s="3719" t="str">
        <f>IF(OR(E53&gt;=0.3,E53&lt;=-0.3),"超过30%","")</f>
        <v/>
      </c>
      <c r="G53" s="3718">
        <f>IF(G48&lt;G49,G49/G48-1,G48/G49-1)</f>
        <v>7.3186868785148462E-2</v>
      </c>
      <c r="H53" s="3719" t="str">
        <f>IF(OR(G53&gt;=0.3,G53&lt;=-0.3),"超过30%","")</f>
        <v/>
      </c>
      <c r="I53" s="3718">
        <f>IF(I48&lt;I49,I49/I48-1,I48/I49-1)</f>
        <v>8.4321839080459871E-2</v>
      </c>
      <c r="J53" s="3719" t="str">
        <f>IF(OR(I53&gt;=0.3,I53&lt;=-0.3),"超过30%","")</f>
        <v/>
      </c>
      <c r="K53" s="3714"/>
      <c r="L53" s="3715"/>
      <c r="M53" s="3528"/>
      <c r="N53" s="3528"/>
      <c r="O53" s="3699"/>
      <c r="P53" s="3700"/>
      <c r="Q53" s="3699"/>
      <c r="R53" s="3699"/>
      <c r="S53" s="3699"/>
      <c r="T53" s="3699"/>
      <c r="U53" s="3699"/>
      <c r="V53" s="3699"/>
      <c r="W53" s="3699"/>
      <c r="X53" s="3699"/>
      <c r="Y53" s="3699"/>
      <c r="Z53" s="3699"/>
      <c r="AA53" s="3699"/>
      <c r="AB53" s="3699"/>
      <c r="AC53" s="3699"/>
    </row>
    <row r="54" spans="1:29" ht="13.5" customHeight="1">
      <c r="A54" s="3699"/>
      <c r="B54" s="3699"/>
      <c r="C54" s="3716" t="s">
        <v>4624</v>
      </c>
      <c r="D54" s="3720"/>
      <c r="E54" s="3718">
        <f>IF(E49&lt;G49,G49/E49-1,E49/G49-1)</f>
        <v>0.13810818978543371</v>
      </c>
      <c r="F54" s="3719" t="str">
        <f>IF(OR(E54&gt;=0.2,E54&lt;=-0.2),"超过20%","")</f>
        <v/>
      </c>
      <c r="G54" s="3718">
        <f>IF(G49&lt;I49,I49/G49-1,G49/I49-1)</f>
        <v>0.12245590230664849</v>
      </c>
      <c r="H54" s="3719" t="str">
        <f>IF(OR(G54&gt;=0.2,G54&lt;=-0.2),"超过20%","")</f>
        <v/>
      </c>
      <c r="I54" s="3718">
        <f>IF(I49&lt;E49,E49/I49-1,I49/E49-1)</f>
        <v>0.27747625508819529</v>
      </c>
      <c r="J54" s="3719" t="str">
        <f>IF(OR(I54&gt;=0.2,I54&lt;=-0.2),"超过20%","")</f>
        <v>超过20%</v>
      </c>
      <c r="K54" s="3714"/>
      <c r="L54" s="3715"/>
      <c r="M54" s="3528"/>
      <c r="N54" s="3528"/>
      <c r="O54" s="3699"/>
      <c r="P54" s="3700"/>
      <c r="Q54" s="3699"/>
      <c r="R54" s="3699"/>
      <c r="S54" s="3699"/>
      <c r="T54" s="3699"/>
      <c r="U54" s="3699"/>
      <c r="V54" s="3699"/>
      <c r="W54" s="3699"/>
      <c r="X54" s="3699"/>
      <c r="Y54" s="3699"/>
      <c r="Z54" s="3699"/>
      <c r="AA54" s="3699"/>
      <c r="AB54" s="3699"/>
      <c r="AC54" s="3699"/>
    </row>
    <row r="55" spans="1:29" s="3725" customFormat="1" ht="13.5" customHeight="1">
      <c r="A55" s="3721"/>
      <c r="B55" s="3721"/>
      <c r="C55" s="3716" t="s">
        <v>4625</v>
      </c>
      <c r="D55" s="3720"/>
      <c r="E55" s="3718">
        <f>IF(E48&lt;G48,G48/E48-1,E48/G48-1)</f>
        <v>0.16148397516978341</v>
      </c>
      <c r="F55" s="3719" t="str">
        <f>IF(OR(E55&gt;=0.3,E55&lt;=-0.3),"超过30%","")</f>
        <v/>
      </c>
      <c r="G55" s="3718">
        <f>IF(G48&lt;I48,I48/G48-1,G48/I48-1)</f>
        <v>0.13410206896551724</v>
      </c>
      <c r="H55" s="3719" t="str">
        <f>IF(OR(G55&gt;=0.3,G55&lt;=-0.3),"超过30%","")</f>
        <v/>
      </c>
      <c r="I55" s="3718">
        <f>IF(I48&lt;E48,E48/I48-1,I48/E48-1)</f>
        <v>0.3172413793103448</v>
      </c>
      <c r="J55" s="3719" t="str">
        <f>IF(OR(I55&gt;=0.3,I55&lt;=-0.3),"超过30%","")</f>
        <v>超过30%</v>
      </c>
      <c r="K55" s="3722"/>
      <c r="L55" s="3723"/>
      <c r="M55" s="3528"/>
      <c r="N55" s="3528"/>
      <c r="O55" s="3721"/>
      <c r="P55" s="3724"/>
      <c r="Q55" s="3721"/>
      <c r="R55" s="3721"/>
      <c r="S55" s="3721"/>
      <c r="T55" s="3721"/>
      <c r="U55" s="3721"/>
      <c r="V55" s="3721"/>
      <c r="W55" s="3721"/>
      <c r="X55" s="3721"/>
      <c r="Y55" s="3721"/>
      <c r="Z55" s="3721"/>
      <c r="AA55" s="3721"/>
      <c r="AB55" s="3721"/>
      <c r="AC55" s="3721"/>
    </row>
    <row r="56" spans="1:29" s="3725" customFormat="1" ht="21" thickBot="1">
      <c r="A56" s="3721"/>
      <c r="B56" s="3726"/>
      <c r="C56" s="3727"/>
      <c r="D56" s="3721"/>
      <c r="E56" s="3721"/>
      <c r="F56" s="3721"/>
      <c r="G56" s="3721"/>
      <c r="H56" s="3721"/>
      <c r="I56" s="3721"/>
      <c r="J56" s="3721"/>
      <c r="K56" s="3722"/>
      <c r="L56" s="3723"/>
      <c r="M56" s="3528"/>
      <c r="N56" s="3528"/>
      <c r="O56" s="3721"/>
      <c r="P56" s="3724"/>
      <c r="Q56" s="3721"/>
      <c r="R56" s="3721"/>
      <c r="S56" s="3721"/>
      <c r="T56" s="3721"/>
      <c r="U56" s="3721"/>
      <c r="V56" s="3721"/>
      <c r="W56" s="3721"/>
      <c r="X56" s="3721"/>
      <c r="Y56" s="3721"/>
      <c r="Z56" s="3721"/>
      <c r="AA56" s="3721"/>
      <c r="AB56" s="3721"/>
      <c r="AC56" s="3721"/>
    </row>
    <row r="57" spans="1:29" ht="26.25" customHeight="1">
      <c r="A57" s="3728" t="s">
        <v>4626</v>
      </c>
      <c r="B57" s="3729" t="s">
        <v>4627</v>
      </c>
      <c r="C57" s="3730" t="s">
        <v>1724</v>
      </c>
      <c r="D57" s="3731" t="s">
        <v>4628</v>
      </c>
      <c r="E57" s="3732" t="s">
        <v>4629</v>
      </c>
      <c r="F57" s="3733" t="s">
        <v>4630</v>
      </c>
      <c r="G57" s="4148" t="s">
        <v>4631</v>
      </c>
      <c r="H57" s="4149"/>
      <c r="I57" s="3734" t="s">
        <v>4632</v>
      </c>
      <c r="J57" s="3734" t="str">
        <f>[1]项目基本情况!F41</f>
        <v>四川省成都市都江堰市</v>
      </c>
      <c r="K57" s="3735" t="s">
        <v>4633</v>
      </c>
      <c r="L57" s="3715"/>
      <c r="M57" s="3699"/>
      <c r="N57" s="3699"/>
      <c r="O57" s="3699"/>
      <c r="P57" s="3699"/>
      <c r="Q57" s="3699"/>
      <c r="R57" s="3699"/>
      <c r="S57" s="3699"/>
      <c r="T57" s="3699"/>
      <c r="U57" s="3699"/>
      <c r="V57" s="3699"/>
      <c r="W57" s="3699"/>
      <c r="X57" s="3699"/>
      <c r="Y57" s="3699"/>
      <c r="Z57" s="3699"/>
      <c r="AA57" s="3699"/>
      <c r="AB57" s="3699"/>
      <c r="AC57" s="3699"/>
    </row>
    <row r="58" spans="1:29" s="3741" customFormat="1" ht="12.75">
      <c r="A58" s="3736" t="s">
        <v>4634</v>
      </c>
      <c r="B58" s="632">
        <f>C50</f>
        <v>3341</v>
      </c>
      <c r="C58" s="3737">
        <v>1</v>
      </c>
      <c r="D58" s="3738">
        <v>1</v>
      </c>
      <c r="E58" s="3737">
        <f>'[1]数据-汇总表'!E8+'[1]数据-汇总表'!E9</f>
        <v>336517.39</v>
      </c>
      <c r="F58" s="634">
        <f t="shared" ref="F58:F67" si="14">ROUND(B58*E58/10000,0)</f>
        <v>112430</v>
      </c>
      <c r="G58" s="4150"/>
      <c r="H58" s="4151"/>
      <c r="I58" s="3739">
        <v>1</v>
      </c>
      <c r="J58" s="3739">
        <v>1</v>
      </c>
      <c r="K58" s="3740"/>
      <c r="L58" s="3740"/>
      <c r="M58" s="3740"/>
      <c r="N58" s="3740"/>
      <c r="O58" s="3740"/>
      <c r="P58" s="3740"/>
      <c r="Q58" s="3740"/>
      <c r="R58" s="3740"/>
      <c r="S58" s="3740"/>
      <c r="T58" s="3740"/>
      <c r="U58" s="3740"/>
      <c r="V58" s="3740"/>
      <c r="W58" s="3740"/>
      <c r="X58" s="3740"/>
      <c r="Y58" s="3740"/>
      <c r="Z58" s="3740"/>
      <c r="AA58" s="3740"/>
      <c r="AB58" s="3740"/>
      <c r="AC58" s="3740"/>
    </row>
    <row r="59" spans="1:29" s="3741" customFormat="1" ht="12.75">
      <c r="A59" s="635" t="s">
        <v>4635</v>
      </c>
      <c r="B59" s="636">
        <f>ROUND($C$50*C59*D59,0)</f>
        <v>0</v>
      </c>
      <c r="C59" s="3742">
        <f t="shared" ref="C59:C67" si="15">IF($C$57="北京市系数",I59,J59)</f>
        <v>0</v>
      </c>
      <c r="D59" s="3743">
        <v>0.25</v>
      </c>
      <c r="E59" s="637">
        <v>0</v>
      </c>
      <c r="F59" s="634">
        <f t="shared" si="14"/>
        <v>0</v>
      </c>
      <c r="G59" s="4152" t="s">
        <v>4636</v>
      </c>
      <c r="H59" s="3744">
        <f>[1]项目基本情况!B43</f>
        <v>0</v>
      </c>
      <c r="I59" s="3739">
        <f>SUMIF([1]修正!$A$45:$A$56,H59,[1]修正!B45:B56)</f>
        <v>0</v>
      </c>
      <c r="J59" s="3745"/>
      <c r="K59" s="3740"/>
      <c r="L59" s="3740"/>
      <c r="M59" s="3740"/>
      <c r="N59" s="3740"/>
      <c r="O59" s="3740"/>
      <c r="P59" s="3740"/>
      <c r="Q59" s="3740"/>
      <c r="R59" s="3740"/>
      <c r="S59" s="3740"/>
      <c r="T59" s="3740"/>
      <c r="U59" s="3740"/>
      <c r="V59" s="3740"/>
      <c r="W59" s="3740"/>
      <c r="X59" s="3740"/>
      <c r="Y59" s="3740"/>
      <c r="Z59" s="3740"/>
      <c r="AA59" s="3740"/>
      <c r="AB59" s="3740"/>
      <c r="AC59" s="3740"/>
    </row>
    <row r="60" spans="1:29" s="3741" customFormat="1" ht="12.75">
      <c r="A60" s="635" t="s">
        <v>4637</v>
      </c>
      <c r="B60" s="636">
        <f t="shared" ref="B60:B67" si="16">ROUND($C$50*C60*D60,0)</f>
        <v>0</v>
      </c>
      <c r="C60" s="3742">
        <f t="shared" si="15"/>
        <v>0</v>
      </c>
      <c r="D60" s="3743">
        <v>0.25</v>
      </c>
      <c r="E60" s="637">
        <v>0</v>
      </c>
      <c r="F60" s="634">
        <f t="shared" si="14"/>
        <v>0</v>
      </c>
      <c r="G60" s="4152"/>
      <c r="H60" s="3744">
        <f>[1]项目基本情况!B43</f>
        <v>0</v>
      </c>
      <c r="I60" s="3739">
        <f>SUMIF([1]修正!$A$45:$A$56,H60,[1]修正!C45:C56)</f>
        <v>0</v>
      </c>
      <c r="J60" s="3745"/>
      <c r="K60" s="3740"/>
      <c r="L60" s="3740"/>
      <c r="M60" s="3740"/>
      <c r="N60" s="3740"/>
      <c r="O60" s="3740"/>
      <c r="P60" s="3740"/>
      <c r="Q60" s="3740"/>
      <c r="R60" s="3740"/>
      <c r="S60" s="3740"/>
      <c r="T60" s="3740"/>
      <c r="U60" s="3740"/>
      <c r="V60" s="3740"/>
      <c r="W60" s="3740"/>
      <c r="X60" s="3740"/>
      <c r="Y60" s="3740"/>
      <c r="Z60" s="3740"/>
      <c r="AA60" s="3740"/>
      <c r="AB60" s="3740"/>
      <c r="AC60" s="3740"/>
    </row>
    <row r="61" spans="1:29" s="3741" customFormat="1" ht="12.75">
      <c r="A61" s="635" t="s">
        <v>4638</v>
      </c>
      <c r="B61" s="636">
        <f t="shared" si="16"/>
        <v>0</v>
      </c>
      <c r="C61" s="3742">
        <f t="shared" si="15"/>
        <v>0</v>
      </c>
      <c r="D61" s="3743">
        <v>0.25</v>
      </c>
      <c r="E61" s="637">
        <v>0</v>
      </c>
      <c r="F61" s="634">
        <f t="shared" si="14"/>
        <v>0</v>
      </c>
      <c r="G61" s="4152"/>
      <c r="H61" s="3744">
        <f>[1]项目基本情况!B43</f>
        <v>0</v>
      </c>
      <c r="I61" s="3739">
        <f>SUMIF([1]修正!$A$45:$A$56,H61,[1]修正!D45:D56)</f>
        <v>0</v>
      </c>
      <c r="J61" s="3745"/>
      <c r="K61" s="3740"/>
      <c r="L61" s="3740"/>
      <c r="M61" s="3740"/>
      <c r="N61" s="3740"/>
      <c r="O61" s="3740"/>
      <c r="P61" s="3740"/>
      <c r="Q61" s="3740"/>
      <c r="R61" s="3740"/>
      <c r="S61" s="3740"/>
      <c r="T61" s="3740"/>
      <c r="U61" s="3740"/>
      <c r="V61" s="3740"/>
      <c r="W61" s="3740"/>
      <c r="X61" s="3740"/>
      <c r="Y61" s="3740"/>
      <c r="Z61" s="3740"/>
      <c r="AA61" s="3740"/>
      <c r="AB61" s="3740"/>
      <c r="AC61" s="3740"/>
    </row>
    <row r="62" spans="1:29" s="3741" customFormat="1" ht="12.75">
      <c r="A62" s="635" t="s">
        <v>4639</v>
      </c>
      <c r="B62" s="636">
        <f t="shared" si="16"/>
        <v>0</v>
      </c>
      <c r="C62" s="3742">
        <f t="shared" si="15"/>
        <v>0</v>
      </c>
      <c r="D62" s="3743">
        <v>0.25</v>
      </c>
      <c r="E62" s="637">
        <v>0</v>
      </c>
      <c r="F62" s="634">
        <f t="shared" si="14"/>
        <v>0</v>
      </c>
      <c r="G62" s="4152"/>
      <c r="H62" s="3744">
        <f>[1]项目基本情况!B43</f>
        <v>0</v>
      </c>
      <c r="I62" s="3739">
        <f>SUMIF([1]修正!$A$45:$A$56,H62,[1]修正!E45:E56)</f>
        <v>0</v>
      </c>
      <c r="J62" s="3745"/>
      <c r="K62" s="3740"/>
      <c r="L62" s="3740"/>
      <c r="M62" s="3740"/>
      <c r="N62" s="3740"/>
      <c r="O62" s="3740"/>
      <c r="P62" s="3740"/>
      <c r="Q62" s="3740"/>
      <c r="R62" s="3740"/>
      <c r="S62" s="3740"/>
      <c r="T62" s="3740"/>
      <c r="U62" s="3740"/>
      <c r="V62" s="3740"/>
      <c r="W62" s="3740"/>
      <c r="X62" s="3740"/>
      <c r="Y62" s="3740"/>
      <c r="Z62" s="3740"/>
      <c r="AA62" s="3740"/>
      <c r="AB62" s="3740"/>
      <c r="AC62" s="3740"/>
    </row>
    <row r="63" spans="1:29" s="3741" customFormat="1" ht="12.75">
      <c r="A63" s="2329" t="s">
        <v>4640</v>
      </c>
      <c r="B63" s="636">
        <f t="shared" si="16"/>
        <v>0</v>
      </c>
      <c r="C63" s="3742">
        <f t="shared" si="15"/>
        <v>0</v>
      </c>
      <c r="D63" s="3743">
        <v>0.25</v>
      </c>
      <c r="E63" s="639">
        <f>'[1]数据-汇总表'!E11</f>
        <v>0</v>
      </c>
      <c r="F63" s="634">
        <f t="shared" si="14"/>
        <v>0</v>
      </c>
      <c r="G63" s="3746" t="s">
        <v>4641</v>
      </c>
      <c r="H63" s="3744">
        <f>[1]项目基本情况!C43</f>
        <v>0</v>
      </c>
      <c r="I63" s="3739">
        <f>SUMIF([1]修正!$A$45:$A$56,H63,[1]修正!F45:F56)</f>
        <v>0</v>
      </c>
      <c r="J63" s="3745"/>
      <c r="K63" s="3740"/>
      <c r="L63" s="3740"/>
      <c r="M63" s="3740"/>
      <c r="N63" s="3740"/>
      <c r="O63" s="3740"/>
      <c r="P63" s="3740"/>
      <c r="Q63" s="3740"/>
      <c r="R63" s="3740"/>
      <c r="S63" s="3740"/>
      <c r="T63" s="3740"/>
      <c r="U63" s="3740"/>
      <c r="V63" s="3740"/>
      <c r="W63" s="3740"/>
      <c r="X63" s="3740"/>
      <c r="Y63" s="3740"/>
      <c r="Z63" s="3740"/>
      <c r="AA63" s="3740"/>
      <c r="AB63" s="3740"/>
      <c r="AC63" s="3740"/>
    </row>
    <row r="64" spans="1:29" s="3741" customFormat="1" ht="12.75">
      <c r="A64" s="635" t="s">
        <v>4642</v>
      </c>
      <c r="B64" s="636">
        <f t="shared" si="16"/>
        <v>0</v>
      </c>
      <c r="C64" s="3742">
        <f t="shared" si="15"/>
        <v>0</v>
      </c>
      <c r="D64" s="3743">
        <v>0.25</v>
      </c>
      <c r="E64" s="639">
        <f>'[1]数据-汇总表'!E12</f>
        <v>0</v>
      </c>
      <c r="F64" s="634">
        <f t="shared" si="14"/>
        <v>0</v>
      </c>
      <c r="G64" s="3747" t="s">
        <v>1677</v>
      </c>
      <c r="H64" s="3748">
        <f>IF(G64="商业",[1]项目基本情况!B43,IF(G64="办公",[1]项目基本情况!C43,IF(G64="住宅",[1]项目基本情况!D43,[1]项目基本情况!E43)))</f>
        <v>0</v>
      </c>
      <c r="I64" s="3739">
        <f>SUMIF([1]修正!$A$45:$A$56,H64,[1]修正!G45:G56)</f>
        <v>0</v>
      </c>
      <c r="J64" s="3745"/>
      <c r="K64" s="3740"/>
      <c r="L64" s="3740"/>
      <c r="M64" s="3740"/>
      <c r="N64" s="3740"/>
      <c r="O64" s="3740"/>
      <c r="P64" s="3740"/>
      <c r="Q64" s="3740"/>
      <c r="R64" s="3740"/>
      <c r="S64" s="3740"/>
      <c r="T64" s="3740"/>
      <c r="U64" s="3740"/>
      <c r="V64" s="3740"/>
      <c r="W64" s="3740"/>
      <c r="X64" s="3740"/>
      <c r="Y64" s="3740"/>
      <c r="Z64" s="3740"/>
      <c r="AA64" s="3740"/>
      <c r="AB64" s="3740"/>
      <c r="AC64" s="3740"/>
    </row>
    <row r="65" spans="1:29" s="3741" customFormat="1" ht="12.75">
      <c r="A65" s="635" t="s">
        <v>4643</v>
      </c>
      <c r="B65" s="636">
        <f t="shared" si="16"/>
        <v>0</v>
      </c>
      <c r="C65" s="3742">
        <f t="shared" si="15"/>
        <v>0</v>
      </c>
      <c r="D65" s="3743">
        <v>0.25</v>
      </c>
      <c r="E65" s="639">
        <f>'[1]数据-汇总表'!E13</f>
        <v>84751.42</v>
      </c>
      <c r="F65" s="634">
        <f t="shared" si="14"/>
        <v>0</v>
      </c>
      <c r="G65" s="3747" t="s">
        <v>922</v>
      </c>
      <c r="H65" s="3748">
        <f>IF(G65="商业",[1]项目基本情况!B43,IF(G65="办公",[1]项目基本情况!C43,IF(G65="住宅",[1]项目基本情况!D43,[1]项目基本情况!E43)))</f>
        <v>0</v>
      </c>
      <c r="I65" s="3739">
        <f>SUMIF([1]修正!$A$45:$A$56,H65,[1]修正!H45:H56)</f>
        <v>0</v>
      </c>
      <c r="J65" s="3745"/>
      <c r="K65" s="3740"/>
      <c r="L65" s="3740"/>
      <c r="M65" s="3740"/>
      <c r="N65" s="3740"/>
      <c r="O65" s="3740"/>
      <c r="P65" s="3740"/>
      <c r="Q65" s="3740"/>
      <c r="R65" s="3740"/>
      <c r="S65" s="3740"/>
      <c r="T65" s="3740"/>
      <c r="U65" s="3740"/>
      <c r="V65" s="3740"/>
      <c r="W65" s="3740"/>
      <c r="X65" s="3740"/>
      <c r="Y65" s="3740"/>
      <c r="Z65" s="3740"/>
      <c r="AA65" s="3740"/>
      <c r="AB65" s="3740"/>
      <c r="AC65" s="3740"/>
    </row>
    <row r="66" spans="1:29" s="3741" customFormat="1" ht="12.75">
      <c r="A66" s="635" t="s">
        <v>4644</v>
      </c>
      <c r="B66" s="636">
        <f t="shared" si="16"/>
        <v>0</v>
      </c>
      <c r="C66" s="3742">
        <f t="shared" si="15"/>
        <v>0</v>
      </c>
      <c r="D66" s="3743">
        <v>0.25</v>
      </c>
      <c r="E66" s="639">
        <f>'[1]数据-汇总表'!E14</f>
        <v>0</v>
      </c>
      <c r="F66" s="634">
        <f t="shared" si="14"/>
        <v>0</v>
      </c>
      <c r="G66" s="3746" t="s">
        <v>4636</v>
      </c>
      <c r="H66" s="3744">
        <f>[1]项目基本情况!B43</f>
        <v>0</v>
      </c>
      <c r="I66" s="3739">
        <f>SUMIF([1]修正!$A$45:$A$56,H66,[1]修正!H45:H56)</f>
        <v>0</v>
      </c>
      <c r="J66" s="3745"/>
      <c r="K66" s="3740"/>
      <c r="L66" s="3740"/>
      <c r="M66" s="3740"/>
      <c r="N66" s="3740"/>
      <c r="O66" s="3740"/>
      <c r="P66" s="3740"/>
      <c r="Q66" s="3740"/>
      <c r="R66" s="3740"/>
      <c r="S66" s="3740"/>
      <c r="T66" s="3740"/>
      <c r="U66" s="3740"/>
      <c r="V66" s="3740"/>
      <c r="W66" s="3740"/>
      <c r="X66" s="3740"/>
      <c r="Y66" s="3740"/>
      <c r="Z66" s="3740"/>
      <c r="AA66" s="3740"/>
      <c r="AB66" s="3740"/>
      <c r="AC66" s="3740"/>
    </row>
    <row r="67" spans="1:29" s="3741" customFormat="1" ht="13.5" thickBot="1">
      <c r="A67" s="635" t="s">
        <v>4645</v>
      </c>
      <c r="B67" s="636">
        <f t="shared" si="16"/>
        <v>0</v>
      </c>
      <c r="C67" s="3742">
        <f t="shared" si="15"/>
        <v>0</v>
      </c>
      <c r="D67" s="3743">
        <v>0.25</v>
      </c>
      <c r="E67" s="639">
        <f>'[1]数据-汇总表'!E15</f>
        <v>0</v>
      </c>
      <c r="F67" s="634">
        <f t="shared" si="14"/>
        <v>0</v>
      </c>
      <c r="G67" s="3749" t="s">
        <v>4641</v>
      </c>
      <c r="H67" s="3750">
        <f>[1]项目基本情况!C43</f>
        <v>0</v>
      </c>
      <c r="I67" s="3739">
        <f>SUMIF([1]修正!$A$45:$A$56,H67,[1]修正!H45:H56)</f>
        <v>0</v>
      </c>
      <c r="J67" s="3745"/>
      <c r="K67" s="3740"/>
      <c r="L67" s="3740"/>
      <c r="M67" s="3740"/>
      <c r="N67" s="3740"/>
      <c r="O67" s="3740"/>
      <c r="P67" s="3740"/>
      <c r="Q67" s="3740"/>
      <c r="R67" s="3740"/>
      <c r="S67" s="3740"/>
      <c r="T67" s="3740"/>
      <c r="U67" s="3740"/>
      <c r="V67" s="3740"/>
      <c r="W67" s="3740"/>
      <c r="X67" s="3740"/>
      <c r="Y67" s="3740"/>
      <c r="Z67" s="3740"/>
      <c r="AA67" s="3740"/>
      <c r="AB67" s="3740"/>
      <c r="AC67" s="3740"/>
    </row>
    <row r="68" spans="1:29" s="3741" customFormat="1" ht="13.5" thickBot="1">
      <c r="A68" s="640" t="s">
        <v>4646</v>
      </c>
      <c r="B68" s="3751" t="s">
        <v>4647</v>
      </c>
      <c r="C68" s="3751" t="s">
        <v>4647</v>
      </c>
      <c r="D68" s="3751" t="s">
        <v>4647</v>
      </c>
      <c r="E68" s="3751">
        <f>IF(B48="楼面地价",SUM(E58:E67),'[1]数据-汇总表'!D3)</f>
        <v>421268.81</v>
      </c>
      <c r="F68" s="3752">
        <f>IF(B48="楼面地价",SUM(F58:F67),ROUND(C50*E68/10000,0))</f>
        <v>112430</v>
      </c>
      <c r="G68" s="3753"/>
      <c r="H68" s="3753"/>
      <c r="I68" s="3753"/>
      <c r="J68" s="3753"/>
      <c r="K68" s="3753"/>
      <c r="L68" s="3740"/>
      <c r="M68" s="3740"/>
      <c r="N68" s="3740"/>
      <c r="O68" s="3740"/>
      <c r="P68" s="3740"/>
      <c r="Q68" s="3740"/>
      <c r="R68" s="3740"/>
      <c r="S68" s="3740"/>
      <c r="T68" s="3740"/>
      <c r="U68" s="3740"/>
      <c r="V68" s="3740"/>
      <c r="W68" s="3740"/>
      <c r="X68" s="3740"/>
      <c r="Y68" s="3740"/>
      <c r="Z68" s="3740"/>
      <c r="AA68" s="3740"/>
      <c r="AB68" s="3740"/>
      <c r="AC68" s="3740"/>
    </row>
    <row r="69" spans="1:29">
      <c r="A69" s="3699"/>
      <c r="B69" s="3726"/>
      <c r="C69" s="3727"/>
      <c r="D69" s="3699"/>
      <c r="E69" s="3699"/>
      <c r="F69" s="3699"/>
      <c r="G69" s="3699"/>
      <c r="H69" s="3699"/>
      <c r="I69" s="3699"/>
      <c r="J69" s="3699"/>
      <c r="K69" s="3714"/>
      <c r="L69" s="3715"/>
      <c r="M69" s="3699"/>
      <c r="N69" s="3699"/>
      <c r="O69" s="3699"/>
      <c r="P69" s="3699"/>
      <c r="Q69" s="3699"/>
      <c r="R69" s="3699"/>
      <c r="S69" s="3699"/>
      <c r="T69" s="3699"/>
      <c r="U69" s="3699"/>
      <c r="V69" s="3699"/>
      <c r="W69" s="3699"/>
      <c r="X69" s="3699"/>
      <c r="Y69" s="3699"/>
      <c r="Z69" s="3699"/>
      <c r="AA69" s="3699"/>
      <c r="AB69" s="3699"/>
      <c r="AC69" s="3699"/>
    </row>
    <row r="70" spans="1:29">
      <c r="A70" s="3699"/>
      <c r="B70" s="3726"/>
      <c r="C70" s="3754" t="str">
        <f>YEAR(C9)&amp;"-"&amp;MONTH(C9)&amp;"-1"</f>
        <v>2018-5-1</v>
      </c>
      <c r="D70" s="3754">
        <f>EDATE(C70,-3)</f>
        <v>43132</v>
      </c>
      <c r="E70" s="3754">
        <f t="shared" ref="E70:N70" si="17">EDATE(D70,-3)</f>
        <v>43040</v>
      </c>
      <c r="F70" s="3754">
        <f t="shared" si="17"/>
        <v>42948</v>
      </c>
      <c r="G70" s="3754">
        <f t="shared" si="17"/>
        <v>42856</v>
      </c>
      <c r="H70" s="3754">
        <f t="shared" si="17"/>
        <v>42767</v>
      </c>
      <c r="I70" s="3754">
        <f t="shared" si="17"/>
        <v>42675</v>
      </c>
      <c r="J70" s="3754">
        <f t="shared" si="17"/>
        <v>42583</v>
      </c>
      <c r="K70" s="3754">
        <f t="shared" si="17"/>
        <v>42491</v>
      </c>
      <c r="L70" s="3754">
        <f t="shared" si="17"/>
        <v>42401</v>
      </c>
      <c r="M70" s="3754">
        <f t="shared" si="17"/>
        <v>42309</v>
      </c>
      <c r="N70" s="3754">
        <f t="shared" si="17"/>
        <v>42217</v>
      </c>
      <c r="O70" s="3699"/>
      <c r="P70" s="3699"/>
      <c r="Q70" s="3699"/>
      <c r="R70" s="3699"/>
      <c r="S70" s="3699"/>
      <c r="T70" s="3699"/>
      <c r="U70" s="3699"/>
      <c r="V70" s="3699"/>
      <c r="W70" s="3699"/>
      <c r="X70" s="3699"/>
      <c r="Y70" s="3699"/>
      <c r="Z70" s="3699"/>
      <c r="AA70" s="3699"/>
      <c r="AB70" s="3699"/>
      <c r="AC70" s="3699"/>
    </row>
    <row r="71" spans="1:29" ht="21.75" thickBot="1">
      <c r="A71" s="3755" t="s">
        <v>4648</v>
      </c>
      <c r="B71" s="3700"/>
      <c r="C71" s="3756"/>
      <c r="D71" s="3756"/>
      <c r="E71" s="3756"/>
      <c r="F71" s="3757"/>
      <c r="G71" s="3757"/>
      <c r="H71" s="3756"/>
      <c r="I71" s="3756"/>
      <c r="J71" s="3756"/>
      <c r="K71" s="3758"/>
      <c r="L71" s="3759"/>
      <c r="M71" s="3756"/>
      <c r="N71" s="3756"/>
      <c r="O71" s="3760"/>
      <c r="P71" s="3760"/>
      <c r="Q71" s="3761"/>
      <c r="R71" s="3699"/>
      <c r="S71" s="3699"/>
      <c r="T71" s="3699"/>
      <c r="U71" s="3699"/>
      <c r="V71" s="3699"/>
      <c r="W71" s="3699"/>
      <c r="X71" s="3699"/>
      <c r="Y71" s="3699"/>
      <c r="Z71" s="3699"/>
      <c r="AA71" s="3699"/>
      <c r="AB71" s="3699"/>
      <c r="AC71" s="3699"/>
    </row>
    <row r="72" spans="1:29" s="3768" customFormat="1" ht="15">
      <c r="A72" s="3762" t="s">
        <v>4649</v>
      </c>
      <c r="B72" s="3763"/>
      <c r="C72" s="3764" t="str">
        <f>YEAR(C70)&amp;"-"&amp;ROUNDUP(MONTH(C70)/3,0)</f>
        <v>2018-2</v>
      </c>
      <c r="D72" s="3764" t="str">
        <f>YEAR(D70)&amp;"-"&amp;ROUNDUP(MONTH(D70)/3,0)</f>
        <v>2018-1</v>
      </c>
      <c r="E72" s="3764" t="str">
        <f t="shared" ref="E72:N72" si="18">YEAR(E70)&amp;"-"&amp;ROUNDUP(MONTH(E70)/3,0)</f>
        <v>2017-4</v>
      </c>
      <c r="F72" s="3764" t="str">
        <f t="shared" si="18"/>
        <v>2017-3</v>
      </c>
      <c r="G72" s="3764" t="str">
        <f t="shared" si="18"/>
        <v>2017-2</v>
      </c>
      <c r="H72" s="3764" t="str">
        <f t="shared" si="18"/>
        <v>2017-1</v>
      </c>
      <c r="I72" s="3764" t="str">
        <f t="shared" si="18"/>
        <v>2016-4</v>
      </c>
      <c r="J72" s="3764" t="str">
        <f t="shared" si="18"/>
        <v>2016-3</v>
      </c>
      <c r="K72" s="3764" t="str">
        <f t="shared" si="18"/>
        <v>2016-2</v>
      </c>
      <c r="L72" s="3764" t="str">
        <f t="shared" si="18"/>
        <v>2016-1</v>
      </c>
      <c r="M72" s="3764" t="str">
        <f t="shared" si="18"/>
        <v>2015-4</v>
      </c>
      <c r="N72" s="3764" t="str">
        <f t="shared" si="18"/>
        <v>2015-3</v>
      </c>
      <c r="O72" s="3765"/>
      <c r="P72" s="3766"/>
      <c r="Q72" s="3767"/>
      <c r="R72" s="3767"/>
      <c r="S72" s="3767"/>
      <c r="T72" s="3767"/>
      <c r="U72" s="3767"/>
      <c r="V72" s="3767"/>
      <c r="W72" s="3767"/>
      <c r="X72" s="3767"/>
      <c r="Y72" s="3767"/>
      <c r="Z72" s="3767"/>
      <c r="AA72" s="3767"/>
      <c r="AB72" s="3767"/>
      <c r="AC72" s="3767"/>
    </row>
    <row r="73" spans="1:29" s="3560" customFormat="1" ht="27" customHeight="1">
      <c r="A73" s="3769" t="s">
        <v>922</v>
      </c>
      <c r="B73" s="3770" t="str">
        <f>"北京市平均增长率"&amp;TEXT(SUMIF([1]基准地价!N21:N25,A73,[1]基准地价!P21:P25),"0.00%")</f>
        <v>北京市平均增长率2.50%</v>
      </c>
      <c r="C73" s="3771">
        <v>100</v>
      </c>
      <c r="D73" s="3772">
        <f>C73-$C$74</f>
        <v>99</v>
      </c>
      <c r="E73" s="3772">
        <f t="shared" ref="E73:N73" si="19">D73-$C$74</f>
        <v>98</v>
      </c>
      <c r="F73" s="3772">
        <f t="shared" si="19"/>
        <v>97</v>
      </c>
      <c r="G73" s="3772">
        <f t="shared" si="19"/>
        <v>96</v>
      </c>
      <c r="H73" s="3772">
        <f t="shared" si="19"/>
        <v>95</v>
      </c>
      <c r="I73" s="3772">
        <f t="shared" si="19"/>
        <v>94</v>
      </c>
      <c r="J73" s="3772">
        <f t="shared" si="19"/>
        <v>93</v>
      </c>
      <c r="K73" s="3772">
        <f t="shared" si="19"/>
        <v>92</v>
      </c>
      <c r="L73" s="3772">
        <f t="shared" si="19"/>
        <v>91</v>
      </c>
      <c r="M73" s="3772">
        <f t="shared" si="19"/>
        <v>90</v>
      </c>
      <c r="N73" s="3772">
        <f t="shared" si="19"/>
        <v>89</v>
      </c>
      <c r="O73" s="3773"/>
      <c r="P73" s="3761"/>
      <c r="Q73" s="3774"/>
      <c r="R73" s="3774"/>
      <c r="S73" s="3774"/>
      <c r="T73" s="3774"/>
      <c r="U73" s="3774"/>
      <c r="V73" s="3774"/>
      <c r="W73" s="3774"/>
      <c r="X73" s="3774"/>
      <c r="Y73" s="3774"/>
      <c r="Z73" s="3774"/>
      <c r="AA73" s="3774"/>
      <c r="AB73" s="3774"/>
      <c r="AC73" s="3774"/>
    </row>
    <row r="74" spans="1:29" s="3560" customFormat="1" ht="15" customHeight="1" thickBot="1">
      <c r="A74" s="3775" t="s">
        <v>4650</v>
      </c>
      <c r="B74" s="2827"/>
      <c r="C74" s="3776">
        <v>1</v>
      </c>
      <c r="D74" s="3777"/>
      <c r="E74" s="3777"/>
      <c r="F74" s="3777"/>
      <c r="G74" s="3777"/>
      <c r="H74" s="3777"/>
      <c r="I74" s="3777"/>
      <c r="J74" s="3777"/>
      <c r="K74" s="3777"/>
      <c r="L74" s="3777"/>
      <c r="M74" s="3777"/>
      <c r="N74" s="3777"/>
      <c r="O74" s="3773"/>
      <c r="P74" s="3761"/>
      <c r="Q74" s="3761"/>
      <c r="R74" s="3774"/>
      <c r="S74" s="3774"/>
      <c r="T74" s="3774"/>
      <c r="U74" s="3774"/>
      <c r="V74" s="3774"/>
      <c r="W74" s="3774"/>
      <c r="X74" s="3774"/>
      <c r="Y74" s="3774"/>
      <c r="Z74" s="3774"/>
      <c r="AA74" s="3774"/>
      <c r="AB74" s="3774"/>
      <c r="AC74" s="3774"/>
    </row>
    <row r="75" spans="1:29" s="3560" customFormat="1" ht="15">
      <c r="A75" s="3778" t="s">
        <v>4651</v>
      </c>
      <c r="B75" s="3779"/>
      <c r="C75" s="3780" t="s">
        <v>4652</v>
      </c>
      <c r="D75" s="3781"/>
      <c r="E75" s="3781"/>
      <c r="F75" s="3781"/>
      <c r="G75" s="3781"/>
      <c r="H75" s="3781"/>
      <c r="I75" s="3781"/>
      <c r="J75" s="3781"/>
      <c r="K75" s="3781"/>
      <c r="L75" s="3782"/>
      <c r="M75" s="3783"/>
      <c r="N75" s="3773"/>
      <c r="O75" s="3773"/>
      <c r="P75" s="3784"/>
      <c r="Q75" s="3761"/>
      <c r="R75" s="3774"/>
      <c r="S75" s="3774"/>
      <c r="T75" s="3774"/>
      <c r="U75" s="3774"/>
      <c r="V75" s="3774"/>
      <c r="W75" s="3774"/>
      <c r="X75" s="3774"/>
      <c r="Y75" s="3774"/>
      <c r="Z75" s="3774"/>
      <c r="AA75" s="3774"/>
      <c r="AB75" s="3774"/>
      <c r="AC75" s="3774"/>
    </row>
    <row r="76" spans="1:29" s="3560" customFormat="1" ht="15.75" thickBot="1">
      <c r="A76" s="3778"/>
      <c r="B76" s="3779"/>
      <c r="C76" s="3785">
        <v>100</v>
      </c>
      <c r="D76" s="3786"/>
      <c r="E76" s="3786"/>
      <c r="F76" s="3786"/>
      <c r="G76" s="3786"/>
      <c r="H76" s="3786"/>
      <c r="I76" s="3786"/>
      <c r="J76" s="3786"/>
      <c r="K76" s="3786"/>
      <c r="L76" s="3786"/>
      <c r="M76" s="3787"/>
      <c r="N76" s="3773"/>
      <c r="O76" s="3773"/>
      <c r="P76" s="3761"/>
      <c r="Q76" s="3761"/>
      <c r="R76" s="3774"/>
      <c r="S76" s="3774"/>
      <c r="T76" s="3774"/>
      <c r="U76" s="3774"/>
      <c r="V76" s="3774"/>
      <c r="W76" s="3774"/>
      <c r="X76" s="3774"/>
      <c r="Y76" s="3774"/>
      <c r="Z76" s="3774"/>
      <c r="AA76" s="3774"/>
      <c r="AB76" s="3774"/>
      <c r="AC76" s="3774"/>
    </row>
    <row r="77" spans="1:29" ht="42.75">
      <c r="A77" s="3788" t="s">
        <v>4653</v>
      </c>
      <c r="B77" s="3789" t="s">
        <v>4654</v>
      </c>
      <c r="C77" s="3790" t="s">
        <v>4695</v>
      </c>
      <c r="D77" s="3676" t="str">
        <f>住宅用地案例!G12</f>
        <v>城镇住宅用地、商服用地</v>
      </c>
      <c r="E77" s="3676" t="str">
        <f>住宅用地案例!G16</f>
        <v>二类居住用地</v>
      </c>
      <c r="F77" s="3676"/>
      <c r="G77" s="3676"/>
      <c r="H77" s="3676"/>
      <c r="I77" s="3676"/>
      <c r="J77" s="3676"/>
      <c r="K77" s="3791"/>
      <c r="L77" s="3792"/>
      <c r="M77" s="3793"/>
      <c r="N77" s="3794"/>
      <c r="O77" s="3794"/>
      <c r="P77" s="3795"/>
      <c r="Q77" s="3761"/>
      <c r="R77" s="3699"/>
      <c r="S77" s="3699"/>
      <c r="T77" s="3699"/>
      <c r="U77" s="3699"/>
      <c r="V77" s="3699"/>
      <c r="W77" s="3699"/>
      <c r="X77" s="3699"/>
      <c r="Y77" s="3699"/>
      <c r="Z77" s="3699"/>
      <c r="AA77" s="3699"/>
      <c r="AB77" s="3699"/>
      <c r="AC77" s="3699"/>
    </row>
    <row r="78" spans="1:29" ht="15.75" thickBot="1">
      <c r="A78" s="3796"/>
      <c r="B78" s="3797"/>
      <c r="C78" s="3798">
        <v>100</v>
      </c>
      <c r="D78" s="3798">
        <v>100</v>
      </c>
      <c r="E78" s="3798">
        <v>100</v>
      </c>
      <c r="F78" s="3798"/>
      <c r="G78" s="3798"/>
      <c r="H78" s="3798"/>
      <c r="I78" s="3798"/>
      <c r="J78" s="3798"/>
      <c r="K78" s="3798"/>
      <c r="L78" s="3798"/>
      <c r="M78" s="3799"/>
      <c r="N78" s="3800"/>
      <c r="O78" s="3800"/>
      <c r="P78" s="3795"/>
      <c r="Q78" s="3761"/>
      <c r="R78" s="3699"/>
      <c r="S78" s="3699"/>
      <c r="T78" s="3699"/>
      <c r="U78" s="3699"/>
      <c r="V78" s="3699"/>
      <c r="W78" s="3699"/>
      <c r="X78" s="3699"/>
      <c r="Y78" s="3699"/>
      <c r="Z78" s="3699"/>
      <c r="AA78" s="3699"/>
      <c r="AB78" s="3699"/>
      <c r="AC78" s="3699"/>
    </row>
    <row r="79" spans="1:29" ht="27.75" thickTop="1">
      <c r="A79" s="3796"/>
      <c r="B79" s="3801" t="s">
        <v>4655</v>
      </c>
      <c r="C79" s="3802"/>
      <c r="D79" s="3802"/>
      <c r="E79" s="3802"/>
      <c r="F79" s="3802"/>
      <c r="G79" s="3802"/>
      <c r="H79" s="3802"/>
      <c r="I79" s="3802"/>
      <c r="J79" s="3802"/>
      <c r="K79" s="3803"/>
      <c r="L79" s="3804"/>
      <c r="M79" s="3805"/>
      <c r="N79" s="3794"/>
      <c r="O79" s="3794"/>
      <c r="P79" s="3795"/>
      <c r="Q79" s="3761"/>
      <c r="R79" s="3699"/>
      <c r="S79" s="3699"/>
      <c r="T79" s="3699"/>
      <c r="U79" s="3699"/>
      <c r="V79" s="3699"/>
      <c r="W79" s="3699"/>
      <c r="X79" s="3699"/>
      <c r="Y79" s="3699"/>
      <c r="Z79" s="3699"/>
      <c r="AA79" s="3699"/>
      <c r="AB79" s="3699"/>
      <c r="AC79" s="3699"/>
    </row>
    <row r="80" spans="1:29" ht="15.75" thickBot="1">
      <c r="A80" s="3796"/>
      <c r="B80" s="3806"/>
      <c r="C80" s="3807"/>
      <c r="D80" s="3807"/>
      <c r="E80" s="3807"/>
      <c r="F80" s="3807"/>
      <c r="G80" s="3807"/>
      <c r="H80" s="3807"/>
      <c r="I80" s="3807"/>
      <c r="J80" s="3807"/>
      <c r="K80" s="3807"/>
      <c r="L80" s="3807"/>
      <c r="M80" s="3808"/>
      <c r="N80" s="3800"/>
      <c r="O80" s="3800"/>
      <c r="P80" s="3795"/>
      <c r="Q80" s="3761"/>
      <c r="R80" s="3699"/>
      <c r="S80" s="3699"/>
      <c r="T80" s="3699"/>
      <c r="U80" s="3699"/>
      <c r="V80" s="3699"/>
      <c r="W80" s="3699"/>
      <c r="X80" s="3699"/>
      <c r="Y80" s="3699"/>
      <c r="Z80" s="3699"/>
      <c r="AA80" s="3699"/>
      <c r="AB80" s="3699"/>
      <c r="AC80" s="3699"/>
    </row>
    <row r="81" spans="1:29" ht="29.25" thickTop="1">
      <c r="A81" s="3796"/>
      <c r="B81" s="3809" t="s">
        <v>4656</v>
      </c>
      <c r="C81" s="3810" t="str">
        <f>C82&amp;"（含）"&amp;"-"&amp;D82</f>
        <v>1（含）-1.5</v>
      </c>
      <c r="D81" s="3810" t="str">
        <f t="shared" ref="D81:L81" si="20">D82&amp;"（含）"&amp;"-"&amp;E82</f>
        <v>1.5（含）-2</v>
      </c>
      <c r="E81" s="3810" t="str">
        <f t="shared" si="20"/>
        <v>2（含）-</v>
      </c>
      <c r="F81" s="3810" t="str">
        <f t="shared" si="20"/>
        <v>（含）-</v>
      </c>
      <c r="G81" s="3810" t="str">
        <f t="shared" si="20"/>
        <v>（含）-</v>
      </c>
      <c r="H81" s="3810" t="str">
        <f t="shared" si="20"/>
        <v>（含）-</v>
      </c>
      <c r="I81" s="3810" t="str">
        <f t="shared" si="20"/>
        <v>（含）-</v>
      </c>
      <c r="J81" s="3810" t="str">
        <f t="shared" si="20"/>
        <v>（含）-</v>
      </c>
      <c r="K81" s="3810" t="str">
        <f t="shared" si="20"/>
        <v>（含）-</v>
      </c>
      <c r="L81" s="3810" t="str">
        <f t="shared" si="20"/>
        <v>（含）-</v>
      </c>
      <c r="M81" s="3619" t="str">
        <f>M82&amp;"（含）"&amp;"-"&amp;P82</f>
        <v>（含）-</v>
      </c>
      <c r="N81" s="3800"/>
      <c r="O81" s="3800"/>
      <c r="P81" s="3795"/>
      <c r="Q81" s="3761"/>
      <c r="R81" s="3699"/>
      <c r="S81" s="3699"/>
      <c r="T81" s="3699"/>
      <c r="U81" s="3699"/>
      <c r="V81" s="3699"/>
      <c r="W81" s="3699"/>
      <c r="X81" s="3699"/>
      <c r="Y81" s="3699"/>
      <c r="Z81" s="3699"/>
      <c r="AA81" s="3699"/>
      <c r="AB81" s="3699"/>
      <c r="AC81" s="3699"/>
    </row>
    <row r="82" spans="1:29" ht="15">
      <c r="A82" s="3796"/>
      <c r="B82" s="3811"/>
      <c r="C82" s="3684">
        <v>1</v>
      </c>
      <c r="D82" s="3684">
        <v>1.5</v>
      </c>
      <c r="E82" s="3684">
        <v>2</v>
      </c>
      <c r="F82" s="3684"/>
      <c r="G82" s="3684"/>
      <c r="H82" s="3684"/>
      <c r="I82" s="3684"/>
      <c r="J82" s="3684"/>
      <c r="K82" s="3812"/>
      <c r="L82" s="3813"/>
      <c r="M82" s="3814"/>
      <c r="N82" s="3794"/>
      <c r="O82" s="3794"/>
      <c r="P82" s="3795"/>
      <c r="Q82" s="3761"/>
      <c r="R82" s="3699"/>
      <c r="S82" s="3699"/>
      <c r="T82" s="3699"/>
      <c r="U82" s="3699"/>
      <c r="V82" s="3699"/>
      <c r="W82" s="3699"/>
      <c r="X82" s="3699"/>
      <c r="Y82" s="3699"/>
      <c r="Z82" s="3699"/>
      <c r="AA82" s="3699"/>
      <c r="AB82" s="3699"/>
      <c r="AC82" s="3699"/>
    </row>
    <row r="83" spans="1:29" ht="15.75" thickBot="1">
      <c r="A83" s="3796"/>
      <c r="B83" s="3797"/>
      <c r="C83" s="3807">
        <v>100</v>
      </c>
      <c r="D83" s="3807">
        <f t="shared" ref="D83:M83" si="21">IF($B$48="单位面积地价",C83+$K13,C83-$K13)</f>
        <v>80</v>
      </c>
      <c r="E83" s="3807">
        <f t="shared" si="21"/>
        <v>60</v>
      </c>
      <c r="F83" s="3807">
        <f t="shared" si="21"/>
        <v>40</v>
      </c>
      <c r="G83" s="3807">
        <f t="shared" si="21"/>
        <v>20</v>
      </c>
      <c r="H83" s="3807">
        <f t="shared" si="21"/>
        <v>0</v>
      </c>
      <c r="I83" s="3807">
        <f t="shared" si="21"/>
        <v>-20</v>
      </c>
      <c r="J83" s="3807">
        <f t="shared" si="21"/>
        <v>-40</v>
      </c>
      <c r="K83" s="3807">
        <f t="shared" si="21"/>
        <v>-60</v>
      </c>
      <c r="L83" s="3807">
        <f t="shared" si="21"/>
        <v>-80</v>
      </c>
      <c r="M83" s="3807">
        <f t="shared" si="21"/>
        <v>-100</v>
      </c>
      <c r="N83" s="3800"/>
      <c r="O83" s="3800"/>
      <c r="P83" s="3795"/>
      <c r="Q83" s="3761"/>
      <c r="R83" s="3699"/>
      <c r="S83" s="3699"/>
      <c r="T83" s="3699"/>
      <c r="U83" s="3699"/>
      <c r="V83" s="3699"/>
      <c r="W83" s="3699"/>
      <c r="X83" s="3699"/>
      <c r="Y83" s="3699"/>
      <c r="Z83" s="3699"/>
      <c r="AA83" s="3699"/>
      <c r="AB83" s="3699"/>
      <c r="AC83" s="3699"/>
    </row>
    <row r="84" spans="1:29" s="3671" customFormat="1" ht="15.75" thickTop="1">
      <c r="A84" s="3815"/>
      <c r="B84" s="3801" t="str">
        <f>B14</f>
        <v>配建</v>
      </c>
      <c r="C84" s="3816" t="s">
        <v>4657</v>
      </c>
      <c r="D84" s="3592"/>
      <c r="E84" s="3816"/>
      <c r="F84" s="3817"/>
      <c r="G84" s="3817"/>
      <c r="H84" s="3818"/>
      <c r="I84" s="3818"/>
      <c r="J84" s="3818"/>
      <c r="K84" s="3818"/>
      <c r="L84" s="3819"/>
      <c r="M84" s="3820"/>
      <c r="N84" s="3821"/>
      <c r="O84" s="3821"/>
      <c r="P84" s="3822"/>
      <c r="Q84" s="3823"/>
      <c r="R84" s="3824"/>
      <c r="S84" s="3824"/>
      <c r="T84" s="3824"/>
      <c r="U84" s="3824"/>
      <c r="V84" s="3824"/>
      <c r="W84" s="3824"/>
      <c r="X84" s="3824"/>
      <c r="Y84" s="3824"/>
      <c r="Z84" s="3824"/>
      <c r="AA84" s="3824"/>
      <c r="AB84" s="3824"/>
      <c r="AC84" s="3824"/>
    </row>
    <row r="85" spans="1:29" s="3671" customFormat="1" ht="15.75" thickBot="1">
      <c r="A85" s="3815"/>
      <c r="B85" s="3806"/>
      <c r="C85" s="3825"/>
      <c r="D85" s="3798"/>
      <c r="E85" s="3798"/>
      <c r="F85" s="3798"/>
      <c r="G85" s="3798"/>
      <c r="H85" s="3798"/>
      <c r="I85" s="3798"/>
      <c r="J85" s="3798"/>
      <c r="K85" s="3798"/>
      <c r="L85" s="3798"/>
      <c r="M85" s="3799"/>
      <c r="N85" s="3800"/>
      <c r="O85" s="3800"/>
      <c r="P85" s="3822"/>
      <c r="Q85" s="3823"/>
      <c r="R85" s="3824"/>
      <c r="S85" s="3824"/>
      <c r="T85" s="3824"/>
      <c r="U85" s="3824"/>
      <c r="V85" s="3824"/>
      <c r="W85" s="3824"/>
      <c r="X85" s="3824"/>
      <c r="Y85" s="3824"/>
      <c r="Z85" s="3824"/>
      <c r="AA85" s="3824"/>
      <c r="AB85" s="3824"/>
      <c r="AC85" s="3824"/>
    </row>
    <row r="86" spans="1:29" s="3671" customFormat="1" ht="15.75" thickTop="1">
      <c r="A86" s="3815"/>
      <c r="B86" s="3801">
        <f>B15</f>
        <v>0</v>
      </c>
      <c r="C86" s="3817"/>
      <c r="D86" s="3817"/>
      <c r="E86" s="3817"/>
      <c r="F86" s="3817"/>
      <c r="G86" s="3817"/>
      <c r="H86" s="3818"/>
      <c r="I86" s="3818"/>
      <c r="J86" s="3818"/>
      <c r="K86" s="3818"/>
      <c r="L86" s="3819"/>
      <c r="M86" s="3820"/>
      <c r="N86" s="3821"/>
      <c r="O86" s="3821"/>
      <c r="P86" s="3826"/>
      <c r="Q86" s="3827"/>
      <c r="R86" s="3824"/>
      <c r="S86" s="3824"/>
      <c r="T86" s="3824"/>
      <c r="U86" s="3824"/>
      <c r="V86" s="3824"/>
      <c r="W86" s="3824"/>
      <c r="X86" s="3824"/>
      <c r="Y86" s="3824"/>
      <c r="Z86" s="3824"/>
      <c r="AA86" s="3824"/>
      <c r="AB86" s="3824"/>
      <c r="AC86" s="3824"/>
    </row>
    <row r="87" spans="1:29" s="3671" customFormat="1" ht="15.75" thickBot="1">
      <c r="A87" s="3815"/>
      <c r="B87" s="3806"/>
      <c r="C87" s="3825"/>
      <c r="D87" s="3825"/>
      <c r="E87" s="3825"/>
      <c r="F87" s="3825"/>
      <c r="G87" s="3825"/>
      <c r="H87" s="3828"/>
      <c r="I87" s="3828"/>
      <c r="J87" s="3828"/>
      <c r="K87" s="3828"/>
      <c r="L87" s="3828"/>
      <c r="M87" s="3829"/>
      <c r="N87" s="3821"/>
      <c r="O87" s="3821"/>
      <c r="P87" s="3822"/>
      <c r="Q87" s="3823"/>
      <c r="R87" s="3824"/>
      <c r="S87" s="3824"/>
      <c r="T87" s="3824"/>
      <c r="U87" s="3824"/>
      <c r="V87" s="3824"/>
      <c r="W87" s="3824"/>
      <c r="X87" s="3824"/>
      <c r="Y87" s="3824"/>
      <c r="Z87" s="3824"/>
      <c r="AA87" s="3824"/>
      <c r="AB87" s="3824"/>
      <c r="AC87" s="3824"/>
    </row>
    <row r="88" spans="1:29" s="3671" customFormat="1" ht="15.75" thickTop="1">
      <c r="A88" s="3815"/>
      <c r="B88" s="3809" t="str">
        <f>B16</f>
        <v>商业比</v>
      </c>
      <c r="C88" s="3781" t="s">
        <v>4686</v>
      </c>
      <c r="D88" s="3781" t="s">
        <v>4687</v>
      </c>
      <c r="E88" s="3781"/>
      <c r="F88" s="3781"/>
      <c r="G88" s="3781"/>
      <c r="H88" s="3830"/>
      <c r="I88" s="3830"/>
      <c r="J88" s="3830"/>
      <c r="K88" s="3830"/>
      <c r="L88" s="3831"/>
      <c r="M88" s="3832"/>
      <c r="N88" s="3821"/>
      <c r="O88" s="3821"/>
      <c r="P88" s="3833"/>
      <c r="Q88" s="3823"/>
      <c r="R88" s="3824"/>
      <c r="S88" s="3824"/>
      <c r="T88" s="3824"/>
      <c r="U88" s="3824"/>
      <c r="V88" s="3824"/>
      <c r="W88" s="3824"/>
      <c r="X88" s="3824"/>
      <c r="Y88" s="3824"/>
      <c r="Z88" s="3824"/>
      <c r="AA88" s="3824"/>
      <c r="AB88" s="3824"/>
      <c r="AC88" s="3824"/>
    </row>
    <row r="89" spans="1:29" s="3671" customFormat="1" ht="15.75" thickBot="1">
      <c r="A89" s="3834"/>
      <c r="B89" s="3835"/>
      <c r="C89" s="3836">
        <v>100</v>
      </c>
      <c r="D89" s="3836">
        <v>110</v>
      </c>
      <c r="E89" s="3836"/>
      <c r="F89" s="3836"/>
      <c r="G89" s="3836"/>
      <c r="H89" s="3837"/>
      <c r="I89" s="3837"/>
      <c r="J89" s="3837"/>
      <c r="K89" s="3837"/>
      <c r="L89" s="3837"/>
      <c r="M89" s="3838"/>
      <c r="N89" s="3821"/>
      <c r="O89" s="3821"/>
      <c r="P89" s="3822"/>
      <c r="Q89" s="3823"/>
      <c r="R89" s="3824"/>
      <c r="S89" s="3824"/>
      <c r="T89" s="3824"/>
      <c r="U89" s="3824"/>
      <c r="V89" s="3824"/>
      <c r="W89" s="3824"/>
      <c r="X89" s="3824"/>
      <c r="Y89" s="3824"/>
      <c r="Z89" s="3824"/>
      <c r="AA89" s="3824"/>
      <c r="AB89" s="3824"/>
      <c r="AC89" s="3824"/>
    </row>
    <row r="90" spans="1:29">
      <c r="A90" s="3788" t="s">
        <v>4658</v>
      </c>
      <c r="B90" s="3789" t="s">
        <v>4659</v>
      </c>
      <c r="C90" s="3839" t="s">
        <v>4660</v>
      </c>
      <c r="D90" s="3839" t="s">
        <v>4661</v>
      </c>
      <c r="E90" s="3839" t="s">
        <v>4662</v>
      </c>
      <c r="F90" s="3839" t="s">
        <v>4663</v>
      </c>
      <c r="G90" s="3839" t="s">
        <v>4664</v>
      </c>
      <c r="H90" s="3840"/>
      <c r="I90" s="3840"/>
      <c r="J90" s="3840"/>
      <c r="K90" s="3841"/>
      <c r="L90" s="3842"/>
      <c r="M90" s="3843"/>
      <c r="N90" s="3794"/>
      <c r="O90" s="3794"/>
      <c r="P90" s="3844"/>
      <c r="Q90" s="3761"/>
      <c r="R90" s="3699"/>
      <c r="S90" s="3699"/>
      <c r="T90" s="3699"/>
      <c r="U90" s="3699"/>
      <c r="V90" s="3699"/>
      <c r="W90" s="3699"/>
      <c r="X90" s="3699"/>
      <c r="Y90" s="3699"/>
      <c r="Z90" s="3699"/>
      <c r="AA90" s="3699"/>
      <c r="AB90" s="3699"/>
      <c r="AC90" s="3699"/>
    </row>
    <row r="91" spans="1:29" ht="15.75" thickBot="1">
      <c r="A91" s="3796"/>
      <c r="B91" s="3806"/>
      <c r="C91" s="3807">
        <v>100</v>
      </c>
      <c r="D91" s="3807">
        <f>C91-$K17</f>
        <v>97</v>
      </c>
      <c r="E91" s="3807">
        <f>D91-$K17</f>
        <v>94</v>
      </c>
      <c r="F91" s="3807">
        <f>E91-$K17</f>
        <v>91</v>
      </c>
      <c r="G91" s="3807">
        <f>F91-$K17</f>
        <v>88</v>
      </c>
      <c r="H91" s="3807"/>
      <c r="I91" s="3807"/>
      <c r="J91" s="3807"/>
      <c r="K91" s="3807"/>
      <c r="L91" s="3807"/>
      <c r="M91" s="3808"/>
      <c r="N91" s="3800"/>
      <c r="O91" s="3800"/>
      <c r="P91" s="3795"/>
      <c r="Q91" s="3761"/>
      <c r="R91" s="3699"/>
      <c r="S91" s="3699"/>
      <c r="T91" s="3699"/>
      <c r="U91" s="3699"/>
      <c r="V91" s="3699"/>
      <c r="W91" s="3699"/>
      <c r="X91" s="3699"/>
      <c r="Y91" s="3699"/>
      <c r="Z91" s="3699"/>
      <c r="AA91" s="3699"/>
      <c r="AB91" s="3699"/>
      <c r="AC91" s="3699"/>
    </row>
    <row r="92" spans="1:29" ht="15.75" thickTop="1">
      <c r="A92" s="3796"/>
      <c r="B92" s="3801" t="s">
        <v>4665</v>
      </c>
      <c r="C92" s="3845" t="s">
        <v>4660</v>
      </c>
      <c r="D92" s="3845" t="s">
        <v>4661</v>
      </c>
      <c r="E92" s="3845" t="s">
        <v>4662</v>
      </c>
      <c r="F92" s="3845" t="s">
        <v>4663</v>
      </c>
      <c r="G92" s="3845" t="s">
        <v>4664</v>
      </c>
      <c r="H92" s="3802"/>
      <c r="I92" s="3802"/>
      <c r="J92" s="3802"/>
      <c r="K92" s="3803"/>
      <c r="L92" s="3804"/>
      <c r="M92" s="3805"/>
      <c r="N92" s="3794"/>
      <c r="O92" s="3794"/>
      <c r="P92" s="3795"/>
      <c r="Q92" s="3761"/>
      <c r="R92" s="3699"/>
      <c r="S92" s="3699"/>
      <c r="T92" s="3699"/>
      <c r="U92" s="3699"/>
      <c r="V92" s="3699"/>
      <c r="W92" s="3699"/>
      <c r="X92" s="3699"/>
      <c r="Y92" s="3699"/>
      <c r="Z92" s="3699"/>
      <c r="AA92" s="3699"/>
      <c r="AB92" s="3699"/>
      <c r="AC92" s="3699"/>
    </row>
    <row r="93" spans="1:29" ht="15.75" thickBot="1">
      <c r="A93" s="3796"/>
      <c r="B93" s="3806"/>
      <c r="C93" s="3807">
        <v>100</v>
      </c>
      <c r="D93" s="3807">
        <f>C93-$K19</f>
        <v>98</v>
      </c>
      <c r="E93" s="3807">
        <f>D93-$K19</f>
        <v>96</v>
      </c>
      <c r="F93" s="3807">
        <f>E93-$K19</f>
        <v>94</v>
      </c>
      <c r="G93" s="3807">
        <f>F93-$K19</f>
        <v>92</v>
      </c>
      <c r="H93" s="3807"/>
      <c r="I93" s="3807"/>
      <c r="J93" s="3807"/>
      <c r="K93" s="3807"/>
      <c r="L93" s="3807"/>
      <c r="M93" s="3808"/>
      <c r="N93" s="3800"/>
      <c r="O93" s="3800"/>
      <c r="P93" s="3795"/>
      <c r="Q93" s="3761"/>
      <c r="R93" s="3699"/>
      <c r="S93" s="3699"/>
      <c r="T93" s="3699"/>
      <c r="U93" s="3699"/>
      <c r="V93" s="3699"/>
      <c r="W93" s="3699"/>
      <c r="X93" s="3699"/>
      <c r="Y93" s="3699"/>
      <c r="Z93" s="3699"/>
      <c r="AA93" s="3699"/>
      <c r="AB93" s="3699"/>
      <c r="AC93" s="3699"/>
    </row>
    <row r="94" spans="1:29" ht="15.75" thickTop="1">
      <c r="A94" s="3796"/>
      <c r="B94" s="3801" t="s">
        <v>4666</v>
      </c>
      <c r="C94" s="3845" t="s">
        <v>4660</v>
      </c>
      <c r="D94" s="3845" t="s">
        <v>4661</v>
      </c>
      <c r="E94" s="3845" t="s">
        <v>4662</v>
      </c>
      <c r="F94" s="3845" t="s">
        <v>4663</v>
      </c>
      <c r="G94" s="3845" t="s">
        <v>4664</v>
      </c>
      <c r="H94" s="3802"/>
      <c r="I94" s="3802"/>
      <c r="J94" s="3802"/>
      <c r="K94" s="3803"/>
      <c r="L94" s="3804"/>
      <c r="M94" s="3805"/>
      <c r="N94" s="3794"/>
      <c r="O94" s="3794"/>
      <c r="P94" s="3795"/>
      <c r="Q94" s="3761"/>
      <c r="R94" s="3699"/>
      <c r="S94" s="3699"/>
      <c r="T94" s="3699"/>
      <c r="U94" s="3699"/>
      <c r="V94" s="3699"/>
      <c r="W94" s="3699"/>
      <c r="X94" s="3699"/>
      <c r="Y94" s="3699"/>
      <c r="Z94" s="3699"/>
      <c r="AA94" s="3699"/>
      <c r="AB94" s="3699"/>
      <c r="AC94" s="3699"/>
    </row>
    <row r="95" spans="1:29" ht="15.75" thickBot="1">
      <c r="A95" s="3796"/>
      <c r="B95" s="3806"/>
      <c r="C95" s="3807">
        <v>100</v>
      </c>
      <c r="D95" s="3807">
        <f>C95-$K21</f>
        <v>100</v>
      </c>
      <c r="E95" s="3807">
        <f>D95-$K21</f>
        <v>100</v>
      </c>
      <c r="F95" s="3807">
        <f>E95-$K21</f>
        <v>100</v>
      </c>
      <c r="G95" s="3807">
        <f>F95-$K21</f>
        <v>100</v>
      </c>
      <c r="H95" s="3807"/>
      <c r="I95" s="3807"/>
      <c r="J95" s="3807"/>
      <c r="K95" s="3807"/>
      <c r="L95" s="3807"/>
      <c r="M95" s="3808"/>
      <c r="N95" s="3800"/>
      <c r="O95" s="3800"/>
      <c r="P95" s="3795"/>
      <c r="Q95" s="3761"/>
      <c r="R95" s="3699"/>
      <c r="S95" s="3699"/>
      <c r="T95" s="3699"/>
      <c r="U95" s="3699"/>
      <c r="V95" s="3699"/>
      <c r="W95" s="3699"/>
      <c r="X95" s="3699"/>
      <c r="Y95" s="3699"/>
      <c r="Z95" s="3699"/>
      <c r="AA95" s="3699"/>
      <c r="AB95" s="3699"/>
      <c r="AC95" s="3699"/>
    </row>
    <row r="96" spans="1:29" ht="15.75" thickTop="1">
      <c r="A96" s="3796"/>
      <c r="B96" s="3801" t="s">
        <v>4667</v>
      </c>
      <c r="C96" s="3845" t="s">
        <v>4660</v>
      </c>
      <c r="D96" s="3845" t="s">
        <v>4661</v>
      </c>
      <c r="E96" s="3845" t="s">
        <v>4662</v>
      </c>
      <c r="F96" s="3845" t="s">
        <v>4663</v>
      </c>
      <c r="G96" s="3845" t="s">
        <v>4664</v>
      </c>
      <c r="H96" s="3802"/>
      <c r="I96" s="3802"/>
      <c r="J96" s="3802"/>
      <c r="K96" s="3803"/>
      <c r="L96" s="3804"/>
      <c r="M96" s="3805"/>
      <c r="N96" s="3794"/>
      <c r="O96" s="3794"/>
      <c r="P96" s="3795"/>
      <c r="Q96" s="3761"/>
      <c r="R96" s="3699"/>
      <c r="S96" s="3699"/>
      <c r="T96" s="3699"/>
      <c r="U96" s="3699"/>
      <c r="V96" s="3699"/>
      <c r="W96" s="3699"/>
      <c r="X96" s="3699"/>
      <c r="Y96" s="3699"/>
      <c r="Z96" s="3699"/>
      <c r="AA96" s="3699"/>
      <c r="AB96" s="3699"/>
      <c r="AC96" s="3699"/>
    </row>
    <row r="97" spans="1:29" ht="15.75" thickBot="1">
      <c r="A97" s="3796"/>
      <c r="B97" s="3806"/>
      <c r="C97" s="3807">
        <v>100</v>
      </c>
      <c r="D97" s="3807">
        <f>C97-$K23</f>
        <v>97</v>
      </c>
      <c r="E97" s="3807">
        <f>D97-$K23</f>
        <v>94</v>
      </c>
      <c r="F97" s="3807">
        <f>E97-$K23</f>
        <v>91</v>
      </c>
      <c r="G97" s="3807">
        <f>F97-$K23</f>
        <v>88</v>
      </c>
      <c r="H97" s="3807"/>
      <c r="I97" s="3807"/>
      <c r="J97" s="3807"/>
      <c r="K97" s="3807"/>
      <c r="L97" s="3807"/>
      <c r="M97" s="3808"/>
      <c r="N97" s="3800"/>
      <c r="O97" s="3800"/>
      <c r="P97" s="3795"/>
      <c r="Q97" s="3761"/>
      <c r="R97" s="3699"/>
      <c r="S97" s="3699"/>
      <c r="T97" s="3699"/>
      <c r="U97" s="3699"/>
      <c r="V97" s="3699"/>
      <c r="W97" s="3699"/>
      <c r="X97" s="3699"/>
      <c r="Y97" s="3699"/>
      <c r="Z97" s="3699"/>
      <c r="AA97" s="3699"/>
      <c r="AB97" s="3699"/>
      <c r="AC97" s="3699"/>
    </row>
    <row r="98" spans="1:29" s="3560" customFormat="1" ht="27.75" thickTop="1">
      <c r="A98" s="3846"/>
      <c r="B98" s="3801" t="s">
        <v>4668</v>
      </c>
      <c r="C98" s="3845" t="s">
        <v>4660</v>
      </c>
      <c r="D98" s="3845" t="s">
        <v>4661</v>
      </c>
      <c r="E98" s="3845" t="s">
        <v>4662</v>
      </c>
      <c r="F98" s="3845" t="s">
        <v>4663</v>
      </c>
      <c r="G98" s="3845" t="s">
        <v>4664</v>
      </c>
      <c r="H98" s="3845"/>
      <c r="I98" s="3845"/>
      <c r="J98" s="3845"/>
      <c r="K98" s="3845"/>
      <c r="L98" s="3847"/>
      <c r="M98" s="3848"/>
      <c r="N98" s="3773"/>
      <c r="O98" s="3773"/>
      <c r="P98" s="3795"/>
      <c r="Q98" s="3761"/>
      <c r="R98" s="3774"/>
      <c r="S98" s="3774"/>
      <c r="T98" s="3774"/>
      <c r="U98" s="3774"/>
      <c r="V98" s="3774"/>
      <c r="W98" s="3774"/>
      <c r="X98" s="3774"/>
      <c r="Y98" s="3774"/>
      <c r="Z98" s="3774"/>
      <c r="AA98" s="3774"/>
      <c r="AB98" s="3774"/>
      <c r="AC98" s="3774"/>
    </row>
    <row r="99" spans="1:29" s="3560" customFormat="1" ht="15.75" thickBot="1">
      <c r="A99" s="3846"/>
      <c r="B99" s="3806"/>
      <c r="C99" s="3849">
        <v>100</v>
      </c>
      <c r="D99" s="3807">
        <f>C99-$K25</f>
        <v>95</v>
      </c>
      <c r="E99" s="3807">
        <f>D99-$K25</f>
        <v>90</v>
      </c>
      <c r="F99" s="3807">
        <f>E99-$K25</f>
        <v>85</v>
      </c>
      <c r="G99" s="3807">
        <f>F99-$K25</f>
        <v>80</v>
      </c>
      <c r="H99" s="3807"/>
      <c r="I99" s="3807"/>
      <c r="J99" s="3807"/>
      <c r="K99" s="3807"/>
      <c r="L99" s="3807"/>
      <c r="M99" s="3808"/>
      <c r="N99" s="3800"/>
      <c r="O99" s="3800"/>
      <c r="P99" s="3795"/>
      <c r="Q99" s="3761"/>
      <c r="R99" s="3774"/>
      <c r="S99" s="3774"/>
      <c r="T99" s="3774"/>
      <c r="U99" s="3774"/>
      <c r="V99" s="3774"/>
      <c r="W99" s="3774"/>
      <c r="X99" s="3774"/>
      <c r="Y99" s="3774"/>
      <c r="Z99" s="3774"/>
      <c r="AA99" s="3774"/>
      <c r="AB99" s="3774"/>
      <c r="AC99" s="3774"/>
    </row>
    <row r="100" spans="1:29" s="3560" customFormat="1" ht="27.75" thickTop="1">
      <c r="A100" s="3846"/>
      <c r="B100" s="3801" t="s">
        <v>4669</v>
      </c>
      <c r="C100" s="3839" t="s">
        <v>579</v>
      </c>
      <c r="D100" s="3839" t="s">
        <v>580</v>
      </c>
      <c r="E100" s="3839" t="s">
        <v>581</v>
      </c>
      <c r="F100" s="3839" t="s">
        <v>582</v>
      </c>
      <c r="G100" s="3839" t="s">
        <v>583</v>
      </c>
      <c r="H100" s="3845"/>
      <c r="I100" s="3845"/>
      <c r="J100" s="3845"/>
      <c r="K100" s="3845"/>
      <c r="L100" s="3845"/>
      <c r="M100" s="3848"/>
      <c r="N100" s="3773"/>
      <c r="O100" s="3773"/>
      <c r="P100" s="3795"/>
      <c r="Q100" s="3761"/>
      <c r="R100" s="3774"/>
      <c r="S100" s="3774"/>
      <c r="T100" s="3774"/>
      <c r="U100" s="3774"/>
      <c r="V100" s="3774"/>
      <c r="W100" s="3774"/>
      <c r="X100" s="3774"/>
      <c r="Y100" s="3774"/>
      <c r="Z100" s="3774"/>
      <c r="AA100" s="3774"/>
      <c r="AB100" s="3774"/>
      <c r="AC100" s="3774"/>
    </row>
    <row r="101" spans="1:29" s="3560" customFormat="1" ht="15.75" thickBot="1">
      <c r="A101" s="3846"/>
      <c r="B101" s="3806"/>
      <c r="C101" s="3807">
        <v>100</v>
      </c>
      <c r="D101" s="3807">
        <f>C101-$K27</f>
        <v>97</v>
      </c>
      <c r="E101" s="3807">
        <f>D101-$K27</f>
        <v>94</v>
      </c>
      <c r="F101" s="3807">
        <f>E101-$K27</f>
        <v>91</v>
      </c>
      <c r="G101" s="3807">
        <f>F101-$K27</f>
        <v>88</v>
      </c>
      <c r="H101" s="3807"/>
      <c r="I101" s="3807"/>
      <c r="J101" s="3807"/>
      <c r="K101" s="3807"/>
      <c r="L101" s="3807"/>
      <c r="M101" s="3808"/>
      <c r="N101" s="3800"/>
      <c r="O101" s="3800"/>
      <c r="P101" s="3795"/>
      <c r="Q101" s="3761"/>
      <c r="R101" s="3774"/>
      <c r="S101" s="3774"/>
      <c r="T101" s="3774"/>
      <c r="U101" s="3774"/>
      <c r="V101" s="3774"/>
      <c r="W101" s="3774"/>
      <c r="X101" s="3774"/>
      <c r="Y101" s="3774"/>
      <c r="Z101" s="3774"/>
      <c r="AA101" s="3774"/>
      <c r="AB101" s="3774"/>
      <c r="AC101" s="3774"/>
    </row>
    <row r="102" spans="1:29" s="3671" customFormat="1" ht="15.75" thickTop="1">
      <c r="A102" s="3815"/>
      <c r="B102" s="3850" t="s">
        <v>2319</v>
      </c>
      <c r="C102" s="3839" t="s">
        <v>579</v>
      </c>
      <c r="D102" s="3839" t="s">
        <v>580</v>
      </c>
      <c r="E102" s="3839" t="s">
        <v>581</v>
      </c>
      <c r="F102" s="3839" t="s">
        <v>582</v>
      </c>
      <c r="G102" s="3839" t="s">
        <v>583</v>
      </c>
      <c r="H102" s="3851"/>
      <c r="I102" s="3851"/>
      <c r="J102" s="3851"/>
      <c r="K102" s="3851"/>
      <c r="L102" s="3852"/>
      <c r="M102" s="3853"/>
      <c r="N102" s="3821"/>
      <c r="O102" s="3821"/>
      <c r="P102" s="3822"/>
      <c r="Q102" s="3823"/>
      <c r="R102" s="3824"/>
      <c r="S102" s="3824"/>
      <c r="T102" s="3824"/>
      <c r="U102" s="3824"/>
      <c r="V102" s="3824"/>
      <c r="W102" s="3824"/>
      <c r="X102" s="3824"/>
      <c r="Y102" s="3824"/>
      <c r="Z102" s="3824"/>
      <c r="AA102" s="3824"/>
      <c r="AB102" s="3824"/>
      <c r="AC102" s="3824"/>
    </row>
    <row r="103" spans="1:29" s="3671" customFormat="1" ht="15.75" thickBot="1">
      <c r="A103" s="3815"/>
      <c r="B103" s="3806"/>
      <c r="C103" s="3807">
        <v>100</v>
      </c>
      <c r="D103" s="3807">
        <f>C103-$K29</f>
        <v>97</v>
      </c>
      <c r="E103" s="3807">
        <f>D103-$K29</f>
        <v>94</v>
      </c>
      <c r="F103" s="3807">
        <f>E103-$K29</f>
        <v>91</v>
      </c>
      <c r="G103" s="3807">
        <f>F103-$K29</f>
        <v>88</v>
      </c>
      <c r="H103" s="3854"/>
      <c r="I103" s="3854"/>
      <c r="J103" s="3854"/>
      <c r="K103" s="3854"/>
      <c r="L103" s="3854"/>
      <c r="M103" s="3855"/>
      <c r="N103" s="3821"/>
      <c r="O103" s="3821"/>
      <c r="P103" s="3822"/>
      <c r="Q103" s="3823"/>
      <c r="R103" s="3824"/>
      <c r="S103" s="3824"/>
      <c r="T103" s="3824"/>
      <c r="U103" s="3824"/>
      <c r="V103" s="3824"/>
      <c r="W103" s="3824"/>
      <c r="X103" s="3824"/>
      <c r="Y103" s="3824"/>
      <c r="Z103" s="3824"/>
      <c r="AA103" s="3824"/>
      <c r="AB103" s="3824"/>
      <c r="AC103" s="3824"/>
    </row>
    <row r="104" spans="1:29" s="3671" customFormat="1" ht="15.75" thickTop="1">
      <c r="A104" s="3815"/>
      <c r="B104" s="3856" t="s">
        <v>4603</v>
      </c>
      <c r="C104" s="3857" t="s">
        <v>1986</v>
      </c>
      <c r="D104" s="3857" t="s">
        <v>1985</v>
      </c>
      <c r="E104" s="3857" t="s">
        <v>1984</v>
      </c>
      <c r="F104" s="3857" t="s">
        <v>1983</v>
      </c>
      <c r="G104" s="3857" t="s">
        <v>1982</v>
      </c>
      <c r="H104" s="3851"/>
      <c r="I104" s="3851"/>
      <c r="J104" s="3851"/>
      <c r="K104" s="3851"/>
      <c r="L104" s="3851"/>
      <c r="M104" s="3853"/>
      <c r="N104" s="3821"/>
      <c r="O104" s="3821"/>
      <c r="P104" s="3822"/>
      <c r="Q104" s="3823"/>
      <c r="R104" s="3824"/>
      <c r="S104" s="3824"/>
      <c r="T104" s="3824"/>
      <c r="U104" s="3824"/>
      <c r="V104" s="3824"/>
      <c r="W104" s="3824"/>
      <c r="X104" s="3824"/>
      <c r="Y104" s="3824"/>
      <c r="Z104" s="3824"/>
      <c r="AA104" s="3824"/>
      <c r="AB104" s="3824"/>
      <c r="AC104" s="3824"/>
    </row>
    <row r="105" spans="1:29" s="3671" customFormat="1" ht="15.75" thickBot="1">
      <c r="A105" s="3815"/>
      <c r="B105" s="3809"/>
      <c r="C105" s="3807">
        <v>100</v>
      </c>
      <c r="D105" s="3807">
        <f>C105-$K31</f>
        <v>98</v>
      </c>
      <c r="E105" s="3807">
        <f>D105-$K31</f>
        <v>96</v>
      </c>
      <c r="F105" s="3807">
        <f>E105-$K31</f>
        <v>94</v>
      </c>
      <c r="G105" s="3807">
        <f>F105-$K31</f>
        <v>92</v>
      </c>
      <c r="H105" s="3811"/>
      <c r="I105" s="3811"/>
      <c r="J105" s="3811"/>
      <c r="K105" s="3811"/>
      <c r="L105" s="3811"/>
      <c r="M105" s="3858"/>
      <c r="N105" s="3821"/>
      <c r="O105" s="3821"/>
      <c r="P105" s="3822"/>
      <c r="Q105" s="3823"/>
      <c r="R105" s="3824"/>
      <c r="S105" s="3824"/>
      <c r="T105" s="3824"/>
      <c r="U105" s="3824"/>
      <c r="V105" s="3824"/>
      <c r="W105" s="3824"/>
      <c r="X105" s="3824"/>
      <c r="Y105" s="3824"/>
      <c r="Z105" s="3824"/>
      <c r="AA105" s="3824"/>
      <c r="AB105" s="3824"/>
      <c r="AC105" s="3824"/>
    </row>
    <row r="106" spans="1:29" ht="16.5" hidden="1" thickTop="1" thickBot="1">
      <c r="A106" s="3796"/>
      <c r="B106" s="3801" t="str">
        <f>B33</f>
        <v>临街状况</v>
      </c>
      <c r="C106" s="3802" t="s">
        <v>4670</v>
      </c>
      <c r="D106" s="3802" t="s">
        <v>4671</v>
      </c>
      <c r="E106" s="3802" t="s">
        <v>4672</v>
      </c>
      <c r="F106" s="3802" t="s">
        <v>4673</v>
      </c>
      <c r="G106" s="3802"/>
      <c r="H106" s="3802"/>
      <c r="I106" s="3802"/>
      <c r="J106" s="3802"/>
      <c r="K106" s="3803"/>
      <c r="L106" s="3804"/>
      <c r="M106" s="3805"/>
      <c r="N106" s="3794"/>
      <c r="O106" s="3794"/>
      <c r="P106" s="3795"/>
      <c r="Q106" s="3761"/>
      <c r="R106" s="3699"/>
      <c r="S106" s="3699"/>
      <c r="T106" s="3699"/>
      <c r="U106" s="3699"/>
      <c r="V106" s="3699"/>
      <c r="W106" s="3699"/>
      <c r="X106" s="3699"/>
      <c r="Y106" s="3699"/>
      <c r="Z106" s="3699"/>
      <c r="AA106" s="3699"/>
      <c r="AB106" s="3699"/>
      <c r="AC106" s="3699"/>
    </row>
    <row r="107" spans="1:29" ht="16.5" hidden="1" thickTop="1" thickBot="1">
      <c r="A107" s="3796"/>
      <c r="B107" s="3806"/>
      <c r="C107" s="3807">
        <v>100</v>
      </c>
      <c r="D107" s="3807">
        <f>C107-$K33</f>
        <v>100</v>
      </c>
      <c r="E107" s="3807">
        <f t="shared" ref="E107:M107" si="22">D107-$K33</f>
        <v>100</v>
      </c>
      <c r="F107" s="3807">
        <f t="shared" si="22"/>
        <v>100</v>
      </c>
      <c r="G107" s="3807">
        <f t="shared" si="22"/>
        <v>100</v>
      </c>
      <c r="H107" s="3807">
        <f t="shared" si="22"/>
        <v>100</v>
      </c>
      <c r="I107" s="3807">
        <f t="shared" si="22"/>
        <v>100</v>
      </c>
      <c r="J107" s="3807">
        <f t="shared" si="22"/>
        <v>100</v>
      </c>
      <c r="K107" s="3807">
        <f t="shared" si="22"/>
        <v>100</v>
      </c>
      <c r="L107" s="3807">
        <f t="shared" si="22"/>
        <v>100</v>
      </c>
      <c r="M107" s="3807">
        <f t="shared" si="22"/>
        <v>100</v>
      </c>
      <c r="N107" s="3800"/>
      <c r="O107" s="3800"/>
      <c r="P107" s="3795"/>
      <c r="Q107" s="3761"/>
      <c r="R107" s="3699"/>
      <c r="S107" s="3699"/>
      <c r="T107" s="3699"/>
      <c r="U107" s="3699"/>
      <c r="V107" s="3699"/>
      <c r="W107" s="3699"/>
      <c r="X107" s="3699"/>
      <c r="Y107" s="3699"/>
      <c r="Z107" s="3699"/>
      <c r="AA107" s="3699"/>
      <c r="AB107" s="3699"/>
      <c r="AC107" s="3699"/>
    </row>
    <row r="108" spans="1:29" ht="27.75" thickTop="1">
      <c r="A108" s="3796"/>
      <c r="B108" s="3801" t="s">
        <v>4606</v>
      </c>
      <c r="C108" s="3816" t="s">
        <v>4674</v>
      </c>
      <c r="D108" s="3816" t="s">
        <v>4675</v>
      </c>
      <c r="E108" s="3816" t="s">
        <v>4676</v>
      </c>
      <c r="F108" s="3816" t="s">
        <v>4677</v>
      </c>
      <c r="G108" s="3817"/>
      <c r="H108" s="3859"/>
      <c r="I108" s="3859"/>
      <c r="J108" s="3859"/>
      <c r="K108" s="3860"/>
      <c r="L108" s="3861"/>
      <c r="M108" s="3862"/>
      <c r="N108" s="3794"/>
      <c r="O108" s="3794"/>
      <c r="P108" s="3795"/>
      <c r="Q108" s="3761"/>
      <c r="R108" s="3699"/>
      <c r="S108" s="3699"/>
      <c r="T108" s="3699"/>
      <c r="U108" s="3699"/>
      <c r="V108" s="3699"/>
      <c r="W108" s="3699"/>
      <c r="X108" s="3699"/>
      <c r="Y108" s="3699"/>
      <c r="Z108" s="3699"/>
      <c r="AA108" s="3699"/>
      <c r="AB108" s="3699"/>
      <c r="AC108" s="3699"/>
    </row>
    <row r="109" spans="1:29" ht="15.75" thickBot="1">
      <c r="A109" s="3796"/>
      <c r="B109" s="3806"/>
      <c r="C109" s="3807">
        <v>100</v>
      </c>
      <c r="D109" s="3807">
        <f>C109-$K34</f>
        <v>99</v>
      </c>
      <c r="E109" s="3807">
        <f t="shared" ref="E109:M109" si="23">D109-$K34</f>
        <v>98</v>
      </c>
      <c r="F109" s="3807">
        <f t="shared" si="23"/>
        <v>97</v>
      </c>
      <c r="G109" s="3807">
        <f t="shared" si="23"/>
        <v>96</v>
      </c>
      <c r="H109" s="3807">
        <f t="shared" si="23"/>
        <v>95</v>
      </c>
      <c r="I109" s="3807">
        <f t="shared" si="23"/>
        <v>94</v>
      </c>
      <c r="J109" s="3807">
        <f t="shared" si="23"/>
        <v>93</v>
      </c>
      <c r="K109" s="3807">
        <f t="shared" si="23"/>
        <v>92</v>
      </c>
      <c r="L109" s="3807">
        <f t="shared" si="23"/>
        <v>91</v>
      </c>
      <c r="M109" s="3807">
        <f t="shared" si="23"/>
        <v>90</v>
      </c>
      <c r="N109" s="3800"/>
      <c r="O109" s="3800"/>
      <c r="P109" s="3795"/>
      <c r="Q109" s="3761"/>
      <c r="R109" s="3699"/>
      <c r="S109" s="3699"/>
      <c r="T109" s="3699"/>
      <c r="U109" s="3699"/>
      <c r="V109" s="3699"/>
      <c r="W109" s="3699"/>
      <c r="X109" s="3699"/>
      <c r="Y109" s="3699"/>
      <c r="Z109" s="3699"/>
      <c r="AA109" s="3699"/>
      <c r="AB109" s="3699"/>
      <c r="AC109" s="3699"/>
    </row>
    <row r="110" spans="1:29" ht="16.5" hidden="1" thickTop="1" thickBot="1">
      <c r="A110" s="3796"/>
      <c r="B110" s="3801" t="s">
        <v>4678</v>
      </c>
      <c r="C110" s="3859"/>
      <c r="D110" s="3859"/>
      <c r="E110" s="3859"/>
      <c r="F110" s="3859"/>
      <c r="G110" s="3859"/>
      <c r="H110" s="3859"/>
      <c r="I110" s="3859"/>
      <c r="J110" s="3859"/>
      <c r="K110" s="3860"/>
      <c r="L110" s="3861"/>
      <c r="M110" s="3862"/>
      <c r="N110" s="3794"/>
      <c r="O110" s="3794"/>
      <c r="P110" s="3795"/>
      <c r="Q110" s="3761"/>
      <c r="R110" s="3699"/>
      <c r="S110" s="3699"/>
      <c r="T110" s="3699"/>
      <c r="U110" s="3699"/>
      <c r="V110" s="3699"/>
      <c r="W110" s="3699"/>
      <c r="X110" s="3699"/>
      <c r="Y110" s="3699"/>
      <c r="Z110" s="3699"/>
      <c r="AA110" s="3699"/>
      <c r="AB110" s="3699"/>
      <c r="AC110" s="3699"/>
    </row>
    <row r="111" spans="1:29" ht="16.5" hidden="1" thickTop="1" thickBot="1">
      <c r="A111" s="3796"/>
      <c r="B111" s="3806"/>
      <c r="C111" s="3807">
        <v>100</v>
      </c>
      <c r="D111" s="3807">
        <f>C111-$K36</f>
        <v>100</v>
      </c>
      <c r="E111" s="3807">
        <f t="shared" ref="E111:M111" si="24">D111-$K36</f>
        <v>100</v>
      </c>
      <c r="F111" s="3807">
        <f t="shared" si="24"/>
        <v>100</v>
      </c>
      <c r="G111" s="3807">
        <f t="shared" si="24"/>
        <v>100</v>
      </c>
      <c r="H111" s="3807">
        <f t="shared" si="24"/>
        <v>100</v>
      </c>
      <c r="I111" s="3807">
        <f t="shared" si="24"/>
        <v>100</v>
      </c>
      <c r="J111" s="3807">
        <f t="shared" si="24"/>
        <v>100</v>
      </c>
      <c r="K111" s="3807">
        <f t="shared" si="24"/>
        <v>100</v>
      </c>
      <c r="L111" s="3807">
        <f t="shared" si="24"/>
        <v>100</v>
      </c>
      <c r="M111" s="3807">
        <f t="shared" si="24"/>
        <v>100</v>
      </c>
      <c r="N111" s="3800"/>
      <c r="O111" s="3800"/>
      <c r="P111" s="3795"/>
      <c r="Q111" s="3761"/>
      <c r="R111" s="3699"/>
      <c r="S111" s="3699"/>
      <c r="T111" s="3699"/>
      <c r="U111" s="3699"/>
      <c r="V111" s="3699"/>
      <c r="W111" s="3699"/>
      <c r="X111" s="3699"/>
      <c r="Y111" s="3699"/>
      <c r="Z111" s="3699"/>
      <c r="AA111" s="3699"/>
      <c r="AB111" s="3699"/>
      <c r="AC111" s="3699"/>
    </row>
    <row r="112" spans="1:29" ht="16.5" hidden="1" thickTop="1" thickBot="1">
      <c r="A112" s="3796"/>
      <c r="B112" s="3809">
        <f>B37</f>
        <v>0</v>
      </c>
      <c r="C112" s="3817"/>
      <c r="D112" s="3817"/>
      <c r="E112" s="3817"/>
      <c r="F112" s="3817"/>
      <c r="G112" s="3863"/>
      <c r="H112" s="3863"/>
      <c r="I112" s="3863"/>
      <c r="J112" s="3863"/>
      <c r="K112" s="3864"/>
      <c r="L112" s="3865"/>
      <c r="M112" s="3866"/>
      <c r="N112" s="3794"/>
      <c r="O112" s="3794"/>
      <c r="P112" s="3795"/>
      <c r="Q112" s="3761"/>
      <c r="R112" s="3699"/>
      <c r="S112" s="3699"/>
      <c r="T112" s="3699"/>
      <c r="U112" s="3699"/>
      <c r="V112" s="3699"/>
      <c r="W112" s="3699"/>
      <c r="X112" s="3699"/>
      <c r="Y112" s="3699"/>
      <c r="Z112" s="3699"/>
      <c r="AA112" s="3699"/>
      <c r="AB112" s="3699"/>
      <c r="AC112" s="3699"/>
    </row>
    <row r="113" spans="1:29" ht="16.5" hidden="1" thickTop="1" thickBot="1">
      <c r="A113" s="3796"/>
      <c r="B113" s="3835"/>
      <c r="C113" s="3825"/>
      <c r="D113" s="3825"/>
      <c r="E113" s="3825"/>
      <c r="F113" s="3825"/>
      <c r="G113" s="3867"/>
      <c r="H113" s="3867"/>
      <c r="I113" s="3867"/>
      <c r="J113" s="3867"/>
      <c r="K113" s="3867"/>
      <c r="L113" s="3867"/>
      <c r="M113" s="3868"/>
      <c r="N113" s="3800"/>
      <c r="O113" s="3800"/>
      <c r="P113" s="3795"/>
      <c r="Q113" s="3761"/>
      <c r="R113" s="3699"/>
      <c r="S113" s="3699"/>
      <c r="T113" s="3699"/>
      <c r="U113" s="3699"/>
      <c r="V113" s="3699"/>
      <c r="W113" s="3699"/>
      <c r="X113" s="3699"/>
      <c r="Y113" s="3699"/>
      <c r="Z113" s="3699"/>
      <c r="AA113" s="3699"/>
      <c r="AB113" s="3699"/>
      <c r="AC113" s="3699"/>
    </row>
    <row r="114" spans="1:29" ht="15.75" hidden="1" thickTop="1" thickBot="1">
      <c r="A114" s="3658"/>
      <c r="B114" s="3801">
        <f>B38</f>
        <v>0</v>
      </c>
      <c r="C114" s="3781"/>
      <c r="D114" s="3781"/>
      <c r="E114" s="3781"/>
      <c r="F114" s="3781"/>
      <c r="G114" s="3859"/>
      <c r="H114" s="3859"/>
      <c r="I114" s="3859"/>
      <c r="J114" s="3859"/>
      <c r="K114" s="3860"/>
      <c r="L114" s="3861"/>
      <c r="M114" s="3862"/>
      <c r="N114" s="3794"/>
      <c r="O114" s="3794"/>
      <c r="P114" s="3795"/>
      <c r="Q114" s="3761"/>
      <c r="R114" s="3699"/>
      <c r="S114" s="3699"/>
      <c r="T114" s="3699"/>
      <c r="U114" s="3699"/>
      <c r="V114" s="3699"/>
      <c r="W114" s="3699"/>
      <c r="X114" s="3699"/>
      <c r="Y114" s="3699"/>
      <c r="Z114" s="3699"/>
      <c r="AA114" s="3699"/>
      <c r="AB114" s="3699"/>
      <c r="AC114" s="3699"/>
    </row>
    <row r="115" spans="1:29" ht="16.5" hidden="1" thickTop="1" thickBot="1">
      <c r="A115" s="3796"/>
      <c r="B115" s="3806"/>
      <c r="C115" s="3836"/>
      <c r="D115" s="3836"/>
      <c r="E115" s="3836"/>
      <c r="F115" s="3836"/>
      <c r="G115" s="3798"/>
      <c r="H115" s="3798"/>
      <c r="I115" s="3798"/>
      <c r="J115" s="3798"/>
      <c r="K115" s="3798"/>
      <c r="L115" s="3798"/>
      <c r="M115" s="3799"/>
      <c r="N115" s="3800"/>
      <c r="O115" s="3800"/>
      <c r="P115" s="3795"/>
      <c r="Q115" s="3761"/>
      <c r="R115" s="3699"/>
      <c r="S115" s="3699"/>
      <c r="T115" s="3699"/>
      <c r="U115" s="3699"/>
      <c r="V115" s="3699"/>
      <c r="W115" s="3699"/>
      <c r="X115" s="3699"/>
      <c r="Y115" s="3699"/>
      <c r="Z115" s="3699"/>
      <c r="AA115" s="3699"/>
      <c r="AB115" s="3699"/>
      <c r="AC115" s="3699"/>
    </row>
    <row r="116" spans="1:29" s="3671" customFormat="1" ht="15.75" hidden="1" thickTop="1" thickBot="1">
      <c r="A116" s="3869"/>
      <c r="B116" s="3870">
        <f>B39</f>
        <v>0</v>
      </c>
      <c r="C116" s="3871"/>
      <c r="D116" s="3871"/>
      <c r="E116" s="3871"/>
      <c r="F116" s="3871"/>
      <c r="G116" s="3871"/>
      <c r="H116" s="3871"/>
      <c r="I116" s="3871"/>
      <c r="J116" s="3872"/>
      <c r="K116" s="3872"/>
      <c r="L116" s="3873"/>
      <c r="M116" s="3874"/>
      <c r="N116" s="3821"/>
      <c r="O116" s="3821"/>
      <c r="P116" s="3822"/>
      <c r="Q116" s="3823"/>
      <c r="R116" s="3824"/>
      <c r="S116" s="3824"/>
      <c r="T116" s="3824"/>
      <c r="U116" s="3824"/>
      <c r="V116" s="3824"/>
      <c r="W116" s="3824"/>
      <c r="X116" s="3824"/>
      <c r="Y116" s="3824"/>
      <c r="Z116" s="3824"/>
      <c r="AA116" s="3824"/>
      <c r="AB116" s="3824"/>
      <c r="AC116" s="3824"/>
    </row>
    <row r="117" spans="1:29" s="3671" customFormat="1" ht="16.5" hidden="1" thickTop="1" thickBot="1">
      <c r="A117" s="3815"/>
      <c r="B117" s="3809"/>
      <c r="C117" s="3786"/>
      <c r="D117" s="3875"/>
      <c r="E117" s="3875"/>
      <c r="F117" s="3875"/>
      <c r="G117" s="3875"/>
      <c r="H117" s="3875"/>
      <c r="I117" s="3875"/>
      <c r="J117" s="3875"/>
      <c r="K117" s="3875"/>
      <c r="L117" s="3875"/>
      <c r="M117" s="3876"/>
      <c r="N117" s="3800"/>
      <c r="O117" s="3800"/>
      <c r="P117" s="3822"/>
      <c r="Q117" s="3823"/>
      <c r="R117" s="3824"/>
      <c r="S117" s="3824"/>
      <c r="T117" s="3824"/>
      <c r="U117" s="3824"/>
      <c r="V117" s="3824"/>
      <c r="W117" s="3824"/>
      <c r="X117" s="3824"/>
      <c r="Y117" s="3824"/>
      <c r="Z117" s="3824"/>
      <c r="AA117" s="3824"/>
      <c r="AB117" s="3824"/>
      <c r="AC117" s="3824"/>
    </row>
    <row r="118" spans="1:29" ht="43.5" thickTop="1">
      <c r="A118" s="3788" t="s">
        <v>4679</v>
      </c>
      <c r="B118" s="3789" t="s">
        <v>4612</v>
      </c>
      <c r="C118" s="3840" t="str">
        <f t="shared" ref="C118:L118" si="25">C119&amp;"(含)"&amp;"-"&amp;D119</f>
        <v>0(含)-100000</v>
      </c>
      <c r="D118" s="3840" t="str">
        <f t="shared" si="25"/>
        <v>100000(含)-200000</v>
      </c>
      <c r="E118" s="3840" t="str">
        <f t="shared" si="25"/>
        <v>200000(含)-400000</v>
      </c>
      <c r="F118" s="3840" t="str">
        <f t="shared" si="25"/>
        <v>400000(含)-600000</v>
      </c>
      <c r="G118" s="3840" t="str">
        <f t="shared" si="25"/>
        <v>600000(含)-</v>
      </c>
      <c r="H118" s="3840" t="str">
        <f t="shared" si="25"/>
        <v>(含)-</v>
      </c>
      <c r="I118" s="3840" t="str">
        <f t="shared" si="25"/>
        <v>(含)-</v>
      </c>
      <c r="J118" s="3877" t="str">
        <f t="shared" si="25"/>
        <v>(含)-</v>
      </c>
      <c r="K118" s="3877" t="str">
        <f t="shared" si="25"/>
        <v>(含)-</v>
      </c>
      <c r="L118" s="3878" t="str">
        <f t="shared" si="25"/>
        <v>(含)-</v>
      </c>
      <c r="M118" s="3879" t="str">
        <f>M119&amp;"(含)"&amp;"-"&amp;P119</f>
        <v>(含)-</v>
      </c>
      <c r="N118" s="3794"/>
      <c r="O118" s="3794"/>
      <c r="P118" s="3795"/>
      <c r="Q118" s="3761"/>
      <c r="R118" s="3699"/>
      <c r="S118" s="3699"/>
      <c r="T118" s="3699"/>
      <c r="U118" s="3699"/>
      <c r="V118" s="3699"/>
      <c r="W118" s="3699"/>
      <c r="X118" s="3699"/>
      <c r="Y118" s="3699"/>
      <c r="Z118" s="3699"/>
      <c r="AA118" s="3699"/>
      <c r="AB118" s="3699"/>
      <c r="AC118" s="3699"/>
    </row>
    <row r="119" spans="1:29" ht="15">
      <c r="A119" s="3796"/>
      <c r="B119" s="3809"/>
      <c r="C119" s="3871">
        <v>0</v>
      </c>
      <c r="D119" s="3871">
        <v>100000</v>
      </c>
      <c r="E119" s="3871">
        <v>200000</v>
      </c>
      <c r="F119" s="3871">
        <v>400000</v>
      </c>
      <c r="G119" s="3871">
        <v>600000</v>
      </c>
      <c r="H119" s="3871"/>
      <c r="I119" s="3871"/>
      <c r="J119" s="3880"/>
      <c r="K119" s="3880"/>
      <c r="L119" s="3881"/>
      <c r="M119" s="3882"/>
      <c r="N119" s="3794"/>
      <c r="O119" s="3794"/>
      <c r="P119" s="3795"/>
      <c r="Q119" s="3761"/>
      <c r="R119" s="3699"/>
      <c r="S119" s="3699"/>
      <c r="T119" s="3699"/>
      <c r="U119" s="3699"/>
      <c r="V119" s="3699"/>
      <c r="W119" s="3699"/>
      <c r="X119" s="3699"/>
      <c r="Y119" s="3699"/>
      <c r="Z119" s="3699"/>
      <c r="AA119" s="3699"/>
      <c r="AB119" s="3699"/>
      <c r="AC119" s="3699"/>
    </row>
    <row r="120" spans="1:29" ht="15.75" thickBot="1">
      <c r="A120" s="3796"/>
      <c r="B120" s="3806"/>
      <c r="C120" s="3836">
        <v>100</v>
      </c>
      <c r="D120" s="3867">
        <v>101</v>
      </c>
      <c r="E120" s="3867">
        <v>102</v>
      </c>
      <c r="F120" s="3867">
        <v>103</v>
      </c>
      <c r="G120" s="3867">
        <v>104</v>
      </c>
      <c r="H120" s="3867"/>
      <c r="I120" s="3867"/>
      <c r="J120" s="3867"/>
      <c r="K120" s="3867"/>
      <c r="L120" s="3867"/>
      <c r="M120" s="3868"/>
      <c r="N120" s="3800"/>
      <c r="O120" s="3800"/>
      <c r="P120" s="3795"/>
      <c r="Q120" s="3761"/>
      <c r="R120" s="3699"/>
      <c r="S120" s="3699"/>
      <c r="T120" s="3699"/>
      <c r="U120" s="3699"/>
      <c r="V120" s="3699"/>
      <c r="W120" s="3699"/>
      <c r="X120" s="3699"/>
      <c r="Y120" s="3699"/>
      <c r="Z120" s="3699"/>
      <c r="AA120" s="3699"/>
      <c r="AB120" s="3699"/>
      <c r="AC120" s="3699"/>
    </row>
    <row r="121" spans="1:29" ht="15" thickTop="1">
      <c r="A121" s="3883"/>
      <c r="B121" s="3801" t="s">
        <v>4613</v>
      </c>
      <c r="C121" s="3884" t="s">
        <v>4680</v>
      </c>
      <c r="D121" s="3859"/>
      <c r="E121" s="3859"/>
      <c r="F121" s="3859"/>
      <c r="G121" s="3859"/>
      <c r="H121" s="3859"/>
      <c r="I121" s="3859"/>
      <c r="J121" s="3859"/>
      <c r="K121" s="3860"/>
      <c r="L121" s="3861"/>
      <c r="M121" s="3862"/>
      <c r="N121" s="3794"/>
      <c r="O121" s="3794"/>
      <c r="P121" s="3795"/>
      <c r="Q121" s="3761"/>
      <c r="R121" s="3699"/>
      <c r="S121" s="3699"/>
      <c r="T121" s="3699"/>
      <c r="U121" s="3699"/>
      <c r="V121" s="3699"/>
      <c r="W121" s="3699"/>
      <c r="X121" s="3699"/>
      <c r="Y121" s="3699"/>
      <c r="Z121" s="3699"/>
      <c r="AA121" s="3699"/>
      <c r="AB121" s="3699"/>
      <c r="AC121" s="3699"/>
    </row>
    <row r="122" spans="1:29" ht="15.75" thickBot="1">
      <c r="A122" s="3796"/>
      <c r="B122" s="3806"/>
      <c r="C122" s="3807">
        <v>100</v>
      </c>
      <c r="D122" s="3807">
        <f t="shared" ref="D122:M122" si="26">C122-$K41</f>
        <v>98</v>
      </c>
      <c r="E122" s="3807">
        <f t="shared" si="26"/>
        <v>96</v>
      </c>
      <c r="F122" s="3807">
        <f t="shared" si="26"/>
        <v>94</v>
      </c>
      <c r="G122" s="3807">
        <f t="shared" si="26"/>
        <v>92</v>
      </c>
      <c r="H122" s="3807">
        <f t="shared" si="26"/>
        <v>90</v>
      </c>
      <c r="I122" s="3807">
        <f t="shared" si="26"/>
        <v>88</v>
      </c>
      <c r="J122" s="3807">
        <f t="shared" si="26"/>
        <v>86</v>
      </c>
      <c r="K122" s="3807">
        <f t="shared" si="26"/>
        <v>84</v>
      </c>
      <c r="L122" s="3807">
        <f t="shared" si="26"/>
        <v>82</v>
      </c>
      <c r="M122" s="3808">
        <f t="shared" si="26"/>
        <v>80</v>
      </c>
      <c r="N122" s="3800"/>
      <c r="O122" s="3800"/>
      <c r="P122" s="3795"/>
      <c r="Q122" s="3761"/>
      <c r="R122" s="3699"/>
      <c r="S122" s="3699"/>
      <c r="T122" s="3699"/>
      <c r="U122" s="3699"/>
      <c r="V122" s="3699"/>
      <c r="W122" s="3699"/>
      <c r="X122" s="3699"/>
      <c r="Y122" s="3699"/>
      <c r="Z122" s="3699"/>
      <c r="AA122" s="3699"/>
      <c r="AB122" s="3699"/>
      <c r="AC122" s="3699"/>
    </row>
    <row r="123" spans="1:29" ht="15.75" hidden="1" thickTop="1" thickBot="1">
      <c r="A123" s="3883"/>
      <c r="B123" s="3801" t="s">
        <v>595</v>
      </c>
      <c r="C123" s="3817"/>
      <c r="D123" s="3817"/>
      <c r="E123" s="3817"/>
      <c r="F123" s="3859"/>
      <c r="G123" s="3859"/>
      <c r="H123" s="3859"/>
      <c r="I123" s="3859"/>
      <c r="J123" s="3859"/>
      <c r="K123" s="3860"/>
      <c r="L123" s="3861"/>
      <c r="M123" s="3862"/>
      <c r="N123" s="3794"/>
      <c r="O123" s="3794"/>
      <c r="P123" s="3795"/>
      <c r="Q123" s="3761"/>
      <c r="R123" s="3699"/>
      <c r="S123" s="3699"/>
      <c r="T123" s="3699"/>
      <c r="U123" s="3699"/>
      <c r="V123" s="3699"/>
      <c r="W123" s="3699"/>
      <c r="X123" s="3699"/>
      <c r="Y123" s="3699"/>
      <c r="Z123" s="3699"/>
      <c r="AA123" s="3699"/>
      <c r="AB123" s="3699"/>
      <c r="AC123" s="3699"/>
    </row>
    <row r="124" spans="1:29" ht="16.5" hidden="1" thickTop="1" thickBot="1">
      <c r="A124" s="3796"/>
      <c r="B124" s="3806"/>
      <c r="C124" s="3807">
        <v>100</v>
      </c>
      <c r="D124" s="3807">
        <f t="shared" ref="D124:M124" si="27">C124-$K42</f>
        <v>100</v>
      </c>
      <c r="E124" s="3807">
        <f t="shared" si="27"/>
        <v>100</v>
      </c>
      <c r="F124" s="3807">
        <f t="shared" si="27"/>
        <v>100</v>
      </c>
      <c r="G124" s="3807">
        <f t="shared" si="27"/>
        <v>100</v>
      </c>
      <c r="H124" s="3807">
        <f t="shared" si="27"/>
        <v>100</v>
      </c>
      <c r="I124" s="3807">
        <f t="shared" si="27"/>
        <v>100</v>
      </c>
      <c r="J124" s="3807">
        <f t="shared" si="27"/>
        <v>100</v>
      </c>
      <c r="K124" s="3807">
        <f t="shared" si="27"/>
        <v>100</v>
      </c>
      <c r="L124" s="3807">
        <f t="shared" si="27"/>
        <v>100</v>
      </c>
      <c r="M124" s="3808">
        <f t="shared" si="27"/>
        <v>100</v>
      </c>
      <c r="N124" s="3800"/>
      <c r="O124" s="3800"/>
      <c r="P124" s="3795"/>
      <c r="Q124" s="3761"/>
      <c r="R124" s="3699"/>
      <c r="S124" s="3699"/>
      <c r="T124" s="3699"/>
      <c r="U124" s="3699"/>
      <c r="V124" s="3699"/>
      <c r="W124" s="3699"/>
      <c r="X124" s="3699"/>
      <c r="Y124" s="3699"/>
      <c r="Z124" s="3699"/>
      <c r="AA124" s="3699"/>
      <c r="AB124" s="3699"/>
      <c r="AC124" s="3699"/>
    </row>
    <row r="125" spans="1:29" s="3671" customFormat="1" ht="15" thickTop="1">
      <c r="A125" s="3869"/>
      <c r="B125" s="3850" t="s">
        <v>2425</v>
      </c>
      <c r="C125" s="3885" t="s">
        <v>4681</v>
      </c>
      <c r="D125" s="3885"/>
      <c r="E125" s="3885"/>
      <c r="F125" s="3885"/>
      <c r="G125" s="3885"/>
      <c r="H125" s="3859"/>
      <c r="I125" s="3859"/>
      <c r="J125" s="3859"/>
      <c r="K125" s="3860"/>
      <c r="L125" s="3861"/>
      <c r="M125" s="3862"/>
      <c r="N125" s="3821"/>
      <c r="O125" s="3821"/>
      <c r="P125" s="3822"/>
      <c r="Q125" s="3823"/>
      <c r="R125" s="3824"/>
      <c r="S125" s="3824"/>
      <c r="T125" s="3824"/>
      <c r="U125" s="3824"/>
      <c r="V125" s="3824"/>
      <c r="W125" s="3824"/>
      <c r="X125" s="3824"/>
      <c r="Y125" s="3824"/>
      <c r="Z125" s="3824"/>
      <c r="AA125" s="3824"/>
      <c r="AB125" s="3824"/>
      <c r="AC125" s="3824"/>
    </row>
    <row r="126" spans="1:29" s="3671" customFormat="1" ht="15.75" thickBot="1">
      <c r="A126" s="3815"/>
      <c r="B126" s="3806"/>
      <c r="C126" s="3807">
        <v>100</v>
      </c>
      <c r="D126" s="3807">
        <f>C126-$K43</f>
        <v>98</v>
      </c>
      <c r="E126" s="3807">
        <f t="shared" ref="E126:M126" si="28">D126-$K43</f>
        <v>96</v>
      </c>
      <c r="F126" s="3807">
        <f t="shared" si="28"/>
        <v>94</v>
      </c>
      <c r="G126" s="3807">
        <f t="shared" si="28"/>
        <v>92</v>
      </c>
      <c r="H126" s="3807">
        <f t="shared" si="28"/>
        <v>90</v>
      </c>
      <c r="I126" s="3807">
        <f t="shared" si="28"/>
        <v>88</v>
      </c>
      <c r="J126" s="3807">
        <f t="shared" si="28"/>
        <v>86</v>
      </c>
      <c r="K126" s="3807">
        <f t="shared" si="28"/>
        <v>84</v>
      </c>
      <c r="L126" s="3807">
        <f t="shared" si="28"/>
        <v>82</v>
      </c>
      <c r="M126" s="3808">
        <f t="shared" si="28"/>
        <v>80</v>
      </c>
      <c r="N126" s="3821"/>
      <c r="O126" s="3821"/>
      <c r="P126" s="3822"/>
      <c r="Q126" s="3823"/>
      <c r="R126" s="3824"/>
      <c r="S126" s="3824"/>
      <c r="T126" s="3824"/>
      <c r="U126" s="3824"/>
      <c r="V126" s="3824"/>
      <c r="W126" s="3824"/>
      <c r="X126" s="3824"/>
      <c r="Y126" s="3824"/>
      <c r="Z126" s="3824"/>
      <c r="AA126" s="3824"/>
      <c r="AB126" s="3824"/>
      <c r="AC126" s="3824"/>
    </row>
    <row r="127" spans="1:29" ht="15" thickTop="1">
      <c r="A127" s="3883"/>
      <c r="B127" s="3801" t="s">
        <v>596</v>
      </c>
      <c r="C127" s="3816" t="s">
        <v>4682</v>
      </c>
      <c r="D127" s="3817"/>
      <c r="E127" s="3859"/>
      <c r="F127" s="3859"/>
      <c r="G127" s="3859"/>
      <c r="H127" s="3859"/>
      <c r="I127" s="3859"/>
      <c r="J127" s="3859"/>
      <c r="K127" s="3860"/>
      <c r="L127" s="3861"/>
      <c r="M127" s="3862"/>
      <c r="N127" s="3794"/>
      <c r="O127" s="3794"/>
      <c r="P127" s="3795"/>
      <c r="Q127" s="3761"/>
      <c r="R127" s="3699"/>
      <c r="S127" s="3699"/>
      <c r="T127" s="3699"/>
      <c r="U127" s="3699"/>
      <c r="V127" s="3699"/>
      <c r="W127" s="3699"/>
      <c r="X127" s="3699"/>
      <c r="Y127" s="3699"/>
      <c r="Z127" s="3699"/>
      <c r="AA127" s="3699"/>
      <c r="AB127" s="3699"/>
      <c r="AC127" s="3699"/>
    </row>
    <row r="128" spans="1:29" ht="15.75" thickBot="1">
      <c r="A128" s="3796"/>
      <c r="B128" s="3806"/>
      <c r="C128" s="3807">
        <v>100</v>
      </c>
      <c r="D128" s="3807">
        <f t="shared" ref="D128:M128" si="29">C128-$K44</f>
        <v>98</v>
      </c>
      <c r="E128" s="3807">
        <f t="shared" si="29"/>
        <v>96</v>
      </c>
      <c r="F128" s="3807">
        <f t="shared" si="29"/>
        <v>94</v>
      </c>
      <c r="G128" s="3807">
        <f t="shared" si="29"/>
        <v>92</v>
      </c>
      <c r="H128" s="3807">
        <f t="shared" si="29"/>
        <v>90</v>
      </c>
      <c r="I128" s="3807">
        <f t="shared" si="29"/>
        <v>88</v>
      </c>
      <c r="J128" s="3807">
        <f t="shared" si="29"/>
        <v>86</v>
      </c>
      <c r="K128" s="3807">
        <f t="shared" si="29"/>
        <v>84</v>
      </c>
      <c r="L128" s="3807">
        <f t="shared" si="29"/>
        <v>82</v>
      </c>
      <c r="M128" s="3808">
        <f t="shared" si="29"/>
        <v>80</v>
      </c>
      <c r="N128" s="3800"/>
      <c r="O128" s="3800"/>
      <c r="P128" s="3795"/>
      <c r="Q128" s="3761"/>
      <c r="R128" s="3699"/>
      <c r="S128" s="3699"/>
      <c r="T128" s="3699"/>
      <c r="U128" s="3699"/>
      <c r="V128" s="3699"/>
      <c r="W128" s="3699"/>
      <c r="X128" s="3699"/>
      <c r="Y128" s="3699"/>
      <c r="Z128" s="3699"/>
      <c r="AA128" s="3699"/>
      <c r="AB128" s="3699"/>
      <c r="AC128" s="3699"/>
    </row>
    <row r="129" spans="1:29" ht="15" hidden="1" thickTop="1">
      <c r="A129" s="3883"/>
      <c r="B129" s="3801">
        <f>B45</f>
        <v>0</v>
      </c>
      <c r="C129" s="3817"/>
      <c r="D129" s="3817"/>
      <c r="E129" s="3817"/>
      <c r="F129" s="3817"/>
      <c r="G129" s="3817"/>
      <c r="H129" s="3859"/>
      <c r="I129" s="3859"/>
      <c r="J129" s="3859"/>
      <c r="K129" s="3860"/>
      <c r="L129" s="3861"/>
      <c r="M129" s="3862"/>
      <c r="N129" s="3794"/>
      <c r="O129" s="3794"/>
      <c r="P129" s="3795"/>
      <c r="Q129" s="3761"/>
      <c r="R129" s="3699"/>
      <c r="S129" s="3699"/>
      <c r="T129" s="3699"/>
      <c r="U129" s="3699"/>
      <c r="V129" s="3699"/>
      <c r="W129" s="3699"/>
      <c r="X129" s="3699"/>
      <c r="Y129" s="3699"/>
      <c r="Z129" s="3699"/>
      <c r="AA129" s="3699"/>
      <c r="AB129" s="3699"/>
      <c r="AC129" s="3699"/>
    </row>
    <row r="130" spans="1:29" ht="16.5" hidden="1" thickTop="1" thickBot="1">
      <c r="A130" s="3796"/>
      <c r="B130" s="3806"/>
      <c r="C130" s="3825"/>
      <c r="D130" s="3825"/>
      <c r="E130" s="3825"/>
      <c r="F130" s="3825"/>
      <c r="G130" s="3798"/>
      <c r="H130" s="3798"/>
      <c r="I130" s="3798"/>
      <c r="J130" s="3798"/>
      <c r="K130" s="3798"/>
      <c r="L130" s="3798"/>
      <c r="M130" s="3799"/>
      <c r="N130" s="3800"/>
      <c r="O130" s="3800"/>
      <c r="P130" s="3795"/>
      <c r="Q130" s="3761"/>
      <c r="R130" s="3699"/>
      <c r="S130" s="3699"/>
      <c r="T130" s="3699"/>
      <c r="U130" s="3699"/>
      <c r="V130" s="3699"/>
      <c r="W130" s="3699"/>
      <c r="X130" s="3699"/>
      <c r="Y130" s="3699"/>
      <c r="Z130" s="3699"/>
      <c r="AA130" s="3699"/>
      <c r="AB130" s="3699"/>
      <c r="AC130" s="3699"/>
    </row>
    <row r="131" spans="1:29" ht="15" hidden="1" thickTop="1">
      <c r="A131" s="3883"/>
      <c r="B131" s="3801">
        <f>B46</f>
        <v>0</v>
      </c>
      <c r="C131" s="3781"/>
      <c r="D131" s="3781"/>
      <c r="E131" s="3781"/>
      <c r="F131" s="3781"/>
      <c r="G131" s="3859"/>
      <c r="H131" s="3859"/>
      <c r="I131" s="3859"/>
      <c r="J131" s="3859"/>
      <c r="K131" s="3860"/>
      <c r="L131" s="3861"/>
      <c r="M131" s="3862"/>
      <c r="N131" s="3794"/>
      <c r="O131" s="3794"/>
      <c r="P131" s="3795"/>
      <c r="Q131" s="3761"/>
      <c r="R131" s="3699"/>
      <c r="S131" s="3699"/>
      <c r="T131" s="3699"/>
      <c r="U131" s="3699"/>
      <c r="V131" s="3699"/>
      <c r="W131" s="3699"/>
      <c r="X131" s="3699"/>
      <c r="Y131" s="3699"/>
      <c r="Z131" s="3699"/>
      <c r="AA131" s="3699"/>
      <c r="AB131" s="3699"/>
      <c r="AC131" s="3699"/>
    </row>
    <row r="132" spans="1:29" ht="16.5" hidden="1" thickTop="1" thickBot="1">
      <c r="A132" s="3796"/>
      <c r="B132" s="3806"/>
      <c r="C132" s="3836"/>
      <c r="D132" s="3836"/>
      <c r="E132" s="3836"/>
      <c r="F132" s="3836"/>
      <c r="G132" s="3798"/>
      <c r="H132" s="3798"/>
      <c r="I132" s="3798"/>
      <c r="J132" s="3798"/>
      <c r="K132" s="3798"/>
      <c r="L132" s="3798"/>
      <c r="M132" s="3799"/>
      <c r="N132" s="3800"/>
      <c r="O132" s="3800"/>
      <c r="P132" s="3795"/>
      <c r="Q132" s="3761"/>
      <c r="R132" s="3699"/>
      <c r="S132" s="3699"/>
      <c r="T132" s="3699"/>
      <c r="U132" s="3699"/>
      <c r="V132" s="3699"/>
      <c r="W132" s="3699"/>
      <c r="X132" s="3699"/>
      <c r="Y132" s="3699"/>
      <c r="Z132" s="3699"/>
      <c r="AA132" s="3699"/>
      <c r="AB132" s="3699"/>
      <c r="AC132" s="3699"/>
    </row>
    <row r="133" spans="1:29" s="3671" customFormat="1" ht="15" hidden="1" thickTop="1">
      <c r="A133" s="3869"/>
      <c r="B133" s="3801">
        <f>B47</f>
        <v>0</v>
      </c>
      <c r="C133" s="3781"/>
      <c r="D133" s="3781"/>
      <c r="E133" s="3781"/>
      <c r="F133" s="3781"/>
      <c r="G133" s="3818"/>
      <c r="H133" s="3818"/>
      <c r="I133" s="3818"/>
      <c r="J133" s="3818"/>
      <c r="K133" s="3818"/>
      <c r="L133" s="3819"/>
      <c r="M133" s="3820"/>
      <c r="N133" s="3821"/>
      <c r="O133" s="3821"/>
      <c r="P133" s="3822"/>
      <c r="Q133" s="3823"/>
      <c r="R133" s="3824"/>
      <c r="S133" s="3824"/>
      <c r="T133" s="3824"/>
      <c r="U133" s="3824"/>
      <c r="V133" s="3824"/>
      <c r="W133" s="3824"/>
      <c r="X133" s="3824"/>
      <c r="Y133" s="3824"/>
      <c r="Z133" s="3824"/>
      <c r="AA133" s="3824"/>
      <c r="AB133" s="3824"/>
      <c r="AC133" s="3824"/>
    </row>
    <row r="134" spans="1:29" s="3671" customFormat="1" ht="16.5" hidden="1" thickTop="1" thickBot="1">
      <c r="A134" s="3834"/>
      <c r="B134" s="3886"/>
      <c r="C134" s="3836"/>
      <c r="D134" s="3836"/>
      <c r="E134" s="3836"/>
      <c r="F134" s="3836"/>
      <c r="G134" s="3867"/>
      <c r="H134" s="3867"/>
      <c r="I134" s="3867"/>
      <c r="J134" s="3867"/>
      <c r="K134" s="3867"/>
      <c r="L134" s="3867"/>
      <c r="M134" s="3868"/>
      <c r="N134" s="3821"/>
      <c r="O134" s="3821"/>
      <c r="P134" s="3822"/>
      <c r="Q134" s="3823"/>
      <c r="R134" s="3824"/>
      <c r="S134" s="3824"/>
      <c r="T134" s="3824"/>
      <c r="U134" s="3824"/>
      <c r="V134" s="3824"/>
      <c r="W134" s="3824"/>
      <c r="X134" s="3824"/>
      <c r="Y134" s="3824"/>
      <c r="Z134" s="3824"/>
      <c r="AA134" s="3824"/>
      <c r="AB134" s="3824"/>
      <c r="AC134" s="3824"/>
    </row>
    <row r="135" spans="1:29" s="3890" customFormat="1" ht="15" thickTop="1">
      <c r="A135" s="3887"/>
      <c r="B135" s="3887"/>
      <c r="C135" s="3887"/>
      <c r="D135" s="3887"/>
      <c r="E135" s="3887"/>
      <c r="F135" s="3887"/>
      <c r="G135" s="3887"/>
      <c r="H135" s="3887"/>
      <c r="I135" s="3887"/>
      <c r="J135" s="3887"/>
      <c r="K135" s="3888"/>
      <c r="L135" s="3889"/>
      <c r="M135" s="3887"/>
      <c r="N135" s="3887"/>
      <c r="O135" s="3887"/>
      <c r="P135" s="3887"/>
      <c r="Q135" s="3887"/>
      <c r="R135" s="3887"/>
      <c r="S135" s="3887"/>
      <c r="T135" s="3887"/>
      <c r="U135" s="3887"/>
      <c r="V135" s="3887"/>
      <c r="W135" s="3887"/>
      <c r="X135" s="3887"/>
      <c r="Y135" s="3887"/>
      <c r="Z135" s="3887"/>
      <c r="AA135" s="3887"/>
      <c r="AB135" s="3887"/>
      <c r="AC135" s="3887"/>
    </row>
    <row r="136" spans="1:29" s="3890" customFormat="1">
      <c r="A136" s="3887"/>
      <c r="B136" s="3887"/>
      <c r="C136" s="3887"/>
      <c r="D136" s="3887"/>
      <c r="E136" s="3887"/>
      <c r="F136" s="3887"/>
      <c r="G136" s="3887"/>
      <c r="H136" s="3887"/>
      <c r="I136" s="3887"/>
      <c r="J136" s="3887"/>
      <c r="K136" s="3888"/>
      <c r="L136" s="3889"/>
      <c r="M136" s="3887"/>
      <c r="N136" s="3887"/>
      <c r="O136" s="3887"/>
      <c r="P136" s="3887"/>
      <c r="Q136" s="3887"/>
      <c r="R136" s="3887"/>
      <c r="S136" s="3887"/>
      <c r="T136" s="3887"/>
      <c r="U136" s="3887"/>
      <c r="V136" s="3887"/>
      <c r="W136" s="3887"/>
      <c r="X136" s="3887"/>
      <c r="Y136" s="3887"/>
      <c r="Z136" s="3887"/>
      <c r="AA136" s="3887"/>
      <c r="AB136" s="3887"/>
      <c r="AC136" s="3887"/>
    </row>
    <row r="137" spans="1:29" s="3890" customFormat="1">
      <c r="A137" s="3887"/>
      <c r="B137" s="3887"/>
      <c r="C137" s="3887"/>
      <c r="D137" s="3887"/>
      <c r="E137" s="3887"/>
      <c r="F137" s="3887"/>
      <c r="G137" s="3887"/>
      <c r="H137" s="3887"/>
      <c r="I137" s="3887"/>
      <c r="J137" s="3887"/>
      <c r="K137" s="3888"/>
      <c r="L137" s="3889"/>
      <c r="M137" s="3887"/>
      <c r="N137" s="3887"/>
      <c r="O137" s="3887"/>
      <c r="P137" s="3887"/>
      <c r="Q137" s="3887"/>
      <c r="R137" s="3887"/>
      <c r="S137" s="3887"/>
      <c r="T137" s="3887"/>
      <c r="U137" s="3887"/>
      <c r="V137" s="3887"/>
      <c r="W137" s="3887"/>
      <c r="X137" s="3887"/>
      <c r="Y137" s="3887"/>
      <c r="Z137" s="3887"/>
      <c r="AA137" s="3887"/>
      <c r="AB137" s="3887"/>
      <c r="AC137" s="3887"/>
    </row>
    <row r="138" spans="1:29" s="3890" customFormat="1">
      <c r="A138" s="3887"/>
      <c r="B138" s="3887"/>
      <c r="C138" s="3887"/>
      <c r="D138" s="3887"/>
      <c r="E138" s="3887"/>
      <c r="F138" s="3887"/>
      <c r="G138" s="3887"/>
      <c r="H138" s="3887"/>
      <c r="I138" s="3887"/>
      <c r="J138" s="3887"/>
      <c r="K138" s="3888"/>
      <c r="L138" s="3889"/>
      <c r="M138" s="3887"/>
      <c r="N138" s="3887"/>
      <c r="O138" s="3887"/>
      <c r="P138" s="3887"/>
      <c r="Q138" s="3887"/>
      <c r="R138" s="3887"/>
      <c r="S138" s="3887"/>
      <c r="T138" s="3887"/>
      <c r="U138" s="3887"/>
      <c r="V138" s="3887"/>
      <c r="W138" s="3887"/>
      <c r="X138" s="3887"/>
      <c r="Y138" s="3887"/>
      <c r="Z138" s="3887"/>
      <c r="AA138" s="3887"/>
      <c r="AB138" s="3887"/>
      <c r="AC138" s="3887"/>
    </row>
    <row r="139" spans="1:29" s="3890" customFormat="1">
      <c r="A139" s="3887"/>
      <c r="B139" s="3887"/>
      <c r="C139" s="3887"/>
      <c r="D139" s="3887"/>
      <c r="E139" s="3887"/>
      <c r="F139" s="3887"/>
      <c r="G139" s="3887"/>
      <c r="H139" s="3887"/>
      <c r="I139" s="3887"/>
      <c r="J139" s="3887"/>
      <c r="K139" s="3888"/>
      <c r="L139" s="3889"/>
      <c r="M139" s="3887"/>
      <c r="N139" s="3887"/>
      <c r="O139" s="3887"/>
      <c r="P139" s="3887"/>
      <c r="Q139" s="3887"/>
      <c r="R139" s="3887"/>
      <c r="S139" s="3887"/>
      <c r="T139" s="3887"/>
      <c r="U139" s="3887"/>
      <c r="V139" s="3887"/>
      <c r="W139" s="3887"/>
      <c r="X139" s="3887"/>
      <c r="Y139" s="3887"/>
      <c r="Z139" s="3887"/>
      <c r="AA139" s="3887"/>
      <c r="AB139" s="3887"/>
      <c r="AC139" s="3887"/>
    </row>
    <row r="140" spans="1:29" s="3890" customFormat="1">
      <c r="A140" s="3887"/>
      <c r="B140" s="3887"/>
      <c r="C140" s="3887"/>
      <c r="D140" s="3887"/>
      <c r="E140" s="3887"/>
      <c r="F140" s="3887"/>
      <c r="G140" s="3887"/>
      <c r="H140" s="3887"/>
      <c r="I140" s="3887"/>
      <c r="J140" s="3887"/>
      <c r="K140" s="3888"/>
      <c r="L140" s="3889"/>
      <c r="M140" s="3887"/>
      <c r="N140" s="3887"/>
      <c r="O140" s="3887"/>
      <c r="P140" s="3887"/>
      <c r="Q140" s="3887"/>
      <c r="R140" s="3887"/>
      <c r="S140" s="3887"/>
      <c r="T140" s="3887"/>
      <c r="U140" s="3887"/>
      <c r="V140" s="3887"/>
      <c r="W140" s="3887"/>
      <c r="X140" s="3887"/>
      <c r="Y140" s="3887"/>
      <c r="Z140" s="3887"/>
      <c r="AA140" s="3887"/>
      <c r="AB140" s="3887"/>
      <c r="AC140" s="3887"/>
    </row>
    <row r="141" spans="1:29" s="3890" customFormat="1">
      <c r="A141" s="3887"/>
      <c r="B141" s="3887"/>
      <c r="C141" s="3887"/>
      <c r="D141" s="3887"/>
      <c r="E141" s="3887"/>
      <c r="F141" s="3887"/>
      <c r="G141" s="3887"/>
      <c r="H141" s="3887"/>
      <c r="I141" s="3887"/>
      <c r="J141" s="3887"/>
      <c r="K141" s="3888"/>
      <c r="L141" s="3889"/>
      <c r="M141" s="3887"/>
      <c r="N141" s="3887"/>
      <c r="O141" s="3887"/>
      <c r="P141" s="3887"/>
      <c r="Q141" s="3887"/>
      <c r="R141" s="3887"/>
      <c r="S141" s="3887"/>
      <c r="T141" s="3887"/>
      <c r="U141" s="3887"/>
      <c r="V141" s="3887"/>
      <c r="W141" s="3887"/>
      <c r="X141" s="3887"/>
      <c r="Y141" s="3887"/>
      <c r="Z141" s="3887"/>
      <c r="AA141" s="3887"/>
      <c r="AB141" s="3887"/>
      <c r="AC141" s="3887"/>
    </row>
    <row r="142" spans="1:29" s="3890" customFormat="1">
      <c r="A142" s="3887"/>
      <c r="B142" s="3887"/>
      <c r="C142" s="3887"/>
      <c r="D142" s="3887"/>
      <c r="E142" s="3887"/>
      <c r="F142" s="3887"/>
      <c r="G142" s="3887"/>
      <c r="H142" s="3887"/>
      <c r="I142" s="3887"/>
      <c r="J142" s="3887"/>
      <c r="K142" s="3888"/>
      <c r="L142" s="3889"/>
      <c r="M142" s="3887"/>
      <c r="N142" s="3887"/>
      <c r="O142" s="3887"/>
      <c r="P142" s="3887"/>
      <c r="Q142" s="3887"/>
      <c r="R142" s="3887"/>
      <c r="S142" s="3887"/>
      <c r="T142" s="3887"/>
      <c r="U142" s="3887"/>
      <c r="V142" s="3887"/>
      <c r="W142" s="3887"/>
      <c r="X142" s="3887"/>
      <c r="Y142" s="3887"/>
      <c r="Z142" s="3887"/>
      <c r="AA142" s="3887"/>
      <c r="AB142" s="3887"/>
      <c r="AC142" s="3887"/>
    </row>
    <row r="143" spans="1:29" s="3890" customFormat="1">
      <c r="A143" s="3887"/>
      <c r="B143" s="3887"/>
      <c r="C143" s="3887"/>
      <c r="D143" s="3887"/>
      <c r="E143" s="3887"/>
      <c r="F143" s="3887"/>
      <c r="G143" s="3887"/>
      <c r="H143" s="3887"/>
      <c r="I143" s="3887"/>
      <c r="J143" s="3887"/>
      <c r="K143" s="3888"/>
      <c r="L143" s="3889"/>
      <c r="M143" s="3887"/>
      <c r="N143" s="3887"/>
      <c r="O143" s="3887"/>
      <c r="P143" s="3887"/>
      <c r="Q143" s="3887"/>
      <c r="R143" s="3887"/>
      <c r="S143" s="3887"/>
      <c r="T143" s="3887"/>
      <c r="U143" s="3887"/>
      <c r="V143" s="3887"/>
      <c r="W143" s="3887"/>
      <c r="X143" s="3887"/>
      <c r="Y143" s="3887"/>
      <c r="Z143" s="3887"/>
      <c r="AA143" s="3887"/>
      <c r="AB143" s="3887"/>
      <c r="AC143" s="3887"/>
    </row>
    <row r="144" spans="1:29" s="3890" customFormat="1">
      <c r="A144" s="3887"/>
      <c r="B144" s="3887"/>
      <c r="C144" s="3887"/>
      <c r="D144" s="3887"/>
      <c r="E144" s="3887"/>
      <c r="F144" s="3887"/>
      <c r="G144" s="3887"/>
      <c r="H144" s="3887"/>
      <c r="I144" s="3887"/>
      <c r="J144" s="3887"/>
      <c r="K144" s="3888"/>
      <c r="L144" s="3889"/>
      <c r="M144" s="3887"/>
      <c r="N144" s="3887"/>
      <c r="O144" s="3887"/>
      <c r="P144" s="3887"/>
      <c r="Q144" s="3887"/>
      <c r="R144" s="3887"/>
      <c r="S144" s="3887"/>
      <c r="T144" s="3887"/>
      <c r="U144" s="3887"/>
      <c r="V144" s="3887"/>
      <c r="W144" s="3887"/>
      <c r="X144" s="3887"/>
      <c r="Y144" s="3887"/>
      <c r="Z144" s="3887"/>
      <c r="AA144" s="3887"/>
      <c r="AB144" s="3887"/>
      <c r="AC144" s="3887"/>
    </row>
    <row r="145" spans="1:29" s="3890" customFormat="1">
      <c r="A145" s="3887"/>
      <c r="B145" s="3887"/>
      <c r="C145" s="3887"/>
      <c r="D145" s="3887"/>
      <c r="E145" s="3887"/>
      <c r="F145" s="3887"/>
      <c r="G145" s="3887"/>
      <c r="H145" s="3887"/>
      <c r="I145" s="3887"/>
      <c r="J145" s="3887"/>
      <c r="K145" s="3888"/>
      <c r="L145" s="3889"/>
      <c r="M145" s="3887"/>
      <c r="N145" s="3887"/>
      <c r="O145" s="3887"/>
      <c r="P145" s="3887"/>
      <c r="Q145" s="3887"/>
      <c r="R145" s="3887"/>
      <c r="S145" s="3887"/>
      <c r="T145" s="3887"/>
      <c r="U145" s="3887"/>
      <c r="V145" s="3887"/>
      <c r="W145" s="3887"/>
      <c r="X145" s="3887"/>
      <c r="Y145" s="3887"/>
      <c r="Z145" s="3887"/>
      <c r="AA145" s="3887"/>
      <c r="AB145" s="3887"/>
      <c r="AC145" s="3887"/>
    </row>
    <row r="146" spans="1:29" s="3890" customFormat="1">
      <c r="A146" s="3887"/>
      <c r="B146" s="3887"/>
      <c r="C146" s="3887"/>
      <c r="D146" s="3887"/>
      <c r="E146" s="3887"/>
      <c r="F146" s="3887"/>
      <c r="G146" s="3887"/>
      <c r="H146" s="3887"/>
      <c r="I146" s="3887"/>
      <c r="J146" s="3887"/>
      <c r="K146" s="3888"/>
      <c r="L146" s="3889"/>
      <c r="M146" s="3887"/>
      <c r="N146" s="3887"/>
      <c r="O146" s="3887"/>
      <c r="P146" s="3887"/>
      <c r="Q146" s="3887"/>
      <c r="R146" s="3887"/>
      <c r="S146" s="3887"/>
      <c r="T146" s="3887"/>
      <c r="U146" s="3887"/>
      <c r="V146" s="3887"/>
      <c r="W146" s="3887"/>
      <c r="X146" s="3887"/>
      <c r="Y146" s="3887"/>
      <c r="Z146" s="3887"/>
      <c r="AA146" s="3887"/>
      <c r="AB146" s="3887"/>
      <c r="AC146" s="3887"/>
    </row>
    <row r="147" spans="1:29" s="3890" customFormat="1">
      <c r="A147" s="3887"/>
      <c r="B147" s="3887"/>
      <c r="C147" s="3887"/>
      <c r="D147" s="3887"/>
      <c r="E147" s="3887"/>
      <c r="F147" s="3887"/>
      <c r="G147" s="3887"/>
      <c r="H147" s="3887"/>
      <c r="I147" s="3887"/>
      <c r="J147" s="3887"/>
      <c r="K147" s="3888"/>
      <c r="L147" s="3889"/>
      <c r="M147" s="3887"/>
      <c r="N147" s="3887"/>
      <c r="O147" s="3887"/>
      <c r="P147" s="3887"/>
      <c r="Q147" s="3887"/>
      <c r="R147" s="3887"/>
      <c r="S147" s="3887"/>
      <c r="T147" s="3887"/>
      <c r="U147" s="3887"/>
      <c r="V147" s="3887"/>
      <c r="W147" s="3887"/>
      <c r="X147" s="3887"/>
      <c r="Y147" s="3887"/>
      <c r="Z147" s="3887"/>
      <c r="AA147" s="3887"/>
      <c r="AB147" s="3887"/>
      <c r="AC147" s="3887"/>
    </row>
    <row r="148" spans="1:29" s="3890" customFormat="1">
      <c r="A148" s="3887"/>
      <c r="B148" s="3887"/>
      <c r="C148" s="3887"/>
      <c r="D148" s="3887"/>
      <c r="E148" s="3887"/>
      <c r="F148" s="3887"/>
      <c r="G148" s="3887"/>
      <c r="H148" s="3887"/>
      <c r="I148" s="3887"/>
      <c r="J148" s="3887"/>
      <c r="K148" s="3888"/>
      <c r="L148" s="3889"/>
      <c r="M148" s="3887"/>
      <c r="N148" s="3887"/>
      <c r="O148" s="3887"/>
      <c r="P148" s="3887"/>
      <c r="Q148" s="3887"/>
      <c r="R148" s="3887"/>
      <c r="S148" s="3887"/>
      <c r="T148" s="3887"/>
      <c r="U148" s="3887"/>
      <c r="V148" s="3887"/>
      <c r="W148" s="3887"/>
      <c r="X148" s="3887"/>
      <c r="Y148" s="3887"/>
      <c r="Z148" s="3887"/>
      <c r="AA148" s="3887"/>
      <c r="AB148" s="3887"/>
      <c r="AC148" s="3887"/>
    </row>
    <row r="149" spans="1:29" s="3890" customFormat="1">
      <c r="A149" s="3887"/>
      <c r="B149" s="3887"/>
      <c r="C149" s="3887"/>
      <c r="D149" s="3887"/>
      <c r="E149" s="3887"/>
      <c r="F149" s="3887"/>
      <c r="G149" s="3887"/>
      <c r="H149" s="3887"/>
      <c r="I149" s="3887"/>
      <c r="J149" s="3887"/>
      <c r="K149" s="3888"/>
      <c r="L149" s="3889"/>
      <c r="M149" s="3887"/>
      <c r="N149" s="3887"/>
      <c r="O149" s="3887"/>
      <c r="P149" s="3887"/>
      <c r="Q149" s="3887"/>
      <c r="R149" s="3887"/>
      <c r="S149" s="3887"/>
      <c r="T149" s="3887"/>
      <c r="U149" s="3887"/>
      <c r="V149" s="3887"/>
      <c r="W149" s="3887"/>
      <c r="X149" s="3887"/>
      <c r="Y149" s="3887"/>
      <c r="Z149" s="3887"/>
      <c r="AA149" s="3887"/>
      <c r="AB149" s="3887"/>
      <c r="AC149" s="3887"/>
    </row>
    <row r="150" spans="1:29" s="3890" customFormat="1">
      <c r="A150" s="3887"/>
      <c r="B150" s="3887"/>
      <c r="C150" s="3887"/>
      <c r="D150" s="3887"/>
      <c r="E150" s="3887"/>
      <c r="F150" s="3887"/>
      <c r="G150" s="3887"/>
      <c r="H150" s="3887"/>
      <c r="I150" s="3887"/>
      <c r="J150" s="3887"/>
      <c r="K150" s="3888"/>
      <c r="L150" s="3889"/>
      <c r="M150" s="3887"/>
      <c r="N150" s="3887"/>
      <c r="O150" s="3887"/>
      <c r="P150" s="3887"/>
      <c r="Q150" s="3887"/>
      <c r="R150" s="3887"/>
      <c r="S150" s="3887"/>
      <c r="T150" s="3887"/>
      <c r="U150" s="3887"/>
      <c r="V150" s="3887"/>
      <c r="W150" s="3887"/>
      <c r="X150" s="3887"/>
      <c r="Y150" s="3887"/>
      <c r="Z150" s="3887"/>
      <c r="AA150" s="3887"/>
      <c r="AB150" s="3887"/>
      <c r="AC150" s="3887"/>
    </row>
    <row r="151" spans="1:29" s="3890" customFormat="1">
      <c r="A151" s="3887"/>
      <c r="B151" s="3887"/>
      <c r="C151" s="3887"/>
      <c r="D151" s="3887"/>
      <c r="E151" s="3887"/>
      <c r="F151" s="3887"/>
      <c r="G151" s="3887"/>
      <c r="H151" s="3887"/>
      <c r="I151" s="3887"/>
      <c r="J151" s="3887"/>
      <c r="K151" s="3888"/>
      <c r="L151" s="3889"/>
      <c r="M151" s="3887"/>
      <c r="N151" s="3887"/>
      <c r="O151" s="3887"/>
      <c r="P151" s="3887"/>
      <c r="Q151" s="3887"/>
      <c r="R151" s="3887"/>
      <c r="S151" s="3887"/>
      <c r="T151" s="3887"/>
      <c r="U151" s="3887"/>
      <c r="V151" s="3887"/>
      <c r="W151" s="3887"/>
      <c r="X151" s="3887"/>
      <c r="Y151" s="3887"/>
      <c r="Z151" s="3887"/>
      <c r="AA151" s="3887"/>
      <c r="AB151" s="3887"/>
      <c r="AC151" s="3887"/>
    </row>
    <row r="152" spans="1:29" s="3890" customFormat="1">
      <c r="A152" s="3887"/>
      <c r="B152" s="3887"/>
      <c r="C152" s="3887"/>
      <c r="D152" s="3887"/>
      <c r="E152" s="3887"/>
      <c r="F152" s="3887"/>
      <c r="G152" s="3887"/>
      <c r="H152" s="3887"/>
      <c r="I152" s="3887"/>
      <c r="J152" s="3887"/>
      <c r="K152" s="3888"/>
      <c r="L152" s="3889"/>
      <c r="M152" s="3887"/>
      <c r="N152" s="3887"/>
      <c r="O152" s="3887"/>
      <c r="P152" s="3887"/>
      <c r="Q152" s="3887"/>
      <c r="R152" s="3887"/>
      <c r="S152" s="3887"/>
      <c r="T152" s="3887"/>
      <c r="U152" s="3887"/>
      <c r="V152" s="3887"/>
      <c r="W152" s="3887"/>
      <c r="X152" s="3887"/>
      <c r="Y152" s="3887"/>
      <c r="Z152" s="3887"/>
      <c r="AA152" s="3887"/>
      <c r="AB152" s="3887"/>
      <c r="AC152" s="3887"/>
    </row>
    <row r="153" spans="1:29" s="3890" customFormat="1">
      <c r="A153" s="3887"/>
      <c r="B153" s="3887"/>
      <c r="C153" s="3887"/>
      <c r="D153" s="3887"/>
      <c r="E153" s="3887"/>
      <c r="F153" s="3887"/>
      <c r="G153" s="3887"/>
      <c r="H153" s="3887"/>
      <c r="I153" s="3887"/>
      <c r="J153" s="3887"/>
      <c r="K153" s="3888"/>
      <c r="L153" s="3889"/>
      <c r="M153" s="3887"/>
      <c r="N153" s="3887"/>
      <c r="O153" s="3887"/>
      <c r="P153" s="3887"/>
      <c r="Q153" s="3887"/>
      <c r="R153" s="3887"/>
      <c r="S153" s="3887"/>
      <c r="T153" s="3887"/>
      <c r="U153" s="3887"/>
      <c r="V153" s="3887"/>
      <c r="W153" s="3887"/>
      <c r="X153" s="3887"/>
      <c r="Y153" s="3887"/>
      <c r="Z153" s="3887"/>
      <c r="AA153" s="3887"/>
      <c r="AB153" s="3887"/>
      <c r="AC153" s="3887"/>
    </row>
    <row r="154" spans="1:29" s="3890" customFormat="1">
      <c r="A154" s="3887"/>
      <c r="B154" s="3887"/>
      <c r="C154" s="3887"/>
      <c r="D154" s="3887"/>
      <c r="E154" s="3887"/>
      <c r="F154" s="3887"/>
      <c r="G154" s="3887"/>
      <c r="H154" s="3887"/>
      <c r="I154" s="3887"/>
      <c r="J154" s="3887"/>
      <c r="K154" s="3888"/>
      <c r="L154" s="3889"/>
      <c r="M154" s="3887"/>
      <c r="N154" s="3887"/>
      <c r="O154" s="3887"/>
      <c r="P154" s="3887"/>
      <c r="Q154" s="3887"/>
      <c r="R154" s="3887"/>
      <c r="S154" s="3887"/>
      <c r="T154" s="3887"/>
      <c r="U154" s="3887"/>
      <c r="V154" s="3887"/>
      <c r="W154" s="3887"/>
      <c r="X154" s="3887"/>
      <c r="Y154" s="3887"/>
      <c r="Z154" s="3887"/>
      <c r="AA154" s="3887"/>
      <c r="AB154" s="3887"/>
      <c r="AC154" s="3887"/>
    </row>
    <row r="155" spans="1:29" s="3890" customFormat="1">
      <c r="A155" s="3887"/>
      <c r="B155" s="3887"/>
      <c r="C155" s="3887"/>
      <c r="D155" s="3887"/>
      <c r="E155" s="3887"/>
      <c r="F155" s="3887"/>
      <c r="G155" s="3887"/>
      <c r="H155" s="3887"/>
      <c r="I155" s="3887"/>
      <c r="J155" s="3887"/>
      <c r="K155" s="3888"/>
      <c r="L155" s="3889"/>
      <c r="M155" s="3887"/>
      <c r="N155" s="3887"/>
      <c r="O155" s="3887"/>
      <c r="P155" s="3887"/>
      <c r="Q155" s="3887"/>
      <c r="R155" s="3887"/>
      <c r="S155" s="3887"/>
      <c r="T155" s="3887"/>
      <c r="U155" s="3887"/>
      <c r="V155" s="3887"/>
      <c r="W155" s="3887"/>
      <c r="X155" s="3887"/>
      <c r="Y155" s="3887"/>
      <c r="Z155" s="3887"/>
      <c r="AA155" s="3887"/>
      <c r="AB155" s="3887"/>
      <c r="AC155" s="3887"/>
    </row>
    <row r="156" spans="1:29" s="3890" customFormat="1">
      <c r="A156" s="3887"/>
      <c r="B156" s="3887"/>
      <c r="C156" s="3887"/>
      <c r="D156" s="3887"/>
      <c r="E156" s="3887"/>
      <c r="F156" s="3887"/>
      <c r="G156" s="3887"/>
      <c r="H156" s="3887"/>
      <c r="I156" s="3887"/>
      <c r="J156" s="3887"/>
      <c r="K156" s="3888"/>
      <c r="L156" s="3889"/>
      <c r="M156" s="3887"/>
      <c r="N156" s="3887"/>
      <c r="O156" s="3887"/>
      <c r="P156" s="3887"/>
      <c r="Q156" s="3887"/>
      <c r="R156" s="3887"/>
      <c r="S156" s="3887"/>
      <c r="T156" s="3887"/>
      <c r="U156" s="3887"/>
      <c r="V156" s="3887"/>
      <c r="W156" s="3887"/>
      <c r="X156" s="3887"/>
      <c r="Y156" s="3887"/>
      <c r="Z156" s="3887"/>
      <c r="AA156" s="3887"/>
      <c r="AB156" s="3887"/>
      <c r="AC156" s="3887"/>
    </row>
    <row r="157" spans="1:29" s="3890" customFormat="1">
      <c r="A157" s="3887"/>
      <c r="B157" s="3887"/>
      <c r="C157" s="3887"/>
      <c r="D157" s="3887"/>
      <c r="E157" s="3887"/>
      <c r="F157" s="3887"/>
      <c r="G157" s="3887"/>
      <c r="H157" s="3887"/>
      <c r="I157" s="3887"/>
      <c r="J157" s="3887"/>
      <c r="K157" s="3888"/>
      <c r="L157" s="3889"/>
      <c r="M157" s="3887"/>
      <c r="N157" s="3887"/>
      <c r="O157" s="3887"/>
      <c r="P157" s="3887"/>
      <c r="Q157" s="3887"/>
      <c r="R157" s="3887"/>
      <c r="S157" s="3887"/>
      <c r="T157" s="3887"/>
      <c r="U157" s="3887"/>
      <c r="V157" s="3887"/>
      <c r="W157" s="3887"/>
      <c r="X157" s="3887"/>
      <c r="Y157" s="3887"/>
      <c r="Z157" s="3887"/>
      <c r="AA157" s="3887"/>
      <c r="AB157" s="3887"/>
      <c r="AC157" s="3887"/>
    </row>
    <row r="158" spans="1:29" s="3890" customFormat="1">
      <c r="A158" s="3887"/>
      <c r="B158" s="3887"/>
      <c r="C158" s="3887"/>
      <c r="D158" s="3887"/>
      <c r="E158" s="3887"/>
      <c r="F158" s="3887"/>
      <c r="G158" s="3887"/>
      <c r="H158" s="3887"/>
      <c r="I158" s="3887"/>
      <c r="J158" s="3887"/>
      <c r="K158" s="3888"/>
      <c r="L158" s="3889"/>
      <c r="M158" s="3887"/>
      <c r="N158" s="3887"/>
      <c r="O158" s="3887"/>
      <c r="P158" s="3887"/>
      <c r="Q158" s="3887"/>
      <c r="R158" s="3887"/>
      <c r="S158" s="3887"/>
      <c r="T158" s="3887"/>
      <c r="U158" s="3887"/>
      <c r="V158" s="3887"/>
      <c r="W158" s="3887"/>
      <c r="X158" s="3887"/>
      <c r="Y158" s="3887"/>
      <c r="Z158" s="3887"/>
      <c r="AA158" s="3887"/>
      <c r="AB158" s="3887"/>
      <c r="AC158" s="3887"/>
    </row>
    <row r="159" spans="1:29" s="3890" customFormat="1">
      <c r="A159" s="3887"/>
      <c r="B159" s="3887"/>
      <c r="C159" s="3887"/>
      <c r="D159" s="3887"/>
      <c r="E159" s="3887"/>
      <c r="F159" s="3887"/>
      <c r="G159" s="3887"/>
      <c r="H159" s="3887"/>
      <c r="I159" s="3887"/>
      <c r="J159" s="3887"/>
      <c r="K159" s="3888"/>
      <c r="L159" s="3889"/>
      <c r="M159" s="3887"/>
      <c r="N159" s="3887"/>
      <c r="O159" s="3887"/>
      <c r="P159" s="3887"/>
      <c r="Q159" s="3887"/>
      <c r="R159" s="3887"/>
      <c r="S159" s="3887"/>
      <c r="T159" s="3887"/>
      <c r="U159" s="3887"/>
      <c r="V159" s="3887"/>
      <c r="W159" s="3887"/>
      <c r="X159" s="3887"/>
      <c r="Y159" s="3887"/>
      <c r="Z159" s="3887"/>
      <c r="AA159" s="3887"/>
      <c r="AB159" s="3887"/>
      <c r="AC159" s="3887"/>
    </row>
    <row r="160" spans="1:29" s="3890" customFormat="1">
      <c r="A160" s="3887"/>
      <c r="B160" s="3887"/>
      <c r="C160" s="3887"/>
      <c r="D160" s="3887"/>
      <c r="E160" s="3887"/>
      <c r="F160" s="3887"/>
      <c r="G160" s="3887"/>
      <c r="H160" s="3887"/>
      <c r="I160" s="3887"/>
      <c r="J160" s="3887"/>
      <c r="K160" s="3888"/>
      <c r="L160" s="3889"/>
      <c r="M160" s="3887"/>
      <c r="N160" s="3887"/>
      <c r="O160" s="3887"/>
      <c r="P160" s="3887"/>
      <c r="Q160" s="3887"/>
      <c r="R160" s="3887"/>
      <c r="S160" s="3887"/>
      <c r="T160" s="3887"/>
      <c r="U160" s="3887"/>
      <c r="V160" s="3887"/>
      <c r="W160" s="3887"/>
      <c r="X160" s="3887"/>
      <c r="Y160" s="3887"/>
      <c r="Z160" s="3887"/>
      <c r="AA160" s="3887"/>
      <c r="AB160" s="3887"/>
      <c r="AC160" s="3887"/>
    </row>
    <row r="161" spans="1:29" s="3890" customFormat="1">
      <c r="A161" s="3887"/>
      <c r="B161" s="3887"/>
      <c r="C161" s="3887"/>
      <c r="D161" s="3887"/>
      <c r="E161" s="3887"/>
      <c r="F161" s="3887"/>
      <c r="G161" s="3887"/>
      <c r="H161" s="3887"/>
      <c r="I161" s="3887"/>
      <c r="J161" s="3887"/>
      <c r="K161" s="3888"/>
      <c r="L161" s="3889"/>
      <c r="M161" s="3887"/>
      <c r="N161" s="3887"/>
      <c r="O161" s="3887"/>
      <c r="P161" s="3887"/>
      <c r="Q161" s="3887"/>
      <c r="R161" s="3887"/>
      <c r="S161" s="3887"/>
      <c r="T161" s="3887"/>
      <c r="U161" s="3887"/>
      <c r="V161" s="3887"/>
      <c r="W161" s="3887"/>
      <c r="X161" s="3887"/>
      <c r="Y161" s="3887"/>
      <c r="Z161" s="3887"/>
      <c r="AA161" s="3887"/>
      <c r="AB161" s="3887"/>
      <c r="AC161" s="3887"/>
    </row>
    <row r="162" spans="1:29" s="3890" customFormat="1">
      <c r="A162" s="3887"/>
      <c r="B162" s="3887"/>
      <c r="C162" s="3887"/>
      <c r="D162" s="3887"/>
      <c r="E162" s="3887"/>
      <c r="F162" s="3887"/>
      <c r="G162" s="3887"/>
      <c r="H162" s="3887"/>
      <c r="I162" s="3887"/>
      <c r="J162" s="3887"/>
      <c r="K162" s="3888"/>
      <c r="L162" s="3889"/>
      <c r="M162" s="3887"/>
      <c r="N162" s="3887"/>
      <c r="O162" s="3887"/>
      <c r="P162" s="3887"/>
      <c r="Q162" s="3887"/>
      <c r="R162" s="3887"/>
      <c r="S162" s="3887"/>
      <c r="T162" s="3887"/>
      <c r="U162" s="3887"/>
      <c r="V162" s="3887"/>
      <c r="W162" s="3887"/>
      <c r="X162" s="3887"/>
      <c r="Y162" s="3887"/>
      <c r="Z162" s="3887"/>
      <c r="AA162" s="3887"/>
      <c r="AB162" s="3887"/>
      <c r="AC162" s="3887"/>
    </row>
    <row r="163" spans="1:29" s="3890" customFormat="1">
      <c r="A163" s="3887"/>
      <c r="B163" s="3887"/>
      <c r="C163" s="3887"/>
      <c r="D163" s="3887"/>
      <c r="E163" s="3887"/>
      <c r="F163" s="3887"/>
      <c r="G163" s="3887"/>
      <c r="H163" s="3887"/>
      <c r="I163" s="3887"/>
      <c r="J163" s="3887"/>
      <c r="K163" s="3888"/>
      <c r="L163" s="3889"/>
      <c r="M163" s="3887"/>
      <c r="N163" s="3887"/>
      <c r="O163" s="3887"/>
      <c r="P163" s="3887"/>
      <c r="Q163" s="3887"/>
      <c r="R163" s="3887"/>
      <c r="S163" s="3887"/>
      <c r="T163" s="3887"/>
      <c r="U163" s="3887"/>
      <c r="V163" s="3887"/>
      <c r="W163" s="3887"/>
      <c r="X163" s="3887"/>
      <c r="Y163" s="3887"/>
      <c r="Z163" s="3887"/>
      <c r="AA163" s="3887"/>
      <c r="AB163" s="3887"/>
      <c r="AC163" s="3887"/>
    </row>
    <row r="164" spans="1:29" s="3890" customFormat="1">
      <c r="A164" s="3887"/>
      <c r="B164" s="3887"/>
      <c r="C164" s="3887"/>
      <c r="D164" s="3887"/>
      <c r="E164" s="3887"/>
      <c r="F164" s="3887"/>
      <c r="G164" s="3887"/>
      <c r="H164" s="3887"/>
      <c r="I164" s="3887"/>
      <c r="J164" s="3887"/>
      <c r="K164" s="3888"/>
      <c r="L164" s="3889"/>
      <c r="M164" s="3887"/>
      <c r="N164" s="3887"/>
      <c r="O164" s="3887"/>
      <c r="P164" s="3887"/>
      <c r="Q164" s="3887"/>
      <c r="R164" s="3887"/>
      <c r="S164" s="3887"/>
      <c r="T164" s="3887"/>
      <c r="U164" s="3887"/>
      <c r="V164" s="3887"/>
      <c r="W164" s="3887"/>
      <c r="X164" s="3887"/>
      <c r="Y164" s="3887"/>
      <c r="Z164" s="3887"/>
      <c r="AA164" s="3887"/>
      <c r="AB164" s="3887"/>
      <c r="AC164" s="3887"/>
    </row>
    <row r="165" spans="1:29" s="3890" customFormat="1">
      <c r="A165" s="3887"/>
      <c r="B165" s="3887"/>
      <c r="C165" s="3887"/>
      <c r="D165" s="3887"/>
      <c r="E165" s="3887"/>
      <c r="F165" s="3887"/>
      <c r="G165" s="3887"/>
      <c r="H165" s="3887"/>
      <c r="I165" s="3887"/>
      <c r="J165" s="3887"/>
      <c r="K165" s="3888"/>
      <c r="L165" s="3889"/>
      <c r="M165" s="3887"/>
      <c r="N165" s="3887"/>
      <c r="O165" s="3887"/>
      <c r="P165" s="3887"/>
      <c r="Q165" s="3887"/>
      <c r="R165" s="3887"/>
      <c r="S165" s="3887"/>
      <c r="T165" s="3887"/>
      <c r="U165" s="3887"/>
      <c r="V165" s="3887"/>
      <c r="W165" s="3887"/>
      <c r="X165" s="3887"/>
      <c r="Y165" s="3887"/>
      <c r="Z165" s="3887"/>
      <c r="AA165" s="3887"/>
      <c r="AB165" s="3887"/>
      <c r="AC165" s="3887"/>
    </row>
    <row r="166" spans="1:29" s="3890" customFormat="1">
      <c r="A166" s="3887"/>
      <c r="B166" s="3887"/>
      <c r="C166" s="3887"/>
      <c r="D166" s="3887"/>
      <c r="E166" s="3887"/>
      <c r="F166" s="3887"/>
      <c r="G166" s="3887"/>
      <c r="H166" s="3887"/>
      <c r="I166" s="3887"/>
      <c r="J166" s="3887"/>
      <c r="K166" s="3888"/>
      <c r="L166" s="3889"/>
      <c r="M166" s="3887"/>
      <c r="N166" s="3887"/>
      <c r="O166" s="3887"/>
      <c r="P166" s="3887"/>
      <c r="Q166" s="3887"/>
      <c r="R166" s="3887"/>
      <c r="S166" s="3887"/>
      <c r="T166" s="3887"/>
      <c r="U166" s="3887"/>
      <c r="V166" s="3887"/>
      <c r="W166" s="3887"/>
      <c r="X166" s="3887"/>
      <c r="Y166" s="3887"/>
      <c r="Z166" s="3887"/>
      <c r="AA166" s="3887"/>
      <c r="AB166" s="3887"/>
      <c r="AC166" s="3887"/>
    </row>
    <row r="167" spans="1:29" s="3890" customFormat="1">
      <c r="A167" s="3887"/>
      <c r="B167" s="3887"/>
      <c r="C167" s="3887"/>
      <c r="D167" s="3887"/>
      <c r="E167" s="3887"/>
      <c r="F167" s="3887"/>
      <c r="G167" s="3887"/>
      <c r="H167" s="3887"/>
      <c r="I167" s="3887"/>
      <c r="J167" s="3887"/>
      <c r="K167" s="3888"/>
      <c r="L167" s="3889"/>
      <c r="M167" s="3887"/>
      <c r="N167" s="3887"/>
      <c r="O167" s="3887"/>
      <c r="P167" s="3887"/>
      <c r="Q167" s="3887"/>
      <c r="R167" s="3887"/>
      <c r="S167" s="3887"/>
      <c r="T167" s="3887"/>
      <c r="U167" s="3887"/>
      <c r="V167" s="3887"/>
      <c r="W167" s="3887"/>
      <c r="X167" s="3887"/>
      <c r="Y167" s="3887"/>
      <c r="Z167" s="3887"/>
      <c r="AA167" s="3887"/>
      <c r="AB167" s="3887"/>
      <c r="AC167" s="3887"/>
    </row>
    <row r="168" spans="1:29" s="3890" customFormat="1">
      <c r="A168" s="3887"/>
      <c r="B168" s="3887"/>
      <c r="C168" s="3887"/>
      <c r="D168" s="3887"/>
      <c r="E168" s="3887"/>
      <c r="F168" s="3887"/>
      <c r="G168" s="3887"/>
      <c r="H168" s="3887"/>
      <c r="I168" s="3887"/>
      <c r="J168" s="3887"/>
      <c r="K168" s="3888"/>
      <c r="L168" s="3889"/>
      <c r="M168" s="3887"/>
      <c r="N168" s="3887"/>
      <c r="O168" s="3887"/>
      <c r="P168" s="3887"/>
      <c r="Q168" s="3887"/>
      <c r="R168" s="3887"/>
      <c r="S168" s="3887"/>
      <c r="T168" s="3887"/>
      <c r="U168" s="3887"/>
      <c r="V168" s="3887"/>
      <c r="W168" s="3887"/>
      <c r="X168" s="3887"/>
      <c r="Y168" s="3887"/>
      <c r="Z168" s="3887"/>
      <c r="AA168" s="3887"/>
      <c r="AB168" s="3887"/>
      <c r="AC168" s="3887"/>
    </row>
    <row r="169" spans="1:29" s="3890" customFormat="1">
      <c r="A169" s="3887"/>
      <c r="B169" s="3887"/>
      <c r="C169" s="3887"/>
      <c r="D169" s="3887"/>
      <c r="E169" s="3887"/>
      <c r="F169" s="3887"/>
      <c r="G169" s="3887"/>
      <c r="H169" s="3887"/>
      <c r="I169" s="3887"/>
      <c r="J169" s="3887"/>
      <c r="K169" s="3888"/>
      <c r="L169" s="3889"/>
      <c r="M169" s="3887"/>
      <c r="N169" s="3887"/>
      <c r="O169" s="3887"/>
      <c r="P169" s="3887"/>
      <c r="Q169" s="3887"/>
      <c r="R169" s="3887"/>
      <c r="S169" s="3887"/>
      <c r="T169" s="3887"/>
      <c r="U169" s="3887"/>
      <c r="V169" s="3887"/>
      <c r="W169" s="3887"/>
      <c r="X169" s="3887"/>
      <c r="Y169" s="3887"/>
      <c r="Z169" s="3887"/>
      <c r="AA169" s="3887"/>
      <c r="AB169" s="3887"/>
      <c r="AC169" s="3887"/>
    </row>
    <row r="170" spans="1:29" s="3890" customFormat="1">
      <c r="A170" s="3887"/>
      <c r="B170" s="3887"/>
      <c r="C170" s="3887"/>
      <c r="D170" s="3887"/>
      <c r="E170" s="3887"/>
      <c r="F170" s="3887"/>
      <c r="G170" s="3887"/>
      <c r="H170" s="3887"/>
      <c r="I170" s="3887"/>
      <c r="J170" s="3887"/>
      <c r="K170" s="3888"/>
      <c r="L170" s="3889"/>
      <c r="M170" s="3887"/>
      <c r="N170" s="3887"/>
      <c r="O170" s="3887"/>
      <c r="P170" s="3887"/>
      <c r="Q170" s="3887"/>
      <c r="R170" s="3887"/>
      <c r="S170" s="3887"/>
      <c r="T170" s="3887"/>
      <c r="U170" s="3887"/>
      <c r="V170" s="3887"/>
      <c r="W170" s="3887"/>
      <c r="X170" s="3887"/>
      <c r="Y170" s="3887"/>
      <c r="Z170" s="3887"/>
      <c r="AA170" s="3887"/>
      <c r="AB170" s="3887"/>
      <c r="AC170" s="3887"/>
    </row>
    <row r="171" spans="1:29" s="3890" customFormat="1">
      <c r="A171" s="3887"/>
      <c r="B171" s="3887"/>
      <c r="C171" s="3887"/>
      <c r="D171" s="3887"/>
      <c r="E171" s="3887"/>
      <c r="F171" s="3887"/>
      <c r="G171" s="3887"/>
      <c r="H171" s="3887"/>
      <c r="I171" s="3887"/>
      <c r="J171" s="3887"/>
      <c r="K171" s="3888"/>
      <c r="L171" s="3889"/>
      <c r="M171" s="3887"/>
      <c r="N171" s="3887"/>
      <c r="O171" s="3887"/>
      <c r="P171" s="3887"/>
      <c r="Q171" s="3887"/>
      <c r="R171" s="3887"/>
      <c r="S171" s="3887"/>
      <c r="T171" s="3887"/>
      <c r="U171" s="3887"/>
      <c r="V171" s="3887"/>
      <c r="W171" s="3887"/>
      <c r="X171" s="3887"/>
      <c r="Y171" s="3887"/>
      <c r="Z171" s="3887"/>
      <c r="AA171" s="3887"/>
      <c r="AB171" s="3887"/>
      <c r="AC171" s="3887"/>
    </row>
    <row r="172" spans="1:29" s="3890" customFormat="1">
      <c r="A172" s="3887"/>
      <c r="B172" s="3887"/>
      <c r="C172" s="3887"/>
      <c r="D172" s="3887"/>
      <c r="E172" s="3887"/>
      <c r="F172" s="3887"/>
      <c r="G172" s="3887"/>
      <c r="H172" s="3887"/>
      <c r="I172" s="3887"/>
      <c r="J172" s="3887"/>
      <c r="K172" s="3888"/>
      <c r="L172" s="3889"/>
      <c r="M172" s="3887"/>
      <c r="N172" s="3887"/>
      <c r="O172" s="3887"/>
      <c r="P172" s="3887"/>
      <c r="Q172" s="3887"/>
      <c r="R172" s="3887"/>
      <c r="S172" s="3887"/>
      <c r="T172" s="3887"/>
      <c r="U172" s="3887"/>
      <c r="V172" s="3887"/>
      <c r="W172" s="3887"/>
      <c r="X172" s="3887"/>
      <c r="Y172" s="3887"/>
      <c r="Z172" s="3887"/>
      <c r="AA172" s="3887"/>
      <c r="AB172" s="3887"/>
      <c r="AC172" s="3887"/>
    </row>
    <row r="173" spans="1:29" s="3890" customFormat="1">
      <c r="A173" s="3887"/>
      <c r="B173" s="3887"/>
      <c r="C173" s="3887"/>
      <c r="D173" s="3887"/>
      <c r="E173" s="3887"/>
      <c r="F173" s="3887"/>
      <c r="G173" s="3887"/>
      <c r="H173" s="3887"/>
      <c r="I173" s="3887"/>
      <c r="J173" s="3887"/>
      <c r="K173" s="3888"/>
      <c r="L173" s="3889"/>
      <c r="M173" s="3887"/>
      <c r="N173" s="3887"/>
      <c r="O173" s="3887"/>
      <c r="P173" s="3887"/>
      <c r="Q173" s="3887"/>
      <c r="R173" s="3887"/>
      <c r="S173" s="3887"/>
      <c r="T173" s="3887"/>
      <c r="U173" s="3887"/>
      <c r="V173" s="3887"/>
      <c r="W173" s="3887"/>
      <c r="X173" s="3887"/>
      <c r="Y173" s="3887"/>
      <c r="Z173" s="3887"/>
      <c r="AA173" s="3887"/>
      <c r="AB173" s="3887"/>
      <c r="AC173" s="3887"/>
    </row>
    <row r="174" spans="1:29" s="3890" customFormat="1">
      <c r="A174" s="3887"/>
      <c r="B174" s="3887"/>
      <c r="C174" s="3887"/>
      <c r="D174" s="3887"/>
      <c r="E174" s="3887"/>
      <c r="F174" s="3887"/>
      <c r="G174" s="3887"/>
      <c r="H174" s="3887"/>
      <c r="I174" s="3887"/>
      <c r="J174" s="3887"/>
      <c r="K174" s="3888"/>
      <c r="L174" s="3889"/>
      <c r="M174" s="3887"/>
      <c r="N174" s="3887"/>
      <c r="O174" s="3887"/>
      <c r="P174" s="3887"/>
      <c r="Q174" s="3887"/>
      <c r="R174" s="3887"/>
      <c r="S174" s="3887"/>
      <c r="T174" s="3887"/>
      <c r="U174" s="3887"/>
      <c r="V174" s="3887"/>
      <c r="W174" s="3887"/>
      <c r="X174" s="3887"/>
      <c r="Y174" s="3887"/>
      <c r="Z174" s="3887"/>
      <c r="AA174" s="3887"/>
      <c r="AB174" s="3887"/>
      <c r="AC174" s="3887"/>
    </row>
    <row r="175" spans="1:29" s="3890" customFormat="1">
      <c r="A175" s="3887"/>
      <c r="B175" s="3887"/>
      <c r="C175" s="3887"/>
      <c r="D175" s="3887"/>
      <c r="E175" s="3887"/>
      <c r="F175" s="3887"/>
      <c r="G175" s="3887"/>
      <c r="H175" s="3887"/>
      <c r="I175" s="3887"/>
      <c r="J175" s="3887"/>
      <c r="K175" s="3888"/>
      <c r="L175" s="3889"/>
      <c r="M175" s="3887"/>
      <c r="N175" s="3887"/>
      <c r="O175" s="3887"/>
      <c r="P175" s="3887"/>
      <c r="Q175" s="3887"/>
      <c r="R175" s="3887"/>
      <c r="S175" s="3887"/>
      <c r="T175" s="3887"/>
      <c r="U175" s="3887"/>
      <c r="V175" s="3887"/>
      <c r="W175" s="3887"/>
      <c r="X175" s="3887"/>
      <c r="Y175" s="3887"/>
      <c r="Z175" s="3887"/>
      <c r="AA175" s="3887"/>
      <c r="AB175" s="3887"/>
      <c r="AC175" s="3887"/>
    </row>
    <row r="176" spans="1:29" s="3890" customFormat="1">
      <c r="A176" s="3887"/>
      <c r="B176" s="3887"/>
      <c r="C176" s="3887"/>
      <c r="D176" s="3887"/>
      <c r="E176" s="3887"/>
      <c r="F176" s="3887"/>
      <c r="G176" s="3887"/>
      <c r="H176" s="3887"/>
      <c r="I176" s="3887"/>
      <c r="J176" s="3887"/>
      <c r="K176" s="3888"/>
      <c r="L176" s="3889"/>
      <c r="M176" s="3887"/>
      <c r="N176" s="3887"/>
      <c r="O176" s="3887"/>
      <c r="P176" s="3887"/>
      <c r="Q176" s="3887"/>
      <c r="R176" s="3887"/>
      <c r="S176" s="3887"/>
      <c r="T176" s="3887"/>
      <c r="U176" s="3887"/>
      <c r="V176" s="3887"/>
      <c r="W176" s="3887"/>
      <c r="X176" s="3887"/>
      <c r="Y176" s="3887"/>
      <c r="Z176" s="3887"/>
      <c r="AA176" s="3887"/>
      <c r="AB176" s="3887"/>
      <c r="AC176" s="3887"/>
    </row>
    <row r="177" spans="1:29" s="3890" customFormat="1">
      <c r="A177" s="3887"/>
      <c r="B177" s="3887"/>
      <c r="C177" s="3887"/>
      <c r="D177" s="3887"/>
      <c r="E177" s="3887"/>
      <c r="F177" s="3887"/>
      <c r="G177" s="3887"/>
      <c r="H177" s="3887"/>
      <c r="I177" s="3887"/>
      <c r="J177" s="3887"/>
      <c r="K177" s="3888"/>
      <c r="L177" s="3889"/>
      <c r="M177" s="3887"/>
      <c r="N177" s="3887"/>
      <c r="O177" s="3887"/>
      <c r="P177" s="3887"/>
      <c r="Q177" s="3887"/>
      <c r="R177" s="3887"/>
      <c r="S177" s="3887"/>
      <c r="T177" s="3887"/>
      <c r="U177" s="3887"/>
      <c r="V177" s="3887"/>
      <c r="W177" s="3887"/>
      <c r="X177" s="3887"/>
      <c r="Y177" s="3887"/>
      <c r="Z177" s="3887"/>
      <c r="AA177" s="3887"/>
      <c r="AB177" s="3887"/>
      <c r="AC177" s="3887"/>
    </row>
    <row r="178" spans="1:29" s="3890" customFormat="1">
      <c r="A178" s="3887"/>
      <c r="B178" s="3887"/>
      <c r="C178" s="3887"/>
      <c r="D178" s="3887"/>
      <c r="E178" s="3887"/>
      <c r="F178" s="3887"/>
      <c r="G178" s="3887"/>
      <c r="H178" s="3887"/>
      <c r="I178" s="3887"/>
      <c r="J178" s="3887"/>
      <c r="K178" s="3888"/>
      <c r="L178" s="3889"/>
      <c r="M178" s="3887"/>
      <c r="N178" s="3887"/>
      <c r="O178" s="3887"/>
      <c r="P178" s="3887"/>
      <c r="Q178" s="3887"/>
      <c r="R178" s="3887"/>
      <c r="S178" s="3887"/>
      <c r="T178" s="3887"/>
      <c r="U178" s="3887"/>
      <c r="V178" s="3887"/>
      <c r="W178" s="3887"/>
      <c r="X178" s="3887"/>
      <c r="Y178" s="3887"/>
      <c r="Z178" s="3887"/>
      <c r="AA178" s="3887"/>
      <c r="AB178" s="3887"/>
      <c r="AC178" s="3887"/>
    </row>
    <row r="179" spans="1:29" s="3890" customFormat="1">
      <c r="A179" s="3887"/>
      <c r="B179" s="3887"/>
      <c r="C179" s="3887"/>
      <c r="D179" s="3887"/>
      <c r="E179" s="3887"/>
      <c r="F179" s="3887"/>
      <c r="G179" s="3887"/>
      <c r="H179" s="3887"/>
      <c r="I179" s="3887"/>
      <c r="J179" s="3887"/>
      <c r="K179" s="3888"/>
      <c r="L179" s="3889"/>
      <c r="M179" s="3887"/>
      <c r="N179" s="3887"/>
      <c r="O179" s="3887"/>
      <c r="P179" s="3887"/>
      <c r="Q179" s="3887"/>
      <c r="R179" s="3887"/>
      <c r="S179" s="3887"/>
      <c r="T179" s="3887"/>
      <c r="U179" s="3887"/>
      <c r="V179" s="3887"/>
      <c r="W179" s="3887"/>
      <c r="X179" s="3887"/>
      <c r="Y179" s="3887"/>
      <c r="Z179" s="3887"/>
      <c r="AA179" s="3887"/>
      <c r="AB179" s="3887"/>
      <c r="AC179" s="3887"/>
    </row>
    <row r="180" spans="1:29" s="3890" customFormat="1">
      <c r="A180" s="3887"/>
      <c r="B180" s="3887"/>
      <c r="C180" s="3887"/>
      <c r="D180" s="3887"/>
      <c r="E180" s="3887"/>
      <c r="F180" s="3887"/>
      <c r="G180" s="3887"/>
      <c r="H180" s="3887"/>
      <c r="I180" s="3887"/>
      <c r="J180" s="3887"/>
      <c r="K180" s="3888"/>
      <c r="L180" s="3889"/>
      <c r="M180" s="3887"/>
      <c r="N180" s="3887"/>
      <c r="O180" s="3887"/>
      <c r="P180" s="3887"/>
      <c r="Q180" s="3887"/>
      <c r="R180" s="3887"/>
      <c r="S180" s="3887"/>
      <c r="T180" s="3887"/>
      <c r="U180" s="3887"/>
      <c r="V180" s="3887"/>
      <c r="W180" s="3887"/>
      <c r="X180" s="3887"/>
      <c r="Y180" s="3887"/>
      <c r="Z180" s="3887"/>
      <c r="AA180" s="3887"/>
      <c r="AB180" s="3887"/>
      <c r="AC180" s="3887"/>
    </row>
    <row r="181" spans="1:29" s="3890" customFormat="1">
      <c r="A181" s="3887"/>
      <c r="B181" s="3887"/>
      <c r="C181" s="3887"/>
      <c r="D181" s="3887"/>
      <c r="E181" s="3887"/>
      <c r="F181" s="3887"/>
      <c r="G181" s="3887"/>
      <c r="H181" s="3887"/>
      <c r="I181" s="3887"/>
      <c r="J181" s="3887"/>
      <c r="K181" s="3888"/>
      <c r="L181" s="3889"/>
      <c r="M181" s="3887"/>
      <c r="N181" s="3887"/>
      <c r="O181" s="3887"/>
      <c r="P181" s="3887"/>
      <c r="Q181" s="3887"/>
      <c r="R181" s="3887"/>
      <c r="S181" s="3887"/>
      <c r="T181" s="3887"/>
      <c r="U181" s="3887"/>
      <c r="V181" s="3887"/>
      <c r="W181" s="3887"/>
      <c r="X181" s="3887"/>
      <c r="Y181" s="3887"/>
      <c r="Z181" s="3887"/>
      <c r="AA181" s="3887"/>
      <c r="AB181" s="3887"/>
      <c r="AC181" s="3887"/>
    </row>
    <row r="182" spans="1:29" s="3890" customFormat="1">
      <c r="A182" s="3887"/>
      <c r="B182" s="3887"/>
      <c r="C182" s="3887"/>
      <c r="D182" s="3887"/>
      <c r="E182" s="3887"/>
      <c r="F182" s="3887"/>
      <c r="G182" s="3887"/>
      <c r="H182" s="3887"/>
      <c r="I182" s="3887"/>
      <c r="J182" s="3887"/>
      <c r="K182" s="3888"/>
      <c r="L182" s="3889"/>
      <c r="M182" s="3887"/>
      <c r="N182" s="3887"/>
      <c r="O182" s="3887"/>
      <c r="P182" s="3887"/>
      <c r="Q182" s="3887"/>
      <c r="R182" s="3887"/>
      <c r="S182" s="3887"/>
      <c r="T182" s="3887"/>
      <c r="U182" s="3887"/>
      <c r="V182" s="3887"/>
      <c r="W182" s="3887"/>
      <c r="X182" s="3887"/>
      <c r="Y182" s="3887"/>
      <c r="Z182" s="3887"/>
      <c r="AA182" s="3887"/>
      <c r="AB182" s="3887"/>
      <c r="AC182" s="3887"/>
    </row>
    <row r="183" spans="1:29" s="3890" customFormat="1">
      <c r="A183" s="3887"/>
      <c r="B183" s="3887"/>
      <c r="C183" s="3887"/>
      <c r="D183" s="3887"/>
      <c r="E183" s="3887"/>
      <c r="F183" s="3887"/>
      <c r="G183" s="3887"/>
      <c r="H183" s="3887"/>
      <c r="I183" s="3887"/>
      <c r="J183" s="3887"/>
      <c r="K183" s="3888"/>
      <c r="L183" s="3889"/>
      <c r="M183" s="3887"/>
      <c r="N183" s="3887"/>
      <c r="O183" s="3887"/>
      <c r="P183" s="3887"/>
      <c r="Q183" s="3887"/>
      <c r="R183" s="3887"/>
      <c r="S183" s="3887"/>
      <c r="T183" s="3887"/>
      <c r="U183" s="3887"/>
      <c r="V183" s="3887"/>
      <c r="W183" s="3887"/>
      <c r="X183" s="3887"/>
      <c r="Y183" s="3887"/>
      <c r="Z183" s="3887"/>
      <c r="AA183" s="3887"/>
      <c r="AB183" s="3887"/>
      <c r="AC183" s="3887"/>
    </row>
    <row r="184" spans="1:29" s="3890" customFormat="1">
      <c r="A184" s="3887"/>
      <c r="B184" s="3887"/>
      <c r="C184" s="3887"/>
      <c r="D184" s="3887"/>
      <c r="E184" s="3887"/>
      <c r="F184" s="3887"/>
      <c r="G184" s="3887"/>
      <c r="H184" s="3887"/>
      <c r="I184" s="3887"/>
      <c r="J184" s="3887"/>
      <c r="K184" s="3888"/>
      <c r="L184" s="3889"/>
      <c r="M184" s="3887"/>
      <c r="N184" s="3887"/>
      <c r="O184" s="3887"/>
      <c r="P184" s="3887"/>
      <c r="Q184" s="3887"/>
      <c r="R184" s="3887"/>
      <c r="S184" s="3887"/>
      <c r="T184" s="3887"/>
      <c r="U184" s="3887"/>
      <c r="V184" s="3887"/>
      <c r="W184" s="3887"/>
      <c r="X184" s="3887"/>
      <c r="Y184" s="3887"/>
      <c r="Z184" s="3887"/>
      <c r="AA184" s="3887"/>
      <c r="AB184" s="3887"/>
      <c r="AC184" s="3887"/>
    </row>
    <row r="185" spans="1:29" s="3890" customFormat="1">
      <c r="A185" s="3887"/>
      <c r="B185" s="3887"/>
      <c r="C185" s="3887"/>
      <c r="D185" s="3887"/>
      <c r="E185" s="3887"/>
      <c r="F185" s="3887"/>
      <c r="G185" s="3887"/>
      <c r="H185" s="3887"/>
      <c r="I185" s="3887"/>
      <c r="J185" s="3887"/>
      <c r="K185" s="3888"/>
      <c r="L185" s="3889"/>
      <c r="M185" s="3887"/>
      <c r="N185" s="3887"/>
      <c r="O185" s="3887"/>
      <c r="P185" s="3887"/>
      <c r="Q185" s="3887"/>
      <c r="R185" s="3887"/>
      <c r="S185" s="3887"/>
      <c r="T185" s="3887"/>
      <c r="U185" s="3887"/>
      <c r="V185" s="3887"/>
      <c r="W185" s="3887"/>
      <c r="X185" s="3887"/>
      <c r="Y185" s="3887"/>
      <c r="Z185" s="3887"/>
      <c r="AA185" s="3887"/>
      <c r="AB185" s="3887"/>
      <c r="AC185" s="3887"/>
    </row>
    <row r="186" spans="1:29" s="3890" customFormat="1">
      <c r="A186" s="3887"/>
      <c r="B186" s="3887"/>
      <c r="C186" s="3887"/>
      <c r="D186" s="3887"/>
      <c r="E186" s="3887"/>
      <c r="F186" s="3887"/>
      <c r="G186" s="3887"/>
      <c r="H186" s="3887"/>
      <c r="I186" s="3887"/>
      <c r="J186" s="3887"/>
      <c r="K186" s="3888"/>
      <c r="L186" s="3889"/>
      <c r="M186" s="3887"/>
      <c r="N186" s="3887"/>
      <c r="O186" s="3887"/>
      <c r="P186" s="3887"/>
      <c r="Q186" s="3887"/>
      <c r="R186" s="3887"/>
      <c r="S186" s="3887"/>
      <c r="T186" s="3887"/>
      <c r="U186" s="3887"/>
      <c r="V186" s="3887"/>
      <c r="W186" s="3887"/>
      <c r="X186" s="3887"/>
      <c r="Y186" s="3887"/>
      <c r="Z186" s="3887"/>
      <c r="AA186" s="3887"/>
      <c r="AB186" s="3887"/>
      <c r="AC186" s="3887"/>
    </row>
    <row r="187" spans="1:29" s="3890" customFormat="1">
      <c r="A187" s="3887"/>
      <c r="B187" s="3887"/>
      <c r="C187" s="3887"/>
      <c r="D187" s="3887"/>
      <c r="E187" s="3887"/>
      <c r="F187" s="3887"/>
      <c r="G187" s="3887"/>
      <c r="H187" s="3887"/>
      <c r="I187" s="3887"/>
      <c r="J187" s="3887"/>
      <c r="K187" s="3888"/>
      <c r="L187" s="3889"/>
      <c r="M187" s="3887"/>
      <c r="N187" s="3887"/>
      <c r="O187" s="3887"/>
      <c r="P187" s="3887"/>
      <c r="Q187" s="3887"/>
      <c r="R187" s="3887"/>
      <c r="S187" s="3887"/>
      <c r="T187" s="3887"/>
      <c r="U187" s="3887"/>
      <c r="V187" s="3887"/>
      <c r="W187" s="3887"/>
      <c r="X187" s="3887"/>
      <c r="Y187" s="3887"/>
      <c r="Z187" s="3887"/>
      <c r="AA187" s="3887"/>
      <c r="AB187" s="3887"/>
      <c r="AC187" s="3887"/>
    </row>
    <row r="188" spans="1:29" s="3890" customFormat="1">
      <c r="A188" s="3887"/>
      <c r="B188" s="3887"/>
      <c r="C188" s="3887"/>
      <c r="D188" s="3887"/>
      <c r="E188" s="3887"/>
      <c r="F188" s="3887"/>
      <c r="G188" s="3887"/>
      <c r="H188" s="3887"/>
      <c r="I188" s="3887"/>
      <c r="J188" s="3887"/>
      <c r="K188" s="3888"/>
      <c r="L188" s="3889"/>
      <c r="M188" s="3887"/>
      <c r="N188" s="3887"/>
      <c r="O188" s="3887"/>
      <c r="P188" s="3887"/>
      <c r="Q188" s="3887"/>
      <c r="R188" s="3887"/>
      <c r="S188" s="3887"/>
      <c r="T188" s="3887"/>
      <c r="U188" s="3887"/>
      <c r="V188" s="3887"/>
      <c r="W188" s="3887"/>
      <c r="X188" s="3887"/>
      <c r="Y188" s="3887"/>
      <c r="Z188" s="3887"/>
      <c r="AA188" s="3887"/>
      <c r="AB188" s="3887"/>
      <c r="AC188" s="3887"/>
    </row>
    <row r="189" spans="1:29" s="3890" customFormat="1">
      <c r="A189" s="3887"/>
      <c r="B189" s="3887"/>
      <c r="C189" s="3887"/>
      <c r="D189" s="3887"/>
      <c r="E189" s="3887"/>
      <c r="F189" s="3887"/>
      <c r="G189" s="3887"/>
      <c r="H189" s="3887"/>
      <c r="I189" s="3887"/>
      <c r="J189" s="3887"/>
      <c r="K189" s="3888"/>
      <c r="L189" s="3889"/>
      <c r="M189" s="3887"/>
      <c r="N189" s="3887"/>
      <c r="O189" s="3887"/>
      <c r="P189" s="3887"/>
      <c r="Q189" s="3887"/>
      <c r="R189" s="3887"/>
      <c r="S189" s="3887"/>
      <c r="T189" s="3887"/>
      <c r="U189" s="3887"/>
      <c r="V189" s="3887"/>
      <c r="W189" s="3887"/>
      <c r="X189" s="3887"/>
      <c r="Y189" s="3887"/>
      <c r="Z189" s="3887"/>
      <c r="AA189" s="3887"/>
      <c r="AB189" s="3887"/>
      <c r="AC189" s="3887"/>
    </row>
    <row r="190" spans="1:29" s="3890" customFormat="1">
      <c r="A190" s="3887"/>
      <c r="B190" s="3887"/>
      <c r="C190" s="3887"/>
      <c r="D190" s="3887"/>
      <c r="E190" s="3887"/>
      <c r="F190" s="3887"/>
      <c r="G190" s="3887"/>
      <c r="H190" s="3887"/>
      <c r="I190" s="3887"/>
      <c r="J190" s="3887"/>
      <c r="K190" s="3888"/>
      <c r="L190" s="3889"/>
      <c r="M190" s="3887"/>
      <c r="N190" s="3887"/>
      <c r="O190" s="3887"/>
      <c r="P190" s="3887"/>
      <c r="Q190" s="3887"/>
      <c r="R190" s="3887"/>
      <c r="S190" s="3887"/>
      <c r="T190" s="3887"/>
      <c r="U190" s="3887"/>
      <c r="V190" s="3887"/>
      <c r="W190" s="3887"/>
      <c r="X190" s="3887"/>
      <c r="Y190" s="3887"/>
      <c r="Z190" s="3887"/>
      <c r="AA190" s="3887"/>
      <c r="AB190" s="3887"/>
      <c r="AC190" s="3887"/>
    </row>
    <row r="191" spans="1:29" s="3890" customFormat="1">
      <c r="A191" s="3887"/>
      <c r="B191" s="3887"/>
      <c r="C191" s="3887"/>
      <c r="D191" s="3887"/>
      <c r="E191" s="3887"/>
      <c r="F191" s="3887"/>
      <c r="G191" s="3887"/>
      <c r="H191" s="3887"/>
      <c r="I191" s="3887"/>
      <c r="J191" s="3887"/>
      <c r="K191" s="3888"/>
      <c r="L191" s="3889"/>
      <c r="M191" s="3887"/>
      <c r="N191" s="3887"/>
      <c r="O191" s="3887"/>
      <c r="P191" s="3887"/>
      <c r="Q191" s="3887"/>
      <c r="R191" s="3887"/>
      <c r="S191" s="3887"/>
      <c r="T191" s="3887"/>
      <c r="U191" s="3887"/>
      <c r="V191" s="3887"/>
      <c r="W191" s="3887"/>
      <c r="X191" s="3887"/>
      <c r="Y191" s="3887"/>
      <c r="Z191" s="3887"/>
      <c r="AA191" s="3887"/>
      <c r="AB191" s="3887"/>
      <c r="AC191" s="3887"/>
    </row>
    <row r="192" spans="1:29" s="3890" customFormat="1">
      <c r="A192" s="3887"/>
      <c r="B192" s="3887"/>
      <c r="C192" s="3887"/>
      <c r="D192" s="3887"/>
      <c r="E192" s="3887"/>
      <c r="F192" s="3887"/>
      <c r="G192" s="3887"/>
      <c r="H192" s="3887"/>
      <c r="I192" s="3887"/>
      <c r="J192" s="3887"/>
      <c r="K192" s="3888"/>
      <c r="L192" s="3889"/>
      <c r="M192" s="3887"/>
      <c r="N192" s="3887"/>
      <c r="O192" s="3887"/>
      <c r="P192" s="3887"/>
      <c r="Q192" s="3887"/>
      <c r="R192" s="3887"/>
      <c r="S192" s="3887"/>
      <c r="T192" s="3887"/>
      <c r="U192" s="3887"/>
      <c r="V192" s="3887"/>
      <c r="W192" s="3887"/>
      <c r="X192" s="3887"/>
      <c r="Y192" s="3887"/>
      <c r="Z192" s="3887"/>
      <c r="AA192" s="3887"/>
      <c r="AB192" s="3887"/>
      <c r="AC192" s="3887"/>
    </row>
    <row r="193" spans="1:29" s="3890" customFormat="1">
      <c r="A193" s="3887"/>
      <c r="B193" s="3887"/>
      <c r="C193" s="3887"/>
      <c r="D193" s="3887"/>
      <c r="E193" s="3887"/>
      <c r="F193" s="3887"/>
      <c r="G193" s="3887"/>
      <c r="H193" s="3887"/>
      <c r="I193" s="3887"/>
      <c r="J193" s="3887"/>
      <c r="K193" s="3888"/>
      <c r="L193" s="3889"/>
      <c r="M193" s="3887"/>
      <c r="N193" s="3887"/>
      <c r="O193" s="3887"/>
      <c r="P193" s="3887"/>
      <c r="Q193" s="3887"/>
      <c r="R193" s="3887"/>
      <c r="S193" s="3887"/>
      <c r="T193" s="3887"/>
      <c r="U193" s="3887"/>
      <c r="V193" s="3887"/>
      <c r="W193" s="3887"/>
      <c r="X193" s="3887"/>
      <c r="Y193" s="3887"/>
      <c r="Z193" s="3887"/>
      <c r="AA193" s="3887"/>
      <c r="AB193" s="3887"/>
      <c r="AC193" s="3887"/>
    </row>
    <row r="194" spans="1:29" s="3890" customFormat="1">
      <c r="A194" s="3887"/>
      <c r="B194" s="3887"/>
      <c r="C194" s="3887"/>
      <c r="D194" s="3887"/>
      <c r="E194" s="3887"/>
      <c r="F194" s="3887"/>
      <c r="G194" s="3887"/>
      <c r="H194" s="3887"/>
      <c r="I194" s="3887"/>
      <c r="J194" s="3887"/>
      <c r="K194" s="3888"/>
      <c r="L194" s="3889"/>
      <c r="M194" s="3887"/>
      <c r="N194" s="3887"/>
      <c r="O194" s="3887"/>
      <c r="P194" s="3887"/>
      <c r="Q194" s="3887"/>
      <c r="R194" s="3887"/>
      <c r="S194" s="3887"/>
      <c r="T194" s="3887"/>
      <c r="U194" s="3887"/>
      <c r="V194" s="3887"/>
      <c r="W194" s="3887"/>
      <c r="X194" s="3887"/>
      <c r="Y194" s="3887"/>
      <c r="Z194" s="3887"/>
      <c r="AA194" s="3887"/>
      <c r="AB194" s="3887"/>
      <c r="AC194" s="3887"/>
    </row>
    <row r="195" spans="1:29" s="3890" customFormat="1">
      <c r="A195" s="3887"/>
      <c r="B195" s="3887"/>
      <c r="C195" s="3887"/>
      <c r="D195" s="3887"/>
      <c r="E195" s="3887"/>
      <c r="F195" s="3887"/>
      <c r="G195" s="3887"/>
      <c r="H195" s="3887"/>
      <c r="I195" s="3887"/>
      <c r="J195" s="3887"/>
      <c r="K195" s="3888"/>
      <c r="L195" s="3889"/>
      <c r="M195" s="3887"/>
      <c r="N195" s="3887"/>
      <c r="O195" s="3887"/>
      <c r="P195" s="3887"/>
      <c r="Q195" s="3887"/>
      <c r="R195" s="3887"/>
      <c r="S195" s="3887"/>
      <c r="T195" s="3887"/>
      <c r="U195" s="3887"/>
      <c r="V195" s="3887"/>
      <c r="W195" s="3887"/>
      <c r="X195" s="3887"/>
      <c r="Y195" s="3887"/>
      <c r="Z195" s="3887"/>
      <c r="AA195" s="3887"/>
      <c r="AB195" s="3887"/>
      <c r="AC195" s="3887"/>
    </row>
    <row r="196" spans="1:29" s="3890" customFormat="1">
      <c r="A196" s="3887"/>
      <c r="B196" s="3887"/>
      <c r="C196" s="3887"/>
      <c r="D196" s="3887"/>
      <c r="E196" s="3887"/>
      <c r="F196" s="3887"/>
      <c r="G196" s="3887"/>
      <c r="H196" s="3887"/>
      <c r="I196" s="3887"/>
      <c r="J196" s="3887"/>
      <c r="K196" s="3888"/>
      <c r="L196" s="3889"/>
      <c r="M196" s="3887"/>
      <c r="N196" s="3887"/>
      <c r="O196" s="3887"/>
      <c r="P196" s="3887"/>
      <c r="Q196" s="3887"/>
      <c r="R196" s="3887"/>
      <c r="S196" s="3887"/>
      <c r="T196" s="3887"/>
      <c r="U196" s="3887"/>
      <c r="V196" s="3887"/>
      <c r="W196" s="3887"/>
      <c r="X196" s="3887"/>
      <c r="Y196" s="3887"/>
      <c r="Z196" s="3887"/>
      <c r="AA196" s="3887"/>
      <c r="AB196" s="3887"/>
      <c r="AC196" s="3887"/>
    </row>
    <row r="197" spans="1:29" s="3890" customFormat="1">
      <c r="A197" s="3887"/>
      <c r="B197" s="3887"/>
      <c r="C197" s="3887"/>
      <c r="D197" s="3887"/>
      <c r="E197" s="3887"/>
      <c r="F197" s="3887"/>
      <c r="G197" s="3887"/>
      <c r="H197" s="3887"/>
      <c r="I197" s="3887"/>
      <c r="J197" s="3887"/>
      <c r="K197" s="3888"/>
      <c r="L197" s="3889"/>
      <c r="M197" s="3887"/>
      <c r="N197" s="3887"/>
      <c r="O197" s="3887"/>
      <c r="P197" s="3887"/>
      <c r="Q197" s="3887"/>
      <c r="R197" s="3887"/>
      <c r="S197" s="3887"/>
      <c r="T197" s="3887"/>
      <c r="U197" s="3887"/>
      <c r="V197" s="3887"/>
      <c r="W197" s="3887"/>
      <c r="X197" s="3887"/>
      <c r="Y197" s="3887"/>
      <c r="Z197" s="3887"/>
      <c r="AA197" s="3887"/>
      <c r="AB197" s="3887"/>
      <c r="AC197" s="3887"/>
    </row>
    <row r="198" spans="1:29" s="3890" customFormat="1">
      <c r="A198" s="3887"/>
      <c r="B198" s="3887"/>
      <c r="C198" s="3887"/>
      <c r="D198" s="3887"/>
      <c r="E198" s="3887"/>
      <c r="F198" s="3887"/>
      <c r="G198" s="3887"/>
      <c r="H198" s="3887"/>
      <c r="I198" s="3887"/>
      <c r="J198" s="3887"/>
      <c r="K198" s="3888"/>
      <c r="L198" s="3889"/>
      <c r="M198" s="3887"/>
      <c r="N198" s="3887"/>
      <c r="O198" s="3887"/>
      <c r="P198" s="3887"/>
      <c r="Q198" s="3887"/>
      <c r="R198" s="3887"/>
      <c r="S198" s="3887"/>
      <c r="T198" s="3887"/>
      <c r="U198" s="3887"/>
      <c r="V198" s="3887"/>
      <c r="W198" s="3887"/>
      <c r="X198" s="3887"/>
      <c r="Y198" s="3887"/>
      <c r="Z198" s="3887"/>
      <c r="AA198" s="3887"/>
      <c r="AB198" s="3887"/>
      <c r="AC198" s="3887"/>
    </row>
    <row r="199" spans="1:29" s="3890" customFormat="1">
      <c r="A199" s="3887"/>
      <c r="B199" s="3887"/>
      <c r="C199" s="3887"/>
      <c r="D199" s="3887"/>
      <c r="E199" s="3887"/>
      <c r="F199" s="3887"/>
      <c r="G199" s="3887"/>
      <c r="H199" s="3887"/>
      <c r="I199" s="3887"/>
      <c r="J199" s="3887"/>
      <c r="K199" s="3888"/>
      <c r="L199" s="3889"/>
      <c r="M199" s="3887"/>
      <c r="N199" s="3887"/>
      <c r="O199" s="3887"/>
      <c r="P199" s="3887"/>
      <c r="Q199" s="3887"/>
      <c r="R199" s="3887"/>
      <c r="S199" s="3887"/>
      <c r="T199" s="3887"/>
      <c r="U199" s="3887"/>
      <c r="V199" s="3887"/>
      <c r="W199" s="3887"/>
      <c r="X199" s="3887"/>
      <c r="Y199" s="3887"/>
      <c r="Z199" s="3887"/>
      <c r="AA199" s="3887"/>
      <c r="AB199" s="3887"/>
      <c r="AC199" s="3887"/>
    </row>
    <row r="200" spans="1:29" s="3890" customFormat="1">
      <c r="A200" s="3887"/>
      <c r="B200" s="3887"/>
      <c r="C200" s="3887"/>
      <c r="D200" s="3887"/>
      <c r="E200" s="3887"/>
      <c r="F200" s="3887"/>
      <c r="G200" s="3887"/>
      <c r="H200" s="3887"/>
      <c r="I200" s="3887"/>
      <c r="J200" s="3887"/>
      <c r="K200" s="3888"/>
      <c r="L200" s="3889"/>
      <c r="M200" s="3887"/>
      <c r="N200" s="3887"/>
      <c r="O200" s="3887"/>
      <c r="P200" s="3887"/>
      <c r="Q200" s="3887"/>
      <c r="R200" s="3887"/>
      <c r="S200" s="3887"/>
      <c r="T200" s="3887"/>
      <c r="U200" s="3887"/>
      <c r="V200" s="3887"/>
      <c r="W200" s="3887"/>
      <c r="X200" s="3887"/>
      <c r="Y200" s="3887"/>
      <c r="Z200" s="3887"/>
      <c r="AA200" s="3887"/>
      <c r="AB200" s="3887"/>
      <c r="AC200" s="3887"/>
    </row>
    <row r="201" spans="1:29" s="3890" customFormat="1">
      <c r="A201" s="3887"/>
      <c r="B201" s="3887"/>
      <c r="C201" s="3887"/>
      <c r="D201" s="3887"/>
      <c r="E201" s="3887"/>
      <c r="F201" s="3887"/>
      <c r="G201" s="3887"/>
      <c r="H201" s="3887"/>
      <c r="I201" s="3887"/>
      <c r="J201" s="3887"/>
      <c r="K201" s="3888"/>
      <c r="L201" s="3889"/>
      <c r="M201" s="3887"/>
      <c r="N201" s="3887"/>
      <c r="O201" s="3887"/>
      <c r="P201" s="3887"/>
      <c r="Q201" s="3887"/>
      <c r="R201" s="3887"/>
      <c r="S201" s="3887"/>
      <c r="T201" s="3887"/>
      <c r="U201" s="3887"/>
      <c r="V201" s="3887"/>
      <c r="W201" s="3887"/>
      <c r="X201" s="3887"/>
      <c r="Y201" s="3887"/>
      <c r="Z201" s="3887"/>
      <c r="AA201" s="3887"/>
      <c r="AB201" s="3887"/>
      <c r="AC201" s="3887"/>
    </row>
    <row r="202" spans="1:29" s="3890" customFormat="1">
      <c r="A202" s="3887"/>
      <c r="B202" s="3887"/>
      <c r="C202" s="3887"/>
      <c r="D202" s="3887"/>
      <c r="E202" s="3887"/>
      <c r="F202" s="3887"/>
      <c r="G202" s="3887"/>
      <c r="H202" s="3887"/>
      <c r="I202" s="3887"/>
      <c r="J202" s="3887"/>
      <c r="K202" s="3888"/>
      <c r="L202" s="3889"/>
      <c r="M202" s="3887"/>
      <c r="N202" s="3887"/>
      <c r="O202" s="3887"/>
      <c r="P202" s="3887"/>
      <c r="Q202" s="3887"/>
      <c r="R202" s="3887"/>
      <c r="S202" s="3887"/>
      <c r="T202" s="3887"/>
      <c r="U202" s="3887"/>
      <c r="V202" s="3887"/>
      <c r="W202" s="3887"/>
      <c r="X202" s="3887"/>
      <c r="Y202" s="3887"/>
      <c r="Z202" s="3887"/>
      <c r="AA202" s="3887"/>
      <c r="AB202" s="3887"/>
      <c r="AC202" s="3887"/>
    </row>
    <row r="203" spans="1:29" s="3890" customFormat="1">
      <c r="A203" s="3887"/>
      <c r="B203" s="3887"/>
      <c r="C203" s="3887"/>
      <c r="D203" s="3887"/>
      <c r="E203" s="3887"/>
      <c r="F203" s="3887"/>
      <c r="G203" s="3887"/>
      <c r="H203" s="3887"/>
      <c r="I203" s="3887"/>
      <c r="J203" s="3887"/>
      <c r="K203" s="3888"/>
      <c r="L203" s="3889"/>
      <c r="M203" s="3887"/>
      <c r="N203" s="3887"/>
      <c r="O203" s="3887"/>
      <c r="P203" s="3887"/>
      <c r="Q203" s="3887"/>
      <c r="R203" s="3887"/>
      <c r="S203" s="3887"/>
      <c r="T203" s="3887"/>
      <c r="U203" s="3887"/>
      <c r="V203" s="3887"/>
      <c r="W203" s="3887"/>
      <c r="X203" s="3887"/>
      <c r="Y203" s="3887"/>
      <c r="Z203" s="3887"/>
      <c r="AA203" s="3887"/>
      <c r="AB203" s="3887"/>
      <c r="AC203" s="3887"/>
    </row>
    <row r="204" spans="1:29" s="3890" customFormat="1">
      <c r="A204" s="3887"/>
      <c r="B204" s="3887"/>
      <c r="C204" s="3887"/>
      <c r="D204" s="3887"/>
      <c r="E204" s="3887"/>
      <c r="F204" s="3887"/>
      <c r="G204" s="3887"/>
      <c r="H204" s="3887"/>
      <c r="I204" s="3887"/>
      <c r="J204" s="3887"/>
      <c r="K204" s="3888"/>
      <c r="L204" s="3889"/>
      <c r="M204" s="3887"/>
      <c r="N204" s="3887"/>
      <c r="O204" s="3887"/>
      <c r="P204" s="3887"/>
      <c r="Q204" s="3887"/>
      <c r="R204" s="3887"/>
      <c r="S204" s="3887"/>
      <c r="T204" s="3887"/>
      <c r="U204" s="3887"/>
      <c r="V204" s="3887"/>
      <c r="W204" s="3887"/>
      <c r="X204" s="3887"/>
      <c r="Y204" s="3887"/>
      <c r="Z204" s="3887"/>
      <c r="AA204" s="3887"/>
      <c r="AB204" s="3887"/>
      <c r="AC204" s="3887"/>
    </row>
    <row r="205" spans="1:29" s="3890" customFormat="1">
      <c r="A205" s="3887"/>
      <c r="B205" s="3887"/>
      <c r="C205" s="3887"/>
      <c r="D205" s="3887"/>
      <c r="E205" s="3887"/>
      <c r="F205" s="3887"/>
      <c r="G205" s="3887"/>
      <c r="H205" s="3887"/>
      <c r="I205" s="3887"/>
      <c r="J205" s="3887"/>
      <c r="K205" s="3888"/>
      <c r="L205" s="3889"/>
      <c r="M205" s="3887"/>
      <c r="N205" s="3887"/>
      <c r="O205" s="3887"/>
      <c r="P205" s="3887"/>
      <c r="Q205" s="3887"/>
      <c r="R205" s="3887"/>
      <c r="S205" s="3887"/>
      <c r="T205" s="3887"/>
      <c r="U205" s="3887"/>
      <c r="V205" s="3887"/>
      <c r="W205" s="3887"/>
      <c r="X205" s="3887"/>
      <c r="Y205" s="3887"/>
      <c r="Z205" s="3887"/>
      <c r="AA205" s="3887"/>
      <c r="AB205" s="3887"/>
      <c r="AC205" s="3887"/>
    </row>
    <row r="206" spans="1:29" s="3890" customFormat="1">
      <c r="A206" s="3887"/>
      <c r="B206" s="3887"/>
      <c r="C206" s="3887"/>
      <c r="D206" s="3887"/>
      <c r="E206" s="3887"/>
      <c r="F206" s="3887"/>
      <c r="G206" s="3887"/>
      <c r="H206" s="3887"/>
      <c r="I206" s="3887"/>
      <c r="J206" s="3887"/>
      <c r="K206" s="3888"/>
      <c r="L206" s="3889"/>
      <c r="M206" s="3887"/>
      <c r="N206" s="3887"/>
      <c r="O206" s="3887"/>
      <c r="P206" s="3887"/>
      <c r="Q206" s="3887"/>
      <c r="R206" s="3887"/>
      <c r="S206" s="3887"/>
      <c r="T206" s="3887"/>
      <c r="U206" s="3887"/>
      <c r="V206" s="3887"/>
      <c r="W206" s="3887"/>
      <c r="X206" s="3887"/>
      <c r="Y206" s="3887"/>
      <c r="Z206" s="3887"/>
      <c r="AA206" s="3887"/>
      <c r="AB206" s="3887"/>
      <c r="AC206" s="3887"/>
    </row>
    <row r="207" spans="1:29" s="3890" customFormat="1">
      <c r="A207" s="3887"/>
      <c r="B207" s="3887"/>
      <c r="C207" s="3887"/>
      <c r="D207" s="3887"/>
      <c r="E207" s="3887"/>
      <c r="F207" s="3887"/>
      <c r="G207" s="3887"/>
      <c r="H207" s="3887"/>
      <c r="I207" s="3887"/>
      <c r="J207" s="3887"/>
      <c r="K207" s="3888"/>
      <c r="L207" s="3889"/>
      <c r="M207" s="3887"/>
      <c r="N207" s="3887"/>
      <c r="O207" s="3887"/>
      <c r="P207" s="3887"/>
      <c r="Q207" s="3887"/>
      <c r="R207" s="3887"/>
      <c r="S207" s="3887"/>
      <c r="T207" s="3887"/>
      <c r="U207" s="3887"/>
      <c r="V207" s="3887"/>
      <c r="W207" s="3887"/>
      <c r="X207" s="3887"/>
      <c r="Y207" s="3887"/>
      <c r="Z207" s="3887"/>
      <c r="AA207" s="3887"/>
      <c r="AB207" s="3887"/>
      <c r="AC207" s="3887"/>
    </row>
    <row r="208" spans="1:29" s="3890" customFormat="1">
      <c r="A208" s="3887"/>
      <c r="B208" s="3887"/>
      <c r="C208" s="3887"/>
      <c r="D208" s="3887"/>
      <c r="E208" s="3887"/>
      <c r="F208" s="3887"/>
      <c r="G208" s="3887"/>
      <c r="H208" s="3887"/>
      <c r="I208" s="3887"/>
      <c r="J208" s="3887"/>
      <c r="K208" s="3888"/>
      <c r="L208" s="3889"/>
      <c r="M208" s="3887"/>
      <c r="N208" s="3887"/>
      <c r="O208" s="3887"/>
      <c r="P208" s="3887"/>
      <c r="Q208" s="3887"/>
      <c r="R208" s="3887"/>
      <c r="S208" s="3887"/>
      <c r="T208" s="3887"/>
      <c r="U208" s="3887"/>
      <c r="V208" s="3887"/>
      <c r="W208" s="3887"/>
      <c r="X208" s="3887"/>
      <c r="Y208" s="3887"/>
      <c r="Z208" s="3887"/>
      <c r="AA208" s="3887"/>
      <c r="AB208" s="3887"/>
      <c r="AC208" s="3887"/>
    </row>
    <row r="209" spans="1:29" s="3890" customFormat="1">
      <c r="A209" s="3887"/>
      <c r="B209" s="3887"/>
      <c r="C209" s="3887"/>
      <c r="D209" s="3887"/>
      <c r="E209" s="3887"/>
      <c r="F209" s="3887"/>
      <c r="G209" s="3887"/>
      <c r="H209" s="3887"/>
      <c r="I209" s="3887"/>
      <c r="J209" s="3887"/>
      <c r="K209" s="3888"/>
      <c r="L209" s="3889"/>
      <c r="M209" s="3887"/>
      <c r="N209" s="3887"/>
      <c r="O209" s="3887"/>
      <c r="P209" s="3887"/>
      <c r="Q209" s="3887"/>
      <c r="R209" s="3887"/>
      <c r="S209" s="3887"/>
      <c r="T209" s="3887"/>
      <c r="U209" s="3887"/>
      <c r="V209" s="3887"/>
      <c r="W209" s="3887"/>
      <c r="X209" s="3887"/>
      <c r="Y209" s="3887"/>
      <c r="Z209" s="3887"/>
      <c r="AA209" s="3887"/>
      <c r="AB209" s="3887"/>
      <c r="AC209" s="3887"/>
    </row>
    <row r="210" spans="1:29" s="3890" customFormat="1">
      <c r="A210" s="3887"/>
      <c r="B210" s="3887"/>
      <c r="C210" s="3887"/>
      <c r="D210" s="3887"/>
      <c r="E210" s="3887"/>
      <c r="F210" s="3887"/>
      <c r="G210" s="3887"/>
      <c r="H210" s="3887"/>
      <c r="I210" s="3887"/>
      <c r="J210" s="3887"/>
      <c r="K210" s="3888"/>
      <c r="L210" s="3889"/>
      <c r="M210" s="3887"/>
      <c r="N210" s="3887"/>
      <c r="O210" s="3887"/>
      <c r="P210" s="3887"/>
      <c r="Q210" s="3887"/>
      <c r="R210" s="3887"/>
      <c r="S210" s="3887"/>
      <c r="T210" s="3887"/>
      <c r="U210" s="3887"/>
      <c r="V210" s="3887"/>
      <c r="W210" s="3887"/>
      <c r="X210" s="3887"/>
      <c r="Y210" s="3887"/>
      <c r="Z210" s="3887"/>
      <c r="AA210" s="3887"/>
      <c r="AB210" s="3887"/>
      <c r="AC210" s="3887"/>
    </row>
    <row r="211" spans="1:29" s="3890" customFormat="1">
      <c r="A211" s="3887"/>
      <c r="B211" s="3887"/>
      <c r="C211" s="3887"/>
      <c r="D211" s="3887"/>
      <c r="E211" s="3887"/>
      <c r="F211" s="3887"/>
      <c r="G211" s="3887"/>
      <c r="H211" s="3887"/>
      <c r="I211" s="3887"/>
      <c r="J211" s="3887"/>
      <c r="K211" s="3888"/>
      <c r="L211" s="3889"/>
      <c r="M211" s="3887"/>
      <c r="N211" s="3887"/>
      <c r="O211" s="3887"/>
      <c r="P211" s="3887"/>
      <c r="Q211" s="3887"/>
      <c r="R211" s="3887"/>
      <c r="S211" s="3887"/>
      <c r="T211" s="3887"/>
      <c r="U211" s="3887"/>
      <c r="V211" s="3887"/>
      <c r="W211" s="3887"/>
      <c r="X211" s="3887"/>
      <c r="Y211" s="3887"/>
      <c r="Z211" s="3887"/>
      <c r="AA211" s="3887"/>
      <c r="AB211" s="3887"/>
      <c r="AC211" s="3887"/>
    </row>
    <row r="212" spans="1:29" s="3890" customFormat="1">
      <c r="A212" s="3887"/>
      <c r="B212" s="3887"/>
      <c r="C212" s="3887"/>
      <c r="D212" s="3887"/>
      <c r="E212" s="3887"/>
      <c r="F212" s="3887"/>
      <c r="G212" s="3887"/>
      <c r="H212" s="3887"/>
      <c r="I212" s="3887"/>
      <c r="J212" s="3887"/>
      <c r="K212" s="3888"/>
      <c r="L212" s="3889"/>
      <c r="M212" s="3887"/>
      <c r="N212" s="3887"/>
      <c r="O212" s="3887"/>
      <c r="P212" s="3887"/>
      <c r="Q212" s="3887"/>
      <c r="R212" s="3887"/>
      <c r="S212" s="3887"/>
      <c r="T212" s="3887"/>
      <c r="U212" s="3887"/>
      <c r="V212" s="3887"/>
      <c r="W212" s="3887"/>
      <c r="X212" s="3887"/>
      <c r="Y212" s="3887"/>
      <c r="Z212" s="3887"/>
      <c r="AA212" s="3887"/>
      <c r="AB212" s="3887"/>
      <c r="AC212" s="3887"/>
    </row>
    <row r="213" spans="1:29" s="3890" customFormat="1">
      <c r="A213" s="3887"/>
      <c r="B213" s="3887"/>
      <c r="C213" s="3887"/>
      <c r="D213" s="3887"/>
      <c r="E213" s="3887"/>
      <c r="F213" s="3887"/>
      <c r="G213" s="3887"/>
      <c r="H213" s="3887"/>
      <c r="I213" s="3887"/>
      <c r="J213" s="3887"/>
      <c r="K213" s="3888"/>
      <c r="L213" s="3889"/>
      <c r="M213" s="3887"/>
      <c r="N213" s="3887"/>
      <c r="O213" s="3887"/>
      <c r="P213" s="3887"/>
      <c r="Q213" s="3887"/>
      <c r="R213" s="3887"/>
      <c r="S213" s="3887"/>
      <c r="T213" s="3887"/>
      <c r="U213" s="3887"/>
      <c r="V213" s="3887"/>
      <c r="W213" s="3887"/>
      <c r="X213" s="3887"/>
      <c r="Y213" s="3887"/>
      <c r="Z213" s="3887"/>
      <c r="AA213" s="3887"/>
      <c r="AB213" s="3887"/>
      <c r="AC213" s="3887"/>
    </row>
    <row r="214" spans="1:29" s="3890" customFormat="1">
      <c r="A214" s="3887"/>
      <c r="B214" s="3887"/>
      <c r="C214" s="3887"/>
      <c r="D214" s="3887"/>
      <c r="E214" s="3887"/>
      <c r="F214" s="3887"/>
      <c r="G214" s="3887"/>
      <c r="H214" s="3887"/>
      <c r="I214" s="3887"/>
      <c r="J214" s="3887"/>
      <c r="K214" s="3888"/>
      <c r="L214" s="3889"/>
      <c r="M214" s="3887"/>
      <c r="N214" s="3887"/>
      <c r="O214" s="3887"/>
      <c r="P214" s="3887"/>
      <c r="Q214" s="3887"/>
      <c r="R214" s="3887"/>
      <c r="S214" s="3887"/>
      <c r="T214" s="3887"/>
      <c r="U214" s="3887"/>
      <c r="V214" s="3887"/>
      <c r="W214" s="3887"/>
      <c r="X214" s="3887"/>
      <c r="Y214" s="3887"/>
      <c r="Z214" s="3887"/>
      <c r="AA214" s="3887"/>
      <c r="AB214" s="3887"/>
      <c r="AC214" s="3887"/>
    </row>
    <row r="215" spans="1:29" s="3890" customFormat="1">
      <c r="A215" s="3887"/>
      <c r="B215" s="3887"/>
      <c r="C215" s="3887"/>
      <c r="D215" s="3887"/>
      <c r="E215" s="3887"/>
      <c r="F215" s="3887"/>
      <c r="G215" s="3887"/>
      <c r="H215" s="3887"/>
      <c r="I215" s="3887"/>
      <c r="J215" s="3887"/>
      <c r="K215" s="3888"/>
      <c r="L215" s="3889"/>
      <c r="M215" s="3887"/>
      <c r="N215" s="3887"/>
      <c r="O215" s="3887"/>
      <c r="P215" s="3887"/>
      <c r="Q215" s="3887"/>
      <c r="R215" s="3887"/>
      <c r="S215" s="3887"/>
      <c r="T215" s="3887"/>
      <c r="U215" s="3887"/>
      <c r="V215" s="3887"/>
      <c r="W215" s="3887"/>
      <c r="X215" s="3887"/>
      <c r="Y215" s="3887"/>
      <c r="Z215" s="3887"/>
      <c r="AA215" s="3887"/>
      <c r="AB215" s="3887"/>
      <c r="AC215" s="3887"/>
    </row>
    <row r="216" spans="1:29" s="3890" customFormat="1">
      <c r="A216" s="3887"/>
      <c r="B216" s="3887"/>
      <c r="C216" s="3887"/>
      <c r="D216" s="3887"/>
      <c r="E216" s="3887"/>
      <c r="F216" s="3887"/>
      <c r="G216" s="3887"/>
      <c r="H216" s="3887"/>
      <c r="I216" s="3887"/>
      <c r="J216" s="3887"/>
      <c r="K216" s="3888"/>
      <c r="L216" s="3889"/>
      <c r="M216" s="3887"/>
      <c r="N216" s="3887"/>
      <c r="O216" s="3887"/>
      <c r="P216" s="3887"/>
      <c r="Q216" s="3887"/>
      <c r="R216" s="3887"/>
      <c r="S216" s="3887"/>
      <c r="T216" s="3887"/>
      <c r="U216" s="3887"/>
      <c r="V216" s="3887"/>
      <c r="W216" s="3887"/>
      <c r="X216" s="3887"/>
      <c r="Y216" s="3887"/>
      <c r="Z216" s="3887"/>
      <c r="AA216" s="3887"/>
      <c r="AB216" s="3887"/>
      <c r="AC216" s="3887"/>
    </row>
    <row r="217" spans="1:29" s="3890" customFormat="1">
      <c r="A217" s="3887"/>
      <c r="B217" s="3887"/>
      <c r="C217" s="3887"/>
      <c r="D217" s="3887"/>
      <c r="E217" s="3887"/>
      <c r="F217" s="3887"/>
      <c r="G217" s="3887"/>
      <c r="H217" s="3887"/>
      <c r="I217" s="3887"/>
      <c r="J217" s="3887"/>
      <c r="K217" s="3888"/>
      <c r="L217" s="3889"/>
      <c r="M217" s="3887"/>
      <c r="N217" s="3887"/>
      <c r="O217" s="3887"/>
      <c r="P217" s="3887"/>
      <c r="Q217" s="3887"/>
      <c r="R217" s="3887"/>
      <c r="S217" s="3887"/>
      <c r="T217" s="3887"/>
      <c r="U217" s="3887"/>
      <c r="V217" s="3887"/>
      <c r="W217" s="3887"/>
      <c r="X217" s="3887"/>
      <c r="Y217" s="3887"/>
      <c r="Z217" s="3887"/>
      <c r="AA217" s="3887"/>
      <c r="AB217" s="3887"/>
      <c r="AC217" s="3887"/>
    </row>
    <row r="218" spans="1:29" s="3890" customFormat="1">
      <c r="A218" s="3887"/>
      <c r="B218" s="3887"/>
      <c r="C218" s="3887"/>
      <c r="D218" s="3887"/>
      <c r="E218" s="3887"/>
      <c r="F218" s="3887"/>
      <c r="G218" s="3887"/>
      <c r="H218" s="3887"/>
      <c r="I218" s="3887"/>
      <c r="J218" s="3887"/>
      <c r="K218" s="3888"/>
      <c r="L218" s="3889"/>
      <c r="M218" s="3887"/>
      <c r="N218" s="3887"/>
      <c r="O218" s="3887"/>
      <c r="P218" s="3887"/>
      <c r="Q218" s="3887"/>
      <c r="R218" s="3887"/>
      <c r="S218" s="3887"/>
      <c r="T218" s="3887"/>
      <c r="U218" s="3887"/>
      <c r="V218" s="3887"/>
      <c r="W218" s="3887"/>
      <c r="X218" s="3887"/>
      <c r="Y218" s="3887"/>
      <c r="Z218" s="3887"/>
      <c r="AA218" s="3887"/>
      <c r="AB218" s="3887"/>
      <c r="AC218" s="3887"/>
    </row>
    <row r="219" spans="1:29" s="3890" customFormat="1">
      <c r="A219" s="3887"/>
      <c r="B219" s="3887"/>
      <c r="C219" s="3887"/>
      <c r="D219" s="3887"/>
      <c r="E219" s="3887"/>
      <c r="F219" s="3887"/>
      <c r="G219" s="3887"/>
      <c r="H219" s="3887"/>
      <c r="I219" s="3887"/>
      <c r="J219" s="3887"/>
      <c r="K219" s="3888"/>
      <c r="L219" s="3889"/>
      <c r="M219" s="3887"/>
      <c r="N219" s="3887"/>
      <c r="O219" s="3887"/>
      <c r="P219" s="3887"/>
      <c r="Q219" s="3887"/>
      <c r="R219" s="3887"/>
      <c r="S219" s="3887"/>
      <c r="T219" s="3887"/>
      <c r="U219" s="3887"/>
      <c r="V219" s="3887"/>
      <c r="W219" s="3887"/>
      <c r="X219" s="3887"/>
      <c r="Y219" s="3887"/>
      <c r="Z219" s="3887"/>
      <c r="AA219" s="3887"/>
      <c r="AB219" s="3887"/>
      <c r="AC219" s="3887"/>
    </row>
    <row r="220" spans="1:29" s="3890" customFormat="1">
      <c r="A220" s="3887"/>
      <c r="B220" s="3887"/>
      <c r="C220" s="3887"/>
      <c r="D220" s="3887"/>
      <c r="E220" s="3887"/>
      <c r="F220" s="3887"/>
      <c r="G220" s="3887"/>
      <c r="H220" s="3887"/>
      <c r="I220" s="3887"/>
      <c r="J220" s="3887"/>
      <c r="K220" s="3888"/>
      <c r="L220" s="3889"/>
      <c r="M220" s="3887"/>
      <c r="N220" s="3887"/>
      <c r="O220" s="3887"/>
      <c r="P220" s="3887"/>
      <c r="Q220" s="3887"/>
      <c r="R220" s="3887"/>
      <c r="S220" s="3887"/>
      <c r="T220" s="3887"/>
      <c r="U220" s="3887"/>
      <c r="V220" s="3887"/>
      <c r="W220" s="3887"/>
      <c r="X220" s="3887"/>
      <c r="Y220" s="3887"/>
      <c r="Z220" s="3887"/>
      <c r="AA220" s="3887"/>
      <c r="AB220" s="3887"/>
      <c r="AC220" s="3887"/>
    </row>
    <row r="221" spans="1:29" s="3890" customFormat="1">
      <c r="A221" s="3887"/>
      <c r="B221" s="3887"/>
      <c r="C221" s="3887"/>
      <c r="D221" s="3887"/>
      <c r="E221" s="3887"/>
      <c r="F221" s="3887"/>
      <c r="G221" s="3887"/>
      <c r="H221" s="3887"/>
      <c r="I221" s="3887"/>
      <c r="J221" s="3887"/>
      <c r="K221" s="3888"/>
      <c r="L221" s="3889"/>
      <c r="M221" s="3887"/>
      <c r="N221" s="3887"/>
      <c r="O221" s="3887"/>
      <c r="P221" s="3887"/>
      <c r="Q221" s="3887"/>
      <c r="R221" s="3887"/>
      <c r="S221" s="3887"/>
      <c r="T221" s="3887"/>
      <c r="U221" s="3887"/>
      <c r="V221" s="3887"/>
      <c r="W221" s="3887"/>
      <c r="X221" s="3887"/>
      <c r="Y221" s="3887"/>
      <c r="Z221" s="3887"/>
      <c r="AA221" s="3887"/>
      <c r="AB221" s="3887"/>
      <c r="AC221" s="3887"/>
    </row>
    <row r="222" spans="1:29" s="3890" customFormat="1">
      <c r="A222" s="3887"/>
      <c r="B222" s="3887"/>
      <c r="C222" s="3887"/>
      <c r="D222" s="3887"/>
      <c r="E222" s="3887"/>
      <c r="F222" s="3887"/>
      <c r="G222" s="3887"/>
      <c r="H222" s="3887"/>
      <c r="I222" s="3887"/>
      <c r="J222" s="3887"/>
      <c r="K222" s="3888"/>
      <c r="L222" s="3889"/>
      <c r="M222" s="3887"/>
      <c r="N222" s="3887"/>
      <c r="O222" s="3887"/>
      <c r="P222" s="3887"/>
      <c r="Q222" s="3887"/>
      <c r="R222" s="3887"/>
      <c r="S222" s="3887"/>
      <c r="T222" s="3887"/>
      <c r="U222" s="3887"/>
      <c r="V222" s="3887"/>
      <c r="W222" s="3887"/>
      <c r="X222" s="3887"/>
      <c r="Y222" s="3887"/>
      <c r="Z222" s="3887"/>
      <c r="AA222" s="3887"/>
      <c r="AB222" s="3887"/>
      <c r="AC222" s="3887"/>
    </row>
    <row r="223" spans="1:29" s="3890" customFormat="1">
      <c r="A223" s="3887"/>
      <c r="B223" s="3887"/>
      <c r="C223" s="3887"/>
      <c r="D223" s="3887"/>
      <c r="E223" s="3887"/>
      <c r="F223" s="3887"/>
      <c r="G223" s="3887"/>
      <c r="H223" s="3887"/>
      <c r="I223" s="3887"/>
      <c r="J223" s="3887"/>
      <c r="K223" s="3888"/>
      <c r="L223" s="3889"/>
      <c r="M223" s="3887"/>
      <c r="N223" s="3887"/>
      <c r="O223" s="3887"/>
      <c r="P223" s="3887"/>
      <c r="Q223" s="3887"/>
      <c r="R223" s="3887"/>
      <c r="S223" s="3887"/>
      <c r="T223" s="3887"/>
      <c r="U223" s="3887"/>
      <c r="V223" s="3887"/>
      <c r="W223" s="3887"/>
      <c r="X223" s="3887"/>
      <c r="Y223" s="3887"/>
      <c r="Z223" s="3887"/>
      <c r="AA223" s="3887"/>
      <c r="AB223" s="3887"/>
      <c r="AC223" s="3887"/>
    </row>
    <row r="224" spans="1:29" s="3890" customFormat="1">
      <c r="A224" s="3887"/>
      <c r="B224" s="3887"/>
      <c r="C224" s="3887"/>
      <c r="D224" s="3887"/>
      <c r="E224" s="3887"/>
      <c r="F224" s="3887"/>
      <c r="G224" s="3887"/>
      <c r="H224" s="3887"/>
      <c r="I224" s="3887"/>
      <c r="J224" s="3887"/>
      <c r="K224" s="3888"/>
      <c r="L224" s="3889"/>
      <c r="M224" s="3887"/>
      <c r="N224" s="3887"/>
      <c r="O224" s="3887"/>
      <c r="P224" s="3887"/>
      <c r="Q224" s="3887"/>
      <c r="R224" s="3887"/>
      <c r="S224" s="3887"/>
      <c r="T224" s="3887"/>
      <c r="U224" s="3887"/>
      <c r="V224" s="3887"/>
      <c r="W224" s="3887"/>
      <c r="X224" s="3887"/>
      <c r="Y224" s="3887"/>
      <c r="Z224" s="3887"/>
      <c r="AA224" s="3887"/>
      <c r="AB224" s="3887"/>
      <c r="AC224" s="3887"/>
    </row>
    <row r="225" spans="1:29" s="3890" customFormat="1">
      <c r="A225" s="3887"/>
      <c r="B225" s="3887"/>
      <c r="C225" s="3887"/>
      <c r="D225" s="3887"/>
      <c r="E225" s="3887"/>
      <c r="F225" s="3887"/>
      <c r="G225" s="3887"/>
      <c r="H225" s="3887"/>
      <c r="I225" s="3887"/>
      <c r="J225" s="3887"/>
      <c r="K225" s="3888"/>
      <c r="L225" s="3889"/>
      <c r="M225" s="3887"/>
      <c r="N225" s="3887"/>
      <c r="O225" s="3887"/>
      <c r="P225" s="3887"/>
      <c r="Q225" s="3887"/>
      <c r="R225" s="3887"/>
      <c r="S225" s="3887"/>
      <c r="T225" s="3887"/>
      <c r="U225" s="3887"/>
      <c r="V225" s="3887"/>
      <c r="W225" s="3887"/>
      <c r="X225" s="3887"/>
      <c r="Y225" s="3887"/>
      <c r="Z225" s="3887"/>
      <c r="AA225" s="3887"/>
      <c r="AB225" s="3887"/>
      <c r="AC225" s="3887"/>
    </row>
    <row r="226" spans="1:29" s="3890" customFormat="1">
      <c r="A226" s="3887"/>
      <c r="B226" s="3887"/>
      <c r="C226" s="3887"/>
      <c r="D226" s="3887"/>
      <c r="E226" s="3887"/>
      <c r="F226" s="3887"/>
      <c r="G226" s="3887"/>
      <c r="H226" s="3887"/>
      <c r="I226" s="3887"/>
      <c r="J226" s="3887"/>
      <c r="K226" s="3888"/>
      <c r="L226" s="3889"/>
      <c r="M226" s="3887"/>
      <c r="N226" s="3887"/>
      <c r="O226" s="3887"/>
      <c r="P226" s="3887"/>
      <c r="Q226" s="3887"/>
      <c r="R226" s="3887"/>
      <c r="S226" s="3887"/>
      <c r="T226" s="3887"/>
      <c r="U226" s="3887"/>
      <c r="V226" s="3887"/>
      <c r="W226" s="3887"/>
      <c r="X226" s="3887"/>
      <c r="Y226" s="3887"/>
      <c r="Z226" s="3887"/>
      <c r="AA226" s="3887"/>
      <c r="AB226" s="3887"/>
      <c r="AC226" s="3887"/>
    </row>
    <row r="227" spans="1:29" s="3890" customFormat="1">
      <c r="A227" s="3887"/>
      <c r="B227" s="3887"/>
      <c r="C227" s="3887"/>
      <c r="D227" s="3887"/>
      <c r="E227" s="3887"/>
      <c r="F227" s="3887"/>
      <c r="G227" s="3887"/>
      <c r="H227" s="3887"/>
      <c r="I227" s="3887"/>
      <c r="J227" s="3887"/>
      <c r="K227" s="3888"/>
      <c r="L227" s="3889"/>
      <c r="M227" s="3887"/>
      <c r="N227" s="3887"/>
      <c r="O227" s="3887"/>
      <c r="P227" s="3887"/>
      <c r="Q227" s="3887"/>
      <c r="R227" s="3887"/>
      <c r="S227" s="3887"/>
      <c r="T227" s="3887"/>
      <c r="U227" s="3887"/>
      <c r="V227" s="3887"/>
      <c r="W227" s="3887"/>
      <c r="X227" s="3887"/>
      <c r="Y227" s="3887"/>
      <c r="Z227" s="3887"/>
      <c r="AA227" s="3887"/>
      <c r="AB227" s="3887"/>
      <c r="AC227" s="3887"/>
    </row>
    <row r="228" spans="1:29" s="3890" customFormat="1">
      <c r="A228" s="3887"/>
      <c r="B228" s="3887"/>
      <c r="C228" s="3887"/>
      <c r="D228" s="3887"/>
      <c r="E228" s="3887"/>
      <c r="F228" s="3887"/>
      <c r="G228" s="3887"/>
      <c r="H228" s="3887"/>
      <c r="I228" s="3887"/>
      <c r="J228" s="3887"/>
      <c r="K228" s="3888"/>
      <c r="L228" s="3889"/>
      <c r="M228" s="3887"/>
      <c r="N228" s="3887"/>
      <c r="O228" s="3887"/>
      <c r="P228" s="3887"/>
      <c r="Q228" s="3887"/>
      <c r="R228" s="3887"/>
      <c r="S228" s="3887"/>
      <c r="T228" s="3887"/>
      <c r="U228" s="3887"/>
      <c r="V228" s="3887"/>
      <c r="W228" s="3887"/>
      <c r="X228" s="3887"/>
      <c r="Y228" s="3887"/>
      <c r="Z228" s="3887"/>
      <c r="AA228" s="3887"/>
      <c r="AB228" s="3887"/>
      <c r="AC228" s="3887"/>
    </row>
    <row r="229" spans="1:29" s="3890" customFormat="1">
      <c r="A229" s="3887"/>
      <c r="B229" s="3887"/>
      <c r="C229" s="3887"/>
      <c r="D229" s="3887"/>
      <c r="E229" s="3887"/>
      <c r="F229" s="3887"/>
      <c r="G229" s="3887"/>
      <c r="H229" s="3887"/>
      <c r="I229" s="3887"/>
      <c r="J229" s="3887"/>
      <c r="K229" s="3888"/>
      <c r="L229" s="3889"/>
      <c r="M229" s="3887"/>
      <c r="N229" s="3887"/>
      <c r="O229" s="3887"/>
      <c r="P229" s="3887"/>
      <c r="Q229" s="3887"/>
      <c r="R229" s="3887"/>
      <c r="S229" s="3887"/>
      <c r="T229" s="3887"/>
      <c r="U229" s="3887"/>
      <c r="V229" s="3887"/>
      <c r="W229" s="3887"/>
      <c r="X229" s="3887"/>
      <c r="Y229" s="3887"/>
      <c r="Z229" s="3887"/>
      <c r="AA229" s="3887"/>
      <c r="AB229" s="3887"/>
      <c r="AC229" s="3887"/>
    </row>
    <row r="230" spans="1:29" s="3890" customFormat="1">
      <c r="A230" s="3887"/>
      <c r="B230" s="3887"/>
      <c r="C230" s="3887"/>
      <c r="D230" s="3887"/>
      <c r="E230" s="3887"/>
      <c r="F230" s="3887"/>
      <c r="G230" s="3887"/>
      <c r="H230" s="3887"/>
      <c r="I230" s="3887"/>
      <c r="J230" s="3887"/>
      <c r="K230" s="3888"/>
      <c r="L230" s="3889"/>
      <c r="M230" s="3887"/>
      <c r="N230" s="3887"/>
      <c r="O230" s="3887"/>
      <c r="P230" s="3887"/>
      <c r="Q230" s="3887"/>
      <c r="R230" s="3887"/>
      <c r="S230" s="3887"/>
      <c r="T230" s="3887"/>
      <c r="U230" s="3887"/>
      <c r="V230" s="3887"/>
      <c r="W230" s="3887"/>
      <c r="X230" s="3887"/>
      <c r="Y230" s="3887"/>
      <c r="Z230" s="3887"/>
      <c r="AA230" s="3887"/>
      <c r="AB230" s="3887"/>
      <c r="AC230" s="3887"/>
    </row>
    <row r="231" spans="1:29" s="3890" customFormat="1">
      <c r="A231" s="3887"/>
      <c r="B231" s="3887"/>
      <c r="C231" s="3887"/>
      <c r="D231" s="3887"/>
      <c r="E231" s="3887"/>
      <c r="F231" s="3887"/>
      <c r="G231" s="3887"/>
      <c r="H231" s="3887"/>
      <c r="I231" s="3887"/>
      <c r="J231" s="3887"/>
      <c r="K231" s="3888"/>
      <c r="L231" s="3889"/>
      <c r="M231" s="3887"/>
      <c r="N231" s="3887"/>
      <c r="O231" s="3887"/>
      <c r="P231" s="3887"/>
      <c r="Q231" s="3887"/>
      <c r="R231" s="3887"/>
      <c r="S231" s="3887"/>
      <c r="T231" s="3887"/>
      <c r="U231" s="3887"/>
      <c r="V231" s="3887"/>
      <c r="W231" s="3887"/>
      <c r="X231" s="3887"/>
      <c r="Y231" s="3887"/>
      <c r="Z231" s="3887"/>
      <c r="AA231" s="3887"/>
      <c r="AB231" s="3887"/>
      <c r="AC231" s="3887"/>
    </row>
    <row r="232" spans="1:29" s="3890" customFormat="1">
      <c r="A232" s="3887"/>
      <c r="B232" s="3887"/>
      <c r="C232" s="3887"/>
      <c r="D232" s="3887"/>
      <c r="E232" s="3887"/>
      <c r="F232" s="3887"/>
      <c r="G232" s="3887"/>
      <c r="H232" s="3887"/>
      <c r="I232" s="3887"/>
      <c r="J232" s="3887"/>
      <c r="K232" s="3888"/>
      <c r="L232" s="3889"/>
      <c r="M232" s="3887"/>
      <c r="N232" s="3887"/>
      <c r="O232" s="3887"/>
      <c r="P232" s="3887"/>
      <c r="Q232" s="3887"/>
      <c r="R232" s="3887"/>
      <c r="S232" s="3887"/>
      <c r="T232" s="3887"/>
      <c r="U232" s="3887"/>
      <c r="V232" s="3887"/>
      <c r="W232" s="3887"/>
      <c r="X232" s="3887"/>
      <c r="Y232" s="3887"/>
      <c r="Z232" s="3887"/>
      <c r="AA232" s="3887"/>
      <c r="AB232" s="3887"/>
      <c r="AC232" s="3887"/>
    </row>
    <row r="233" spans="1:29" s="3890" customFormat="1">
      <c r="A233" s="3887"/>
      <c r="B233" s="3887"/>
      <c r="C233" s="3887"/>
      <c r="D233" s="3887"/>
      <c r="E233" s="3887"/>
      <c r="F233" s="3887"/>
      <c r="G233" s="3887"/>
      <c r="H233" s="3887"/>
      <c r="I233" s="3887"/>
      <c r="J233" s="3887"/>
      <c r="K233" s="3888"/>
      <c r="L233" s="3889"/>
      <c r="M233" s="3887"/>
      <c r="N233" s="3887"/>
      <c r="O233" s="3887"/>
      <c r="P233" s="3887"/>
      <c r="Q233" s="3887"/>
      <c r="R233" s="3887"/>
      <c r="S233" s="3887"/>
      <c r="T233" s="3887"/>
      <c r="U233" s="3887"/>
      <c r="V233" s="3887"/>
      <c r="W233" s="3887"/>
      <c r="X233" s="3887"/>
      <c r="Y233" s="3887"/>
      <c r="Z233" s="3887"/>
      <c r="AA233" s="3887"/>
      <c r="AB233" s="3887"/>
      <c r="AC233" s="3887"/>
    </row>
    <row r="234" spans="1:29" s="3890" customFormat="1">
      <c r="A234" s="3887"/>
      <c r="B234" s="3887"/>
      <c r="C234" s="3887"/>
      <c r="D234" s="3887"/>
      <c r="E234" s="3887"/>
      <c r="F234" s="3887"/>
      <c r="G234" s="3887"/>
      <c r="H234" s="3887"/>
      <c r="I234" s="3887"/>
      <c r="J234" s="3887"/>
      <c r="K234" s="3888"/>
      <c r="L234" s="3889"/>
      <c r="M234" s="3887"/>
      <c r="N234" s="3887"/>
      <c r="O234" s="3887"/>
      <c r="P234" s="3887"/>
      <c r="Q234" s="3887"/>
      <c r="R234" s="3887"/>
      <c r="S234" s="3887"/>
      <c r="T234" s="3887"/>
      <c r="U234" s="3887"/>
      <c r="V234" s="3887"/>
      <c r="W234" s="3887"/>
      <c r="X234" s="3887"/>
      <c r="Y234" s="3887"/>
      <c r="Z234" s="3887"/>
      <c r="AA234" s="3887"/>
      <c r="AB234" s="3887"/>
      <c r="AC234" s="3887"/>
    </row>
    <row r="235" spans="1:29" s="3890" customFormat="1">
      <c r="A235" s="3887"/>
      <c r="B235" s="3887"/>
      <c r="C235" s="3887"/>
      <c r="D235" s="3887"/>
      <c r="E235" s="3887"/>
      <c r="F235" s="3887"/>
      <c r="G235" s="3887"/>
      <c r="H235" s="3887"/>
      <c r="I235" s="3887"/>
      <c r="J235" s="3887"/>
      <c r="K235" s="3888"/>
      <c r="L235" s="3889"/>
      <c r="M235" s="3887"/>
      <c r="N235" s="3887"/>
      <c r="O235" s="3887"/>
      <c r="P235" s="3887"/>
      <c r="Q235" s="3887"/>
      <c r="R235" s="3887"/>
      <c r="S235" s="3887"/>
      <c r="T235" s="3887"/>
      <c r="U235" s="3887"/>
      <c r="V235" s="3887"/>
      <c r="W235" s="3887"/>
      <c r="X235" s="3887"/>
      <c r="Y235" s="3887"/>
      <c r="Z235" s="3887"/>
      <c r="AA235" s="3887"/>
      <c r="AB235" s="3887"/>
      <c r="AC235" s="3887"/>
    </row>
    <row r="236" spans="1:29" s="3890" customFormat="1">
      <c r="A236" s="3887"/>
      <c r="B236" s="3887"/>
      <c r="C236" s="3887"/>
      <c r="D236" s="3887"/>
      <c r="E236" s="3887"/>
      <c r="F236" s="3887"/>
      <c r="G236" s="3887"/>
      <c r="H236" s="3887"/>
      <c r="I236" s="3887"/>
      <c r="J236" s="3887"/>
      <c r="K236" s="3888"/>
      <c r="L236" s="3889"/>
      <c r="M236" s="3887"/>
      <c r="N236" s="3887"/>
      <c r="O236" s="3887"/>
      <c r="P236" s="3887"/>
      <c r="Q236" s="3887"/>
      <c r="R236" s="3887"/>
      <c r="S236" s="3887"/>
      <c r="T236" s="3887"/>
      <c r="U236" s="3887"/>
      <c r="V236" s="3887"/>
      <c r="W236" s="3887"/>
      <c r="X236" s="3887"/>
      <c r="Y236" s="3887"/>
      <c r="Z236" s="3887"/>
      <c r="AA236" s="3887"/>
      <c r="AB236" s="3887"/>
      <c r="AC236" s="3887"/>
    </row>
    <row r="237" spans="1:29" s="3890" customFormat="1">
      <c r="A237" s="3887"/>
      <c r="B237" s="3887"/>
      <c r="C237" s="3887"/>
      <c r="D237" s="3887"/>
      <c r="E237" s="3887"/>
      <c r="F237" s="3887"/>
      <c r="G237" s="3887"/>
      <c r="H237" s="3887"/>
      <c r="I237" s="3887"/>
      <c r="J237" s="3887"/>
      <c r="K237" s="3888"/>
      <c r="L237" s="3889"/>
      <c r="M237" s="3887"/>
      <c r="N237" s="3887"/>
      <c r="O237" s="3887"/>
      <c r="P237" s="3887"/>
      <c r="Q237" s="3887"/>
      <c r="R237" s="3887"/>
      <c r="S237" s="3887"/>
      <c r="T237" s="3887"/>
      <c r="U237" s="3887"/>
      <c r="V237" s="3887"/>
      <c r="W237" s="3887"/>
      <c r="X237" s="3887"/>
      <c r="Y237" s="3887"/>
      <c r="Z237" s="3887"/>
      <c r="AA237" s="3887"/>
      <c r="AB237" s="3887"/>
      <c r="AC237" s="3887"/>
    </row>
    <row r="238" spans="1:29" s="3890" customFormat="1">
      <c r="A238" s="3887"/>
      <c r="B238" s="3887"/>
      <c r="C238" s="3887"/>
      <c r="D238" s="3887"/>
      <c r="E238" s="3887"/>
      <c r="F238" s="3887"/>
      <c r="G238" s="3887"/>
      <c r="H238" s="3887"/>
      <c r="I238" s="3887"/>
      <c r="J238" s="3887"/>
      <c r="K238" s="3888"/>
      <c r="L238" s="3889"/>
      <c r="M238" s="3887"/>
      <c r="N238" s="3887"/>
      <c r="O238" s="3887"/>
      <c r="P238" s="3887"/>
      <c r="Q238" s="3887"/>
      <c r="R238" s="3887"/>
      <c r="S238" s="3887"/>
      <c r="T238" s="3887"/>
      <c r="U238" s="3887"/>
      <c r="V238" s="3887"/>
      <c r="W238" s="3887"/>
      <c r="X238" s="3887"/>
      <c r="Y238" s="3887"/>
      <c r="Z238" s="3887"/>
      <c r="AA238" s="3887"/>
      <c r="AB238" s="3887"/>
      <c r="AC238" s="3887"/>
    </row>
    <row r="239" spans="1:29" s="3890" customFormat="1">
      <c r="A239" s="3887"/>
      <c r="B239" s="3887"/>
      <c r="C239" s="3887"/>
      <c r="D239" s="3887"/>
      <c r="E239" s="3887"/>
      <c r="F239" s="3887"/>
      <c r="G239" s="3887"/>
      <c r="H239" s="3887"/>
      <c r="I239" s="3887"/>
      <c r="J239" s="3887"/>
      <c r="K239" s="3888"/>
      <c r="L239" s="3889"/>
      <c r="M239" s="3887"/>
      <c r="N239" s="3887"/>
      <c r="O239" s="3887"/>
      <c r="P239" s="3887"/>
      <c r="Q239" s="3887"/>
      <c r="R239" s="3887"/>
      <c r="S239" s="3887"/>
      <c r="T239" s="3887"/>
      <c r="U239" s="3887"/>
      <c r="V239" s="3887"/>
      <c r="W239" s="3887"/>
      <c r="X239" s="3887"/>
      <c r="Y239" s="3887"/>
      <c r="Z239" s="3887"/>
      <c r="AA239" s="3887"/>
      <c r="AB239" s="3887"/>
      <c r="AC239" s="3887"/>
    </row>
    <row r="240" spans="1:29" s="3890" customFormat="1">
      <c r="A240" s="3887"/>
      <c r="B240" s="3887"/>
      <c r="C240" s="3887"/>
      <c r="D240" s="3887"/>
      <c r="E240" s="3887"/>
      <c r="F240" s="3887"/>
      <c r="G240" s="3887"/>
      <c r="H240" s="3887"/>
      <c r="I240" s="3887"/>
      <c r="J240" s="3887"/>
      <c r="K240" s="3888"/>
      <c r="L240" s="3889"/>
      <c r="M240" s="3887"/>
      <c r="N240" s="3887"/>
      <c r="O240" s="3887"/>
      <c r="P240" s="3887"/>
      <c r="Q240" s="3887"/>
      <c r="R240" s="3887"/>
      <c r="S240" s="3887"/>
      <c r="T240" s="3887"/>
      <c r="U240" s="3887"/>
      <c r="V240" s="3887"/>
      <c r="W240" s="3887"/>
      <c r="X240" s="3887"/>
      <c r="Y240" s="3887"/>
      <c r="Z240" s="3887"/>
      <c r="AA240" s="3887"/>
      <c r="AB240" s="3887"/>
      <c r="AC240" s="3887"/>
    </row>
    <row r="241" spans="1:29" s="3890" customFormat="1">
      <c r="A241" s="3887"/>
      <c r="B241" s="3887"/>
      <c r="C241" s="3887"/>
      <c r="D241" s="3887"/>
      <c r="E241" s="3887"/>
      <c r="F241" s="3887"/>
      <c r="G241" s="3887"/>
      <c r="H241" s="3887"/>
      <c r="I241" s="3887"/>
      <c r="J241" s="3887"/>
      <c r="K241" s="3888"/>
      <c r="L241" s="3889"/>
      <c r="M241" s="3887"/>
      <c r="N241" s="3887"/>
      <c r="O241" s="3887"/>
      <c r="P241" s="3887"/>
      <c r="Q241" s="3887"/>
      <c r="R241" s="3887"/>
      <c r="S241" s="3887"/>
      <c r="T241" s="3887"/>
      <c r="U241" s="3887"/>
      <c r="V241" s="3887"/>
      <c r="W241" s="3887"/>
      <c r="X241" s="3887"/>
      <c r="Y241" s="3887"/>
      <c r="Z241" s="3887"/>
      <c r="AA241" s="3887"/>
      <c r="AB241" s="3887"/>
      <c r="AC241" s="3887"/>
    </row>
    <row r="242" spans="1:29" s="3890" customFormat="1">
      <c r="A242" s="3887"/>
      <c r="B242" s="3887"/>
      <c r="C242" s="3887"/>
      <c r="D242" s="3887"/>
      <c r="E242" s="3887"/>
      <c r="F242" s="3887"/>
      <c r="G242" s="3887"/>
      <c r="H242" s="3887"/>
      <c r="I242" s="3887"/>
      <c r="J242" s="3887"/>
      <c r="K242" s="3888"/>
      <c r="L242" s="3889"/>
      <c r="M242" s="3887"/>
      <c r="N242" s="3887"/>
      <c r="O242" s="3887"/>
      <c r="P242" s="3887"/>
      <c r="Q242" s="3887"/>
      <c r="R242" s="3887"/>
      <c r="S242" s="3887"/>
      <c r="T242" s="3887"/>
      <c r="U242" s="3887"/>
      <c r="V242" s="3887"/>
      <c r="W242" s="3887"/>
      <c r="X242" s="3887"/>
      <c r="Y242" s="3887"/>
      <c r="Z242" s="3887"/>
      <c r="AA242" s="3887"/>
      <c r="AB242" s="3887"/>
      <c r="AC242" s="3887"/>
    </row>
    <row r="243" spans="1:29" s="3890" customFormat="1">
      <c r="A243" s="3887"/>
      <c r="B243" s="3887"/>
      <c r="C243" s="3887"/>
      <c r="D243" s="3887"/>
      <c r="E243" s="3887"/>
      <c r="F243" s="3887"/>
      <c r="G243" s="3887"/>
      <c r="H243" s="3887"/>
      <c r="I243" s="3887"/>
      <c r="J243" s="3887"/>
      <c r="K243" s="3888"/>
      <c r="L243" s="3889"/>
      <c r="M243" s="3887"/>
      <c r="N243" s="3887"/>
      <c r="O243" s="3887"/>
      <c r="P243" s="3887"/>
      <c r="Q243" s="3887"/>
      <c r="R243" s="3887"/>
      <c r="S243" s="3887"/>
      <c r="T243" s="3887"/>
      <c r="U243" s="3887"/>
      <c r="V243" s="3887"/>
      <c r="W243" s="3887"/>
      <c r="X243" s="3887"/>
      <c r="Y243" s="3887"/>
      <c r="Z243" s="3887"/>
      <c r="AA243" s="3887"/>
      <c r="AB243" s="3887"/>
      <c r="AC243" s="3887"/>
    </row>
    <row r="244" spans="1:29" s="3890" customFormat="1">
      <c r="A244" s="3887"/>
      <c r="B244" s="3887"/>
      <c r="C244" s="3887"/>
      <c r="D244" s="3887"/>
      <c r="E244" s="3887"/>
      <c r="F244" s="3887"/>
      <c r="G244" s="3887"/>
      <c r="H244" s="3887"/>
      <c r="I244" s="3887"/>
      <c r="J244" s="3887"/>
      <c r="K244" s="3888"/>
      <c r="L244" s="3889"/>
      <c r="M244" s="3887"/>
      <c r="N244" s="3887"/>
      <c r="O244" s="3887"/>
      <c r="P244" s="3887"/>
      <c r="Q244" s="3887"/>
      <c r="R244" s="3887"/>
      <c r="S244" s="3887"/>
      <c r="T244" s="3887"/>
      <c r="U244" s="3887"/>
      <c r="V244" s="3887"/>
      <c r="W244" s="3887"/>
      <c r="X244" s="3887"/>
      <c r="Y244" s="3887"/>
      <c r="Z244" s="3887"/>
      <c r="AA244" s="3887"/>
      <c r="AB244" s="3887"/>
      <c r="AC244" s="3887"/>
    </row>
    <row r="245" spans="1:29" s="3890" customFormat="1">
      <c r="A245" s="3887"/>
      <c r="B245" s="3887"/>
      <c r="C245" s="3887"/>
      <c r="D245" s="3887"/>
      <c r="E245" s="3887"/>
      <c r="F245" s="3887"/>
      <c r="G245" s="3887"/>
      <c r="H245" s="3887"/>
      <c r="I245" s="3887"/>
      <c r="J245" s="3887"/>
      <c r="K245" s="3888"/>
      <c r="L245" s="3889"/>
      <c r="M245" s="3887"/>
      <c r="N245" s="3887"/>
      <c r="O245" s="3887"/>
      <c r="P245" s="3887"/>
      <c r="Q245" s="3887"/>
      <c r="R245" s="3887"/>
      <c r="S245" s="3887"/>
      <c r="T245" s="3887"/>
      <c r="U245" s="3887"/>
      <c r="V245" s="3887"/>
      <c r="W245" s="3887"/>
      <c r="X245" s="3887"/>
      <c r="Y245" s="3887"/>
      <c r="Z245" s="3887"/>
      <c r="AA245" s="3887"/>
      <c r="AB245" s="3887"/>
      <c r="AC245" s="3887"/>
    </row>
    <row r="246" spans="1:29" s="3890" customFormat="1">
      <c r="A246" s="3887"/>
      <c r="B246" s="3887"/>
      <c r="C246" s="3887"/>
      <c r="D246" s="3887"/>
      <c r="E246" s="3887"/>
      <c r="F246" s="3887"/>
      <c r="G246" s="3887"/>
      <c r="H246" s="3887"/>
      <c r="I246" s="3887"/>
      <c r="J246" s="3887"/>
      <c r="K246" s="3888"/>
      <c r="L246" s="3889"/>
      <c r="M246" s="3887"/>
      <c r="N246" s="3887"/>
      <c r="O246" s="3887"/>
      <c r="P246" s="3887"/>
      <c r="Q246" s="3887"/>
      <c r="R246" s="3887"/>
      <c r="S246" s="3887"/>
      <c r="T246" s="3887"/>
      <c r="U246" s="3887"/>
      <c r="V246" s="3887"/>
      <c r="W246" s="3887"/>
      <c r="X246" s="3887"/>
      <c r="Y246" s="3887"/>
      <c r="Z246" s="3887"/>
      <c r="AA246" s="3887"/>
      <c r="AB246" s="3887"/>
      <c r="AC246" s="3887"/>
    </row>
    <row r="247" spans="1:29" s="3890" customFormat="1">
      <c r="A247" s="3887"/>
      <c r="B247" s="3887"/>
      <c r="C247" s="3887"/>
      <c r="D247" s="3887"/>
      <c r="E247" s="3887"/>
      <c r="F247" s="3887"/>
      <c r="G247" s="3887"/>
      <c r="H247" s="3887"/>
      <c r="I247" s="3887"/>
      <c r="J247" s="3887"/>
      <c r="K247" s="3888"/>
      <c r="L247" s="3889"/>
      <c r="M247" s="3887"/>
      <c r="N247" s="3887"/>
      <c r="O247" s="3887"/>
      <c r="P247" s="3887"/>
      <c r="Q247" s="3887"/>
      <c r="R247" s="3887"/>
      <c r="S247" s="3887"/>
      <c r="T247" s="3887"/>
      <c r="U247" s="3887"/>
      <c r="V247" s="3887"/>
      <c r="W247" s="3887"/>
      <c r="X247" s="3887"/>
      <c r="Y247" s="3887"/>
      <c r="Z247" s="3887"/>
      <c r="AA247" s="3887"/>
      <c r="AB247" s="3887"/>
      <c r="AC247" s="3887"/>
    </row>
    <row r="248" spans="1:29" s="3890" customFormat="1">
      <c r="A248" s="3887"/>
      <c r="B248" s="3887"/>
      <c r="C248" s="3887"/>
      <c r="D248" s="3887"/>
      <c r="E248" s="3887"/>
      <c r="F248" s="3887"/>
      <c r="G248" s="3887"/>
      <c r="H248" s="3887"/>
      <c r="I248" s="3887"/>
      <c r="J248" s="3887"/>
      <c r="K248" s="3888"/>
      <c r="L248" s="3889"/>
      <c r="M248" s="3887"/>
      <c r="N248" s="3887"/>
      <c r="O248" s="3887"/>
      <c r="P248" s="3887"/>
      <c r="Q248" s="3887"/>
      <c r="R248" s="3887"/>
      <c r="S248" s="3887"/>
      <c r="T248" s="3887"/>
      <c r="U248" s="3887"/>
      <c r="V248" s="3887"/>
      <c r="W248" s="3887"/>
      <c r="X248" s="3887"/>
      <c r="Y248" s="3887"/>
      <c r="Z248" s="3887"/>
      <c r="AA248" s="3887"/>
      <c r="AB248" s="3887"/>
      <c r="AC248" s="3887"/>
    </row>
    <row r="249" spans="1:29" s="3890" customFormat="1">
      <c r="A249" s="3887"/>
      <c r="B249" s="3887"/>
      <c r="C249" s="3887"/>
      <c r="D249" s="3887"/>
      <c r="E249" s="3887"/>
      <c r="F249" s="3887"/>
      <c r="G249" s="3887"/>
      <c r="H249" s="3887"/>
      <c r="I249" s="3887"/>
      <c r="J249" s="3887"/>
      <c r="K249" s="3888"/>
      <c r="L249" s="3889"/>
      <c r="M249" s="3887"/>
      <c r="N249" s="3887"/>
      <c r="O249" s="3887"/>
      <c r="P249" s="3887"/>
      <c r="Q249" s="3887"/>
      <c r="R249" s="3887"/>
      <c r="S249" s="3887"/>
      <c r="T249" s="3887"/>
      <c r="U249" s="3887"/>
      <c r="V249" s="3887"/>
      <c r="W249" s="3887"/>
      <c r="X249" s="3887"/>
      <c r="Y249" s="3887"/>
      <c r="Z249" s="3887"/>
      <c r="AA249" s="3887"/>
      <c r="AB249" s="3887"/>
      <c r="AC249" s="3887"/>
    </row>
    <row r="250" spans="1:29" s="3890" customFormat="1">
      <c r="A250" s="3887"/>
      <c r="B250" s="3887"/>
      <c r="C250" s="3887"/>
      <c r="D250" s="3887"/>
      <c r="E250" s="3887"/>
      <c r="F250" s="3887"/>
      <c r="G250" s="3887"/>
      <c r="H250" s="3887"/>
      <c r="I250" s="3887"/>
      <c r="J250" s="3887"/>
      <c r="K250" s="3888"/>
      <c r="L250" s="3889"/>
      <c r="M250" s="3887"/>
      <c r="N250" s="3887"/>
      <c r="O250" s="3887"/>
      <c r="P250" s="3887"/>
      <c r="Q250" s="3887"/>
      <c r="R250" s="3887"/>
      <c r="S250" s="3887"/>
      <c r="T250" s="3887"/>
      <c r="U250" s="3887"/>
      <c r="V250" s="3887"/>
      <c r="W250" s="3887"/>
      <c r="X250" s="3887"/>
      <c r="Y250" s="3887"/>
      <c r="Z250" s="3887"/>
      <c r="AA250" s="3887"/>
      <c r="AB250" s="3887"/>
      <c r="AC250" s="3887"/>
    </row>
    <row r="251" spans="1:29" s="3890" customFormat="1">
      <c r="A251" s="3887"/>
      <c r="B251" s="3887"/>
      <c r="C251" s="3887"/>
      <c r="D251" s="3887"/>
      <c r="E251" s="3887"/>
      <c r="F251" s="3887"/>
      <c r="G251" s="3887"/>
      <c r="H251" s="3887"/>
      <c r="I251" s="3887"/>
      <c r="J251" s="3887"/>
      <c r="K251" s="3888"/>
      <c r="L251" s="3889"/>
      <c r="M251" s="3887"/>
      <c r="N251" s="3887"/>
      <c r="O251" s="3887"/>
      <c r="P251" s="3887"/>
      <c r="Q251" s="3887"/>
      <c r="R251" s="3887"/>
      <c r="S251" s="3887"/>
      <c r="T251" s="3887"/>
      <c r="U251" s="3887"/>
      <c r="V251" s="3887"/>
      <c r="W251" s="3887"/>
      <c r="X251" s="3887"/>
      <c r="Y251" s="3887"/>
      <c r="Z251" s="3887"/>
      <c r="AA251" s="3887"/>
      <c r="AB251" s="3887"/>
      <c r="AC251" s="3887"/>
    </row>
    <row r="252" spans="1:29" s="3890" customFormat="1">
      <c r="A252" s="3887"/>
      <c r="B252" s="3887"/>
      <c r="C252" s="3887"/>
      <c r="D252" s="3887"/>
      <c r="E252" s="3887"/>
      <c r="F252" s="3887"/>
      <c r="G252" s="3887"/>
      <c r="H252" s="3887"/>
      <c r="I252" s="3887"/>
      <c r="J252" s="3887"/>
      <c r="K252" s="3888"/>
      <c r="L252" s="3889"/>
      <c r="M252" s="3887"/>
      <c r="N252" s="3887"/>
      <c r="O252" s="3887"/>
      <c r="P252" s="3887"/>
      <c r="Q252" s="3887"/>
      <c r="R252" s="3887"/>
      <c r="S252" s="3887"/>
      <c r="T252" s="3887"/>
      <c r="U252" s="3887"/>
      <c r="V252" s="3887"/>
      <c r="W252" s="3887"/>
      <c r="X252" s="3887"/>
      <c r="Y252" s="3887"/>
      <c r="Z252" s="3887"/>
      <c r="AA252" s="3887"/>
      <c r="AB252" s="3887"/>
      <c r="AC252" s="3887"/>
    </row>
    <row r="253" spans="1:29" s="3890" customFormat="1">
      <c r="A253" s="3887"/>
      <c r="B253" s="3887"/>
      <c r="C253" s="3887"/>
      <c r="D253" s="3887"/>
      <c r="E253" s="3887"/>
      <c r="F253" s="3887"/>
      <c r="G253" s="3887"/>
      <c r="H253" s="3887"/>
      <c r="I253" s="3887"/>
      <c r="J253" s="3887"/>
      <c r="K253" s="3888"/>
      <c r="L253" s="3889"/>
      <c r="M253" s="3887"/>
      <c r="N253" s="3887"/>
      <c r="O253" s="3887"/>
      <c r="P253" s="3887"/>
      <c r="Q253" s="3887"/>
      <c r="R253" s="3887"/>
      <c r="S253" s="3887"/>
      <c r="T253" s="3887"/>
      <c r="U253" s="3887"/>
      <c r="V253" s="3887"/>
      <c r="W253" s="3887"/>
      <c r="X253" s="3887"/>
      <c r="Y253" s="3887"/>
      <c r="Z253" s="3887"/>
      <c r="AA253" s="3887"/>
      <c r="AB253" s="3887"/>
      <c r="AC253" s="3887"/>
    </row>
    <row r="254" spans="1:29" s="3890" customFormat="1">
      <c r="A254" s="3887"/>
      <c r="B254" s="3887"/>
      <c r="C254" s="3887"/>
      <c r="D254" s="3887"/>
      <c r="E254" s="3887"/>
      <c r="F254" s="3887"/>
      <c r="G254" s="3887"/>
      <c r="H254" s="3887"/>
      <c r="I254" s="3887"/>
      <c r="J254" s="3887"/>
      <c r="K254" s="3888"/>
      <c r="L254" s="3889"/>
      <c r="M254" s="3887"/>
      <c r="N254" s="3887"/>
      <c r="O254" s="3887"/>
      <c r="P254" s="3887"/>
      <c r="Q254" s="3887"/>
      <c r="R254" s="3887"/>
      <c r="S254" s="3887"/>
      <c r="T254" s="3887"/>
      <c r="U254" s="3887"/>
      <c r="V254" s="3887"/>
      <c r="W254" s="3887"/>
      <c r="X254" s="3887"/>
      <c r="Y254" s="3887"/>
      <c r="Z254" s="3887"/>
      <c r="AA254" s="3887"/>
      <c r="AB254" s="3887"/>
      <c r="AC254" s="3887"/>
    </row>
    <row r="255" spans="1:29" s="3890" customFormat="1">
      <c r="A255" s="3887"/>
      <c r="B255" s="3887"/>
      <c r="C255" s="3887"/>
      <c r="D255" s="3887"/>
      <c r="E255" s="3887"/>
      <c r="F255" s="3887"/>
      <c r="G255" s="3887"/>
      <c r="H255" s="3887"/>
      <c r="I255" s="3887"/>
      <c r="J255" s="3887"/>
      <c r="K255" s="3888"/>
      <c r="L255" s="3889"/>
      <c r="M255" s="3887"/>
      <c r="N255" s="3887"/>
      <c r="O255" s="3887"/>
      <c r="P255" s="3887"/>
      <c r="Q255" s="3887"/>
      <c r="R255" s="3887"/>
      <c r="S255" s="3887"/>
      <c r="T255" s="3887"/>
      <c r="U255" s="3887"/>
      <c r="V255" s="3887"/>
      <c r="W255" s="3887"/>
      <c r="X255" s="3887"/>
      <c r="Y255" s="3887"/>
      <c r="Z255" s="3887"/>
      <c r="AA255" s="3887"/>
      <c r="AB255" s="3887"/>
      <c r="AC255" s="3887"/>
    </row>
    <row r="256" spans="1:29" s="3890" customFormat="1">
      <c r="K256" s="3891"/>
      <c r="L256" s="3892"/>
    </row>
    <row r="257" spans="11:12" s="3890" customFormat="1">
      <c r="K257" s="3891"/>
      <c r="L257" s="3892"/>
    </row>
    <row r="258" spans="11:12" s="3890" customFormat="1">
      <c r="K258" s="3891"/>
      <c r="L258" s="3892"/>
    </row>
    <row r="259" spans="11:12" s="3890" customFormat="1">
      <c r="K259" s="3891"/>
      <c r="L259" s="3892"/>
    </row>
  </sheetData>
  <sheetProtection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4" type="noConversion"/>
  <conditionalFormatting sqref="F53 H53 J53">
    <cfRule type="containsText" dxfId="198" priority="14" stopIfTrue="1" operator="containsText" text="超过">
      <formula>NOT(ISERROR(SEARCH("超过",F53)))</formula>
    </cfRule>
  </conditionalFormatting>
  <conditionalFormatting sqref="J55">
    <cfRule type="containsText" dxfId="197" priority="13" stopIfTrue="1" operator="containsText" text="超过">
      <formula>NOT(ISERROR(SEARCH("超过",J55)))</formula>
    </cfRule>
  </conditionalFormatting>
  <conditionalFormatting sqref="H55">
    <cfRule type="containsText" dxfId="196" priority="12" stopIfTrue="1" operator="containsText" text="超过">
      <formula>NOT(ISERROR(SEARCH("超过",H55)))</formula>
    </cfRule>
  </conditionalFormatting>
  <conditionalFormatting sqref="F55">
    <cfRule type="containsText" dxfId="195" priority="11" stopIfTrue="1" operator="containsText" text="超过">
      <formula>NOT(ISERROR(SEARCH("超过",F55)))</formula>
    </cfRule>
  </conditionalFormatting>
  <conditionalFormatting sqref="F54 H54 J54">
    <cfRule type="containsText" dxfId="194" priority="10" stopIfTrue="1" operator="containsText" text="超过">
      <formula>NOT(ISERROR(SEARCH("超过",F54)))</formula>
    </cfRule>
  </conditionalFormatting>
  <conditionalFormatting sqref="E53">
    <cfRule type="expression" dxfId="193" priority="9" stopIfTrue="1">
      <formula>$F$53="超过30%"</formula>
    </cfRule>
  </conditionalFormatting>
  <conditionalFormatting sqref="G55">
    <cfRule type="expression" dxfId="192" priority="8" stopIfTrue="1">
      <formula>$H$55="超过30%"</formula>
    </cfRule>
  </conditionalFormatting>
  <conditionalFormatting sqref="E54">
    <cfRule type="expression" dxfId="191" priority="7" stopIfTrue="1">
      <formula>$F$54="超过20%"</formula>
    </cfRule>
  </conditionalFormatting>
  <conditionalFormatting sqref="E55">
    <cfRule type="expression" dxfId="190" priority="6" stopIfTrue="1">
      <formula>$F$55="超过30%"</formula>
    </cfRule>
  </conditionalFormatting>
  <conditionalFormatting sqref="G53">
    <cfRule type="expression" dxfId="189" priority="5" stopIfTrue="1">
      <formula>$H$55+$H$53="超过30%"</formula>
    </cfRule>
  </conditionalFormatting>
  <conditionalFormatting sqref="G54">
    <cfRule type="expression" dxfId="188" priority="4" stopIfTrue="1">
      <formula>$H$54="超过20%"</formula>
    </cfRule>
  </conditionalFormatting>
  <conditionalFormatting sqref="I53">
    <cfRule type="expression" dxfId="187" priority="3" stopIfTrue="1">
      <formula>$J$53="超过30%"</formula>
    </cfRule>
  </conditionalFormatting>
  <conditionalFormatting sqref="I54">
    <cfRule type="expression" dxfId="186" priority="2" stopIfTrue="1">
      <formula>$J$54="超过20%"</formula>
    </cfRule>
  </conditionalFormatting>
  <conditionalFormatting sqref="I55">
    <cfRule type="expression" dxfId="185"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6" sqref="E26"/>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212563</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4756</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5182</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345</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212" t="s">
        <v>522</v>
      </c>
      <c r="D6" s="4213"/>
      <c r="E6" s="4212" t="s">
        <v>523</v>
      </c>
      <c r="F6" s="4213"/>
      <c r="G6" s="4212" t="s">
        <v>524</v>
      </c>
      <c r="H6" s="4213"/>
      <c r="I6" s="4212" t="s">
        <v>525</v>
      </c>
      <c r="J6" s="4213"/>
      <c r="K6" s="512" t="s">
        <v>526</v>
      </c>
      <c r="L6" s="2131"/>
      <c r="M6" s="2130"/>
      <c r="N6" s="2130"/>
      <c r="O6" s="2132"/>
      <c r="P6" s="4214" t="s">
        <v>527</v>
      </c>
      <c r="Q6" s="4215"/>
      <c r="R6" s="4200" t="s">
        <v>523</v>
      </c>
      <c r="S6" s="4201"/>
      <c r="T6" s="4200" t="s">
        <v>524</v>
      </c>
      <c r="U6" s="4201"/>
      <c r="V6" s="4220" t="s">
        <v>525</v>
      </c>
      <c r="W6" s="4220"/>
      <c r="X6" s="1564"/>
      <c r="Y6" s="4200" t="s">
        <v>527</v>
      </c>
      <c r="Z6" s="4201"/>
      <c r="AA6" s="4195" t="s">
        <v>523</v>
      </c>
      <c r="AB6" s="4196" t="s">
        <v>524</v>
      </c>
      <c r="AC6" s="4195" t="s">
        <v>525</v>
      </c>
    </row>
    <row r="7" spans="1:30" ht="39" customHeight="1">
      <c r="A7" s="513"/>
      <c r="B7" s="514"/>
      <c r="C7" s="4223" t="s">
        <v>2917</v>
      </c>
      <c r="D7" s="4224"/>
      <c r="E7" s="4223" t="str">
        <f>住宅用地案例!A6</f>
        <v>都江堰市青城山镇芒城社区</v>
      </c>
      <c r="F7" s="4224"/>
      <c r="G7" s="4223" t="str">
        <f>住宅用地案例!A11</f>
        <v>都江堰市奎光塔街道勤俭人家社区、聚源镇大合社区</v>
      </c>
      <c r="H7" s="4224"/>
      <c r="I7" s="4223" t="str">
        <f>住宅用地案例!A13</f>
        <v>都江堰市奎光塔街道勤俭人家社区、聚源镇大合社区</v>
      </c>
      <c r="J7" s="4224"/>
      <c r="K7" s="512"/>
      <c r="L7" s="2131"/>
      <c r="M7" s="2130"/>
      <c r="N7" s="2130"/>
      <c r="O7" s="2132"/>
      <c r="P7" s="4216"/>
      <c r="Q7" s="4217"/>
      <c r="R7" s="4202"/>
      <c r="S7" s="4203"/>
      <c r="T7" s="4202"/>
      <c r="U7" s="4203"/>
      <c r="V7" s="4220"/>
      <c r="W7" s="4220"/>
      <c r="X7" s="1564"/>
      <c r="Y7" s="4202"/>
      <c r="Z7" s="4203"/>
      <c r="AA7" s="4196"/>
      <c r="AB7" s="4196"/>
      <c r="AC7" s="4196"/>
    </row>
    <row r="8" spans="1:30" ht="21" thickBot="1">
      <c r="A8" s="513"/>
      <c r="B8" s="514"/>
      <c r="C8" s="4225" t="s">
        <v>2921</v>
      </c>
      <c r="D8" s="4226"/>
      <c r="E8" s="4225" t="str">
        <f>住宅用地案例!F6</f>
        <v>DJY2017-15(0701/05)</v>
      </c>
      <c r="F8" s="4226"/>
      <c r="G8" s="4221" t="str">
        <f>住宅用地案例!F11</f>
        <v>DJY2017-20(0701/05)</v>
      </c>
      <c r="H8" s="4222"/>
      <c r="I8" s="4221" t="str">
        <f>住宅用地案例!F13</f>
        <v>DJY2017-17(0701/05)</v>
      </c>
      <c r="J8" s="4222"/>
      <c r="K8" s="512" t="s">
        <v>528</v>
      </c>
      <c r="L8" s="2131"/>
      <c r="M8" s="2130"/>
      <c r="N8" s="2130"/>
      <c r="O8" s="2132"/>
      <c r="P8" s="4218"/>
      <c r="Q8" s="4219"/>
      <c r="R8" s="4202"/>
      <c r="S8" s="4203"/>
      <c r="T8" s="4204"/>
      <c r="U8" s="4205"/>
      <c r="V8" s="4220"/>
      <c r="W8" s="4220"/>
      <c r="X8" s="1564"/>
      <c r="Y8" s="4204"/>
      <c r="Z8" s="4205"/>
      <c r="AA8" s="4197"/>
      <c r="AB8" s="4197"/>
      <c r="AC8" s="4197"/>
    </row>
    <row r="9" spans="1:30" s="1218" customFormat="1" ht="21" thickBot="1">
      <c r="A9" s="2934"/>
      <c r="B9" s="2941" t="s">
        <v>529</v>
      </c>
      <c r="C9" s="2933">
        <f>'数据-取费表'!B2</f>
        <v>43251</v>
      </c>
      <c r="D9" s="518">
        <v>100</v>
      </c>
      <c r="E9" s="519" t="str">
        <f>住宅用地案例!L6</f>
        <v>2018-01-02</v>
      </c>
      <c r="F9" s="520">
        <f>SUMIF(72:72,YEAR(E9)&amp;"-"&amp;INT((MONTH(E9)+2)/3),73:73)</f>
        <v>99</v>
      </c>
      <c r="G9" s="521" t="str">
        <f>住宅用地案例!L11</f>
        <v>2018-01-02</v>
      </c>
      <c r="H9" s="518">
        <f>SUMIF(72:72,YEAR(G9)&amp;"-"&amp;INT((MONTH(G9)+2)/3),73:73)</f>
        <v>99</v>
      </c>
      <c r="I9" s="521" t="str">
        <f>住宅用地案例!L13</f>
        <v>2018-01-02</v>
      </c>
      <c r="J9" s="518">
        <f>SUMIF(72:72,YEAR(I9)&amp;"-"&amp;INT((MONTH(I9)+2)/3),73:73)</f>
        <v>99</v>
      </c>
      <c r="K9" s="522"/>
      <c r="L9" s="2133"/>
      <c r="M9" s="2130"/>
      <c r="N9" s="2130"/>
      <c r="O9" s="2134"/>
      <c r="P9" s="4198" t="s">
        <v>530</v>
      </c>
      <c r="Q9" s="4207"/>
      <c r="R9" s="1565" t="s">
        <v>8</v>
      </c>
      <c r="S9" s="1566">
        <f t="shared" ref="S9:S17" si="0">F9</f>
        <v>99</v>
      </c>
      <c r="T9" s="1565" t="s">
        <v>8</v>
      </c>
      <c r="U9" s="1566">
        <f t="shared" ref="U9:U17" si="1">H9</f>
        <v>99</v>
      </c>
      <c r="V9" s="1565" t="s">
        <v>8</v>
      </c>
      <c r="W9" s="1566">
        <f t="shared" ref="W9:W17" si="2">J9</f>
        <v>99</v>
      </c>
      <c r="X9" s="1567"/>
      <c r="Y9" s="4198" t="s">
        <v>530</v>
      </c>
      <c r="Z9" s="4199"/>
      <c r="AA9" s="1568">
        <f>D9/F9</f>
        <v>1.0101010101010102</v>
      </c>
      <c r="AB9" s="1568">
        <f>D9/H9</f>
        <v>1.0101010101010102</v>
      </c>
      <c r="AC9" s="1568">
        <f>D9/J9</f>
        <v>1.0101010101010102</v>
      </c>
    </row>
    <row r="10" spans="1:30" s="1218" customFormat="1" ht="21" thickBot="1">
      <c r="A10" s="2935"/>
      <c r="B10" s="2942" t="s">
        <v>531</v>
      </c>
      <c r="C10" s="854" t="s">
        <v>532</v>
      </c>
      <c r="D10" s="518">
        <v>100</v>
      </c>
      <c r="E10" s="523" t="s">
        <v>4357</v>
      </c>
      <c r="F10" s="520">
        <f>SUMIF(75:75,E10,76:76)-SUMIF(75:75,C10,76:76)+100</f>
        <v>100</v>
      </c>
      <c r="G10" s="523" t="s">
        <v>4357</v>
      </c>
      <c r="H10" s="518">
        <f>SUMIF(75:75,G10,76:76)-SUMIF(75:75,C10,76:76)+100</f>
        <v>100</v>
      </c>
      <c r="I10" s="523" t="s">
        <v>4357</v>
      </c>
      <c r="J10" s="518">
        <f>SUMIF(75:75,I10,76:76)-SUMIF(75:75,C10,76:76)+100</f>
        <v>100</v>
      </c>
      <c r="K10" s="522"/>
      <c r="L10" s="2133"/>
      <c r="M10" s="2130"/>
      <c r="N10" s="2130"/>
      <c r="O10" s="2134"/>
      <c r="P10" s="4198" t="s">
        <v>533</v>
      </c>
      <c r="Q10" s="4199"/>
      <c r="R10" s="1565" t="s">
        <v>8</v>
      </c>
      <c r="S10" s="1566">
        <f t="shared" si="0"/>
        <v>100</v>
      </c>
      <c r="T10" s="1565" t="s">
        <v>8</v>
      </c>
      <c r="U10" s="1566">
        <f t="shared" si="1"/>
        <v>100</v>
      </c>
      <c r="V10" s="1565" t="s">
        <v>8</v>
      </c>
      <c r="W10" s="1566">
        <f t="shared" si="2"/>
        <v>100</v>
      </c>
      <c r="X10" s="1567"/>
      <c r="Y10" s="4198" t="s">
        <v>533</v>
      </c>
      <c r="Z10" s="4199"/>
      <c r="AA10" s="1568">
        <f t="shared" ref="AA10:AA47" si="3">D10/F10</f>
        <v>1</v>
      </c>
      <c r="AB10" s="1568">
        <f t="shared" ref="AB10:AB47" si="4">D10/H10</f>
        <v>1</v>
      </c>
      <c r="AC10" s="1568">
        <f t="shared" ref="AC10:AC47" si="5">D10/J10</f>
        <v>1</v>
      </c>
    </row>
    <row r="11" spans="1:30" s="1218" customFormat="1" ht="20.25">
      <c r="A11" s="2936"/>
      <c r="B11" s="2943" t="s">
        <v>2755</v>
      </c>
      <c r="C11" s="2930" t="s">
        <v>922</v>
      </c>
      <c r="D11" s="252">
        <v>100</v>
      </c>
      <c r="E11" s="524" t="s">
        <v>3053</v>
      </c>
      <c r="F11" s="252">
        <f>SUMIF(77:77,E11,78:78)-SUMIF(77:77,C11,78:78)+100</f>
        <v>100</v>
      </c>
      <c r="G11" s="524" t="s">
        <v>3053</v>
      </c>
      <c r="H11" s="252">
        <f>SUMIF(77:77,G11,78:78)-SUMIF(77:77,C11,78:78)+100</f>
        <v>100</v>
      </c>
      <c r="I11" s="524" t="s">
        <v>3053</v>
      </c>
      <c r="J11" s="252">
        <f>SUMIF(77:77,I11,78:78)-SUMIF(77:77,C11,78:78)+100</f>
        <v>100</v>
      </c>
      <c r="K11" s="522"/>
      <c r="L11" s="2133"/>
      <c r="M11" s="2130"/>
      <c r="N11" s="2130"/>
      <c r="O11" s="2135"/>
      <c r="P11" s="4206" t="s">
        <v>535</v>
      </c>
      <c r="Q11" s="1149" t="str">
        <f t="shared" ref="Q11:Q17" si="6">B11</f>
        <v>用途</v>
      </c>
      <c r="R11" s="1565" t="s">
        <v>8</v>
      </c>
      <c r="S11" s="1566">
        <f t="shared" si="0"/>
        <v>100</v>
      </c>
      <c r="T11" s="1565" t="s">
        <v>8</v>
      </c>
      <c r="U11" s="1566">
        <f t="shared" si="1"/>
        <v>100</v>
      </c>
      <c r="V11" s="1565" t="s">
        <v>8</v>
      </c>
      <c r="W11" s="1566">
        <f t="shared" si="2"/>
        <v>100</v>
      </c>
      <c r="X11" s="1567"/>
      <c r="Y11" s="4121" t="s">
        <v>536</v>
      </c>
      <c r="Z11" s="1148" t="str">
        <f t="shared" ref="Z11:Z17" si="7">Q11</f>
        <v>用途</v>
      </c>
      <c r="AA11" s="1568">
        <f t="shared" si="3"/>
        <v>1</v>
      </c>
      <c r="AB11" s="1568">
        <f t="shared" si="4"/>
        <v>1</v>
      </c>
      <c r="AC11" s="1568">
        <f t="shared" si="5"/>
        <v>1</v>
      </c>
    </row>
    <row r="12" spans="1:30" s="1336" customFormat="1" ht="27">
      <c r="A12" s="2937"/>
      <c r="B12" s="2942" t="s">
        <v>2756</v>
      </c>
      <c r="C12" s="908">
        <f>项目基本情况!D19</f>
        <v>63.79</v>
      </c>
      <c r="D12" s="253">
        <v>100</v>
      </c>
      <c r="E12" s="527" t="s">
        <v>4431</v>
      </c>
      <c r="F12" s="3458">
        <f>ROUND((1-1/(1+'数据-取费表'!H9)^'比较法-住宅用途（地面价）'!E12)/(1-1/(1+'数据-取费表'!H9)^'比较法-住宅用途（地面价）'!C12)*100,2)</f>
        <v>101.54</v>
      </c>
      <c r="G12" s="528" t="s">
        <v>4432</v>
      </c>
      <c r="H12" s="253">
        <f>ROUND((1-1/(1+'数据-取费表'!H9)^'比较法-住宅用途（地面价）'!E12)/(1-1/(1+'数据-取费表'!H9)^'比较法-住宅用途（地面价）'!C12)*100,2)</f>
        <v>101.54</v>
      </c>
      <c r="I12" s="528" t="s">
        <v>4432</v>
      </c>
      <c r="J12" s="253">
        <f>ROUND((1-1/(1+'数据-取费表'!H9)^'比较法-住宅用途（地面价）'!E12)/(1-1/(1+'数据-取费表'!H9)^'比较法-住宅用途（地面价）'!C12)*100,2)</f>
        <v>101.54</v>
      </c>
      <c r="K12" s="529"/>
      <c r="L12" s="2136"/>
      <c r="M12" s="2130"/>
      <c r="N12" s="2130"/>
      <c r="O12" s="2137"/>
      <c r="P12" s="4206"/>
      <c r="Q12" s="1149" t="str">
        <f t="shared" si="6"/>
        <v>土地使用年限（年）</v>
      </c>
      <c r="R12" s="1565" t="s">
        <v>8</v>
      </c>
      <c r="S12" s="1566">
        <f t="shared" si="0"/>
        <v>101.54</v>
      </c>
      <c r="T12" s="1565" t="s">
        <v>8</v>
      </c>
      <c r="U12" s="1566">
        <f t="shared" si="1"/>
        <v>101.54</v>
      </c>
      <c r="V12" s="1565" t="s">
        <v>8</v>
      </c>
      <c r="W12" s="1566">
        <f t="shared" si="2"/>
        <v>101.54</v>
      </c>
      <c r="X12" s="1567"/>
      <c r="Y12" s="4121"/>
      <c r="Z12" s="1148" t="str">
        <f t="shared" si="7"/>
        <v>土地使用年限（年）</v>
      </c>
      <c r="AA12" s="1568">
        <f t="shared" si="3"/>
        <v>0.98483356312783132</v>
      </c>
      <c r="AB12" s="1568">
        <f t="shared" si="4"/>
        <v>0.98483356312783132</v>
      </c>
      <c r="AC12" s="1568">
        <f t="shared" si="5"/>
        <v>0.98483356312783132</v>
      </c>
    </row>
    <row r="13" spans="1:30" ht="20.25">
      <c r="A13" s="2938"/>
      <c r="B13" s="2942" t="s">
        <v>2757</v>
      </c>
      <c r="C13" s="532">
        <v>1.1000000000000001</v>
      </c>
      <c r="D13" s="253">
        <v>100</v>
      </c>
      <c r="E13" s="531">
        <v>1.1000000000000001</v>
      </c>
      <c r="F13" s="253">
        <f>LOOKUP(E13,82:82,83:83)-LOOKUP(C13,82:82,83:83)+100</f>
        <v>100</v>
      </c>
      <c r="G13" s="532">
        <v>2</v>
      </c>
      <c r="H13" s="253">
        <f>LOOKUP(G13,82:82,83:83)-LOOKUP(C13,82:82,83:83)+100</f>
        <v>110</v>
      </c>
      <c r="I13" s="531">
        <v>2</v>
      </c>
      <c r="J13" s="253">
        <f>LOOKUP(I13,82:82,83:83)-LOOKUP(C13,82:82,83:83)+100</f>
        <v>110</v>
      </c>
      <c r="K13" s="533">
        <v>5</v>
      </c>
      <c r="L13" s="2138"/>
      <c r="M13" s="2130"/>
      <c r="N13" s="2130"/>
      <c r="O13" s="2139"/>
      <c r="P13" s="4206"/>
      <c r="Q13" s="1149" t="str">
        <f t="shared" si="6"/>
        <v>容积率</v>
      </c>
      <c r="R13" s="1565" t="s">
        <v>8</v>
      </c>
      <c r="S13" s="1566">
        <f t="shared" si="0"/>
        <v>100</v>
      </c>
      <c r="T13" s="1565" t="s">
        <v>8</v>
      </c>
      <c r="U13" s="1566">
        <f t="shared" si="1"/>
        <v>110</v>
      </c>
      <c r="V13" s="1565" t="s">
        <v>8</v>
      </c>
      <c r="W13" s="1566">
        <f t="shared" si="2"/>
        <v>110</v>
      </c>
      <c r="X13" s="1567"/>
      <c r="Y13" s="4121"/>
      <c r="Z13" s="1148" t="str">
        <f t="shared" si="7"/>
        <v>容积率</v>
      </c>
      <c r="AA13" s="1568">
        <f t="shared" si="3"/>
        <v>1</v>
      </c>
      <c r="AB13" s="1568">
        <f t="shared" si="4"/>
        <v>0.90909090909090906</v>
      </c>
      <c r="AC13" s="1568">
        <f t="shared" si="5"/>
        <v>0.90909090909090906</v>
      </c>
    </row>
    <row r="14" spans="1:30" s="1218" customFormat="1" ht="20.25">
      <c r="A14" s="2935"/>
      <c r="B14" s="2944" t="s">
        <v>2758</v>
      </c>
      <c r="C14" s="2931" t="s">
        <v>4417</v>
      </c>
      <c r="D14" s="536">
        <v>100</v>
      </c>
      <c r="E14" s="540" t="s">
        <v>4418</v>
      </c>
      <c r="F14" s="253">
        <f>SUMIF(84:84,E14,85:85)-SUMIF(84:84,C14,85:85)+100</f>
        <v>100</v>
      </c>
      <c r="G14" s="540" t="s">
        <v>4391</v>
      </c>
      <c r="H14" s="253">
        <f>SUMIF(84:84,G14,85:85)-SUMIF(84:84,C14,85:85)+100</f>
        <v>100</v>
      </c>
      <c r="I14" s="540" t="s">
        <v>4392</v>
      </c>
      <c r="J14" s="253">
        <f>SUMIF(84:84,I14,85:85)-SUMIF(84:84,C14,85:85)+100</f>
        <v>100</v>
      </c>
      <c r="K14" s="529"/>
      <c r="L14" s="2133"/>
      <c r="M14" s="2130"/>
      <c r="N14" s="2130"/>
      <c r="O14" s="2135"/>
      <c r="P14" s="4206"/>
      <c r="Q14" s="1149" t="str">
        <f t="shared" si="6"/>
        <v>配建</v>
      </c>
      <c r="R14" s="1565" t="s">
        <v>8</v>
      </c>
      <c r="S14" s="1566">
        <f t="shared" si="0"/>
        <v>100</v>
      </c>
      <c r="T14" s="1565" t="s">
        <v>8</v>
      </c>
      <c r="U14" s="1566">
        <f t="shared" si="1"/>
        <v>100</v>
      </c>
      <c r="V14" s="1565" t="s">
        <v>8</v>
      </c>
      <c r="W14" s="1566">
        <f t="shared" si="2"/>
        <v>100</v>
      </c>
      <c r="X14" s="1567"/>
      <c r="Y14" s="4121"/>
      <c r="Z14" s="1148" t="str">
        <f t="shared" si="7"/>
        <v>配建</v>
      </c>
      <c r="AA14" s="1568">
        <f>D14/F14</f>
        <v>1</v>
      </c>
      <c r="AB14" s="1568">
        <f>D14/H14</f>
        <v>1</v>
      </c>
      <c r="AC14" s="1568">
        <f>D14/J14</f>
        <v>1</v>
      </c>
    </row>
    <row r="15" spans="1:30" ht="21" thickBot="1">
      <c r="A15" s="2939"/>
      <c r="B15" s="2945"/>
      <c r="C15" s="910"/>
      <c r="D15" s="538">
        <v>100</v>
      </c>
      <c r="E15" s="540" t="s">
        <v>4416</v>
      </c>
      <c r="F15" s="253">
        <f>SUMIF(86:86,E15,87:87)-SUMIF(86:86,C15,87:87)+100</f>
        <v>100</v>
      </c>
      <c r="G15" s="540" t="s">
        <v>4416</v>
      </c>
      <c r="H15" s="538">
        <f>SUMIF(86:86,G15,87:87)-SUMIF(86:86,C15,87:87)+100</f>
        <v>100</v>
      </c>
      <c r="I15" s="540" t="s">
        <v>4416</v>
      </c>
      <c r="J15" s="538">
        <f>SUMIF(86:86,I15,87:87)-SUMIF(86:86,C15,87:87)+100</f>
        <v>100</v>
      </c>
      <c r="K15" s="529"/>
      <c r="L15" s="2140"/>
      <c r="M15" s="2130"/>
      <c r="N15" s="2130"/>
      <c r="O15" s="2139"/>
      <c r="P15" s="4206"/>
      <c r="Q15" s="1149">
        <f t="shared" si="6"/>
        <v>0</v>
      </c>
      <c r="R15" s="1565" t="s">
        <v>8</v>
      </c>
      <c r="S15" s="1566">
        <f t="shared" si="0"/>
        <v>100</v>
      </c>
      <c r="T15" s="1565" t="s">
        <v>8</v>
      </c>
      <c r="U15" s="1566">
        <f t="shared" si="1"/>
        <v>100</v>
      </c>
      <c r="V15" s="1565" t="s">
        <v>8</v>
      </c>
      <c r="W15" s="1566">
        <f t="shared" si="2"/>
        <v>100</v>
      </c>
      <c r="X15" s="1567"/>
      <c r="Y15" s="4121"/>
      <c r="Z15" s="1148">
        <f t="shared" si="7"/>
        <v>0</v>
      </c>
      <c r="AA15" s="1568">
        <f>D15/F15</f>
        <v>1</v>
      </c>
      <c r="AB15" s="1568">
        <f>D15/H15</f>
        <v>1</v>
      </c>
      <c r="AC15" s="1568">
        <f>D15/J15</f>
        <v>1</v>
      </c>
    </row>
    <row r="16" spans="1:30" ht="21" hidden="1" thickBot="1">
      <c r="A16" s="2940"/>
      <c r="B16" s="2946"/>
      <c r="C16" s="913"/>
      <c r="D16" s="544">
        <v>100</v>
      </c>
      <c r="E16" s="540"/>
      <c r="F16" s="544">
        <f>SUMIF(88:88,E16,89:89)-SUMIF(88:88,C16,89:89)+100</f>
        <v>100</v>
      </c>
      <c r="G16" s="540"/>
      <c r="H16" s="544">
        <f>SUMIF(88:88,G16,89:89)-SUMIF(88:88,C16,89:89)+100</f>
        <v>100</v>
      </c>
      <c r="I16" s="540"/>
      <c r="J16" s="544">
        <f>SUMIF(88:88,I16,89:89)-SUMIF(88:88,C16,89:89)+100</f>
        <v>100</v>
      </c>
      <c r="K16" s="529"/>
      <c r="L16" s="2140"/>
      <c r="M16" s="2130"/>
      <c r="N16" s="2130"/>
      <c r="O16" s="2139"/>
      <c r="P16" s="4206"/>
      <c r="Q16" s="1149">
        <f t="shared" si="6"/>
        <v>0</v>
      </c>
      <c r="R16" s="1565" t="s">
        <v>8</v>
      </c>
      <c r="S16" s="1566">
        <f t="shared" si="0"/>
        <v>100</v>
      </c>
      <c r="T16" s="1565" t="s">
        <v>8</v>
      </c>
      <c r="U16" s="1566">
        <f t="shared" si="1"/>
        <v>100</v>
      </c>
      <c r="V16" s="1565" t="s">
        <v>8</v>
      </c>
      <c r="W16" s="1566">
        <f t="shared" si="2"/>
        <v>100</v>
      </c>
      <c r="X16" s="1567"/>
      <c r="Y16" s="4121"/>
      <c r="Z16" s="1148">
        <f t="shared" si="7"/>
        <v>0</v>
      </c>
      <c r="AA16" s="1568">
        <f>D16/F16</f>
        <v>1</v>
      </c>
      <c r="AB16" s="1568">
        <f>D16/H16</f>
        <v>1</v>
      </c>
      <c r="AC16" s="1568">
        <f>D16/J16</f>
        <v>1</v>
      </c>
    </row>
    <row r="17" spans="1:29" ht="28.5">
      <c r="A17" s="2932" t="s">
        <v>2753</v>
      </c>
      <c r="B17" s="576" t="s">
        <v>295</v>
      </c>
      <c r="C17" s="546" t="str">
        <f>估价对象房地状况!C15</f>
        <v>周边居住用地比例、居住小区规模和社区发展完善程度</v>
      </c>
      <c r="D17" s="549">
        <v>100</v>
      </c>
      <c r="E17" s="550"/>
      <c r="F17" s="547">
        <f>SUMIF(90:90,E18,91:91)-SUMIF(90:90,C18,91:91)+100</f>
        <v>103</v>
      </c>
      <c r="G17" s="548"/>
      <c r="H17" s="547">
        <f>SUMIF(90:90,G18,91:91)-SUMIF(90:90,C18,91:91)+100</f>
        <v>103</v>
      </c>
      <c r="I17" s="550"/>
      <c r="J17" s="547">
        <f>SUMIF(90:90,I18,91:91)-SUMIF(90:90,C18,91:91)+100</f>
        <v>103</v>
      </c>
      <c r="K17" s="533">
        <v>3</v>
      </c>
      <c r="L17" s="2140"/>
      <c r="M17" s="2130"/>
      <c r="N17" s="2130"/>
      <c r="O17" s="2139"/>
      <c r="P17" s="4208" t="s">
        <v>540</v>
      </c>
      <c r="Q17" s="1569" t="str">
        <f t="shared" si="6"/>
        <v>居住社区成熟度</v>
      </c>
      <c r="R17" s="1570" t="s">
        <v>8</v>
      </c>
      <c r="S17" s="1571">
        <f t="shared" si="0"/>
        <v>103</v>
      </c>
      <c r="T17" s="1570" t="s">
        <v>8</v>
      </c>
      <c r="U17" s="1571">
        <f t="shared" si="1"/>
        <v>103</v>
      </c>
      <c r="V17" s="1570" t="s">
        <v>8</v>
      </c>
      <c r="W17" s="1571">
        <f t="shared" si="2"/>
        <v>103</v>
      </c>
      <c r="X17" s="1564"/>
      <c r="Y17" s="4208"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4360</v>
      </c>
      <c r="D18" s="555"/>
      <c r="E18" s="556" t="s">
        <v>4361</v>
      </c>
      <c r="F18" s="553"/>
      <c r="G18" s="554" t="s">
        <v>4361</v>
      </c>
      <c r="H18" s="557"/>
      <c r="I18" s="556" t="s">
        <v>4361</v>
      </c>
      <c r="J18" s="553"/>
      <c r="K18" s="529"/>
      <c r="L18" s="2140"/>
      <c r="M18" s="2130"/>
      <c r="N18" s="2130"/>
      <c r="O18" s="2139"/>
      <c r="P18" s="4209"/>
      <c r="Q18" s="1569"/>
      <c r="R18" s="1570"/>
      <c r="S18" s="1571"/>
      <c r="T18" s="1570"/>
      <c r="U18" s="1571"/>
      <c r="V18" s="1570"/>
      <c r="W18" s="1571"/>
      <c r="X18" s="1564"/>
      <c r="Y18" s="4209"/>
      <c r="Z18" s="1572"/>
      <c r="AA18" s="1573">
        <v>1</v>
      </c>
      <c r="AB18" s="1573">
        <v>1</v>
      </c>
      <c r="AC18" s="1573">
        <v>1</v>
      </c>
    </row>
    <row r="19" spans="1:29" ht="28.5">
      <c r="A19" s="530"/>
      <c r="B19" s="558" t="s">
        <v>541</v>
      </c>
      <c r="C19" s="559" t="str">
        <f>估价对象房地状况!C16</f>
        <v>XX商圈，周边商业氛围，人流量</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4209"/>
      <c r="Q19" s="1569" t="str">
        <f>B19</f>
        <v>商业繁华度</v>
      </c>
      <c r="R19" s="1570" t="s">
        <v>8</v>
      </c>
      <c r="S19" s="1571">
        <f>F19</f>
        <v>100</v>
      </c>
      <c r="T19" s="1570" t="s">
        <v>8</v>
      </c>
      <c r="U19" s="1571">
        <f>H19</f>
        <v>100</v>
      </c>
      <c r="V19" s="1570" t="s">
        <v>8</v>
      </c>
      <c r="W19" s="1571">
        <f>J19</f>
        <v>100</v>
      </c>
      <c r="X19" s="1564"/>
      <c r="Y19" s="4209"/>
      <c r="Z19" s="1572" t="str">
        <f>Q19</f>
        <v>商业繁华度</v>
      </c>
      <c r="AA19" s="1573">
        <f t="shared" si="3"/>
        <v>1</v>
      </c>
      <c r="AB19" s="1573">
        <f t="shared" si="4"/>
        <v>1</v>
      </c>
      <c r="AC19" s="1573">
        <f t="shared" si="5"/>
        <v>1</v>
      </c>
    </row>
    <row r="20" spans="1:29" ht="20.25">
      <c r="A20" s="530"/>
      <c r="B20" s="564"/>
      <c r="C20" s="565"/>
      <c r="D20" s="561"/>
      <c r="E20" s="567"/>
      <c r="F20" s="557"/>
      <c r="G20" s="566"/>
      <c r="H20" s="553"/>
      <c r="I20" s="567"/>
      <c r="J20" s="553"/>
      <c r="K20" s="529"/>
      <c r="L20" s="2140"/>
      <c r="M20" s="2130"/>
      <c r="N20" s="2130"/>
      <c r="O20" s="2139"/>
      <c r="P20" s="4209"/>
      <c r="Q20" s="1569"/>
      <c r="R20" s="1570"/>
      <c r="S20" s="1571"/>
      <c r="T20" s="1570"/>
      <c r="U20" s="1571"/>
      <c r="V20" s="1570"/>
      <c r="W20" s="1571"/>
      <c r="X20" s="1564"/>
      <c r="Y20" s="4209"/>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09"/>
      <c r="Q21" s="1569" t="str">
        <f>B21</f>
        <v>办公集聚程度</v>
      </c>
      <c r="R21" s="1570" t="s">
        <v>8</v>
      </c>
      <c r="S21" s="1571">
        <f>F21</f>
        <v>100</v>
      </c>
      <c r="T21" s="1570" t="s">
        <v>8</v>
      </c>
      <c r="U21" s="1571">
        <f>H21</f>
        <v>100</v>
      </c>
      <c r="V21" s="1570" t="s">
        <v>8</v>
      </c>
      <c r="W21" s="1571">
        <f>J21</f>
        <v>100</v>
      </c>
      <c r="X21" s="1564"/>
      <c r="Y21" s="4209"/>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40"/>
      <c r="M22" s="2130"/>
      <c r="N22" s="2130"/>
      <c r="O22" s="2139"/>
      <c r="P22" s="4209"/>
      <c r="Q22" s="1569"/>
      <c r="R22" s="1570"/>
      <c r="S22" s="1571"/>
      <c r="T22" s="1570"/>
      <c r="U22" s="1571"/>
      <c r="V22" s="1570"/>
      <c r="W22" s="1571"/>
      <c r="X22" s="1564"/>
      <c r="Y22" s="4209"/>
      <c r="Z22" s="1572"/>
      <c r="AA22" s="1573">
        <v>1</v>
      </c>
      <c r="AB22" s="1573">
        <v>1</v>
      </c>
      <c r="AC22" s="1573">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4209"/>
      <c r="Q23" s="1569" t="str">
        <f>B23</f>
        <v>交通便捷度</v>
      </c>
      <c r="R23" s="1570" t="s">
        <v>8</v>
      </c>
      <c r="S23" s="1571">
        <f>F23</f>
        <v>100</v>
      </c>
      <c r="T23" s="1570" t="s">
        <v>8</v>
      </c>
      <c r="U23" s="1571">
        <f>H23</f>
        <v>100</v>
      </c>
      <c r="V23" s="1570" t="s">
        <v>8</v>
      </c>
      <c r="W23" s="1571">
        <f>J23</f>
        <v>100</v>
      </c>
      <c r="X23" s="1564"/>
      <c r="Y23" s="4209"/>
      <c r="Z23" s="1572" t="str">
        <f>Q23</f>
        <v>交通便捷度</v>
      </c>
      <c r="AA23" s="1573">
        <f t="shared" si="3"/>
        <v>1</v>
      </c>
      <c r="AB23" s="1573">
        <f t="shared" si="4"/>
        <v>1</v>
      </c>
      <c r="AC23" s="1573">
        <f t="shared" si="5"/>
        <v>1</v>
      </c>
    </row>
    <row r="24" spans="1:29" ht="20.25">
      <c r="A24" s="530"/>
      <c r="B24" s="576"/>
      <c r="C24" s="552" t="s">
        <v>4361</v>
      </c>
      <c r="D24" s="555"/>
      <c r="E24" s="556" t="s">
        <v>4361</v>
      </c>
      <c r="F24" s="553"/>
      <c r="G24" s="556" t="s">
        <v>4361</v>
      </c>
      <c r="H24" s="553"/>
      <c r="I24" s="556" t="s">
        <v>4361</v>
      </c>
      <c r="J24" s="553"/>
      <c r="K24" s="529"/>
      <c r="L24" s="2140"/>
      <c r="M24" s="2130"/>
      <c r="N24" s="2130"/>
      <c r="O24" s="2139"/>
      <c r="P24" s="4209"/>
      <c r="Q24" s="1569"/>
      <c r="R24" s="1570"/>
      <c r="S24" s="1571"/>
      <c r="T24" s="1570"/>
      <c r="U24" s="1571"/>
      <c r="V24" s="1570"/>
      <c r="W24" s="1571"/>
      <c r="X24" s="1564"/>
      <c r="Y24" s="4209"/>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40"/>
      <c r="M25" s="2130"/>
      <c r="N25" s="2130"/>
      <c r="O25" s="2139"/>
      <c r="P25" s="4209"/>
      <c r="Q25" s="1569" t="str">
        <f t="shared" ref="Q25:Q39" si="8">B25</f>
        <v>区域土地利用方向</v>
      </c>
      <c r="R25" s="1570" t="s">
        <v>8</v>
      </c>
      <c r="S25" s="1571">
        <f>F25</f>
        <v>100</v>
      </c>
      <c r="T25" s="1570" t="s">
        <v>8</v>
      </c>
      <c r="U25" s="1571">
        <f>H25</f>
        <v>100</v>
      </c>
      <c r="V25" s="1570" t="s">
        <v>8</v>
      </c>
      <c r="W25" s="1571">
        <f>J25</f>
        <v>100</v>
      </c>
      <c r="X25" s="1564"/>
      <c r="Y25" s="4209"/>
      <c r="Z25" s="1572" t="str">
        <f>Q25</f>
        <v>区域土地利用方向</v>
      </c>
      <c r="AA25" s="1573">
        <f t="shared" si="3"/>
        <v>1</v>
      </c>
      <c r="AB25" s="1573">
        <f t="shared" si="4"/>
        <v>1</v>
      </c>
      <c r="AC25" s="1573">
        <f t="shared" si="5"/>
        <v>1</v>
      </c>
    </row>
    <row r="26" spans="1:29" ht="20.25">
      <c r="A26" s="513"/>
      <c r="B26" s="1005"/>
      <c r="C26" s="552" t="s">
        <v>4362</v>
      </c>
      <c r="D26" s="555"/>
      <c r="E26" s="556" t="s">
        <v>4362</v>
      </c>
      <c r="F26" s="553"/>
      <c r="G26" s="556" t="s">
        <v>4362</v>
      </c>
      <c r="H26" s="553"/>
      <c r="I26" s="556" t="s">
        <v>4362</v>
      </c>
      <c r="J26" s="553"/>
      <c r="K26" s="529"/>
      <c r="L26" s="2140"/>
      <c r="M26" s="2130"/>
      <c r="N26" s="2130"/>
      <c r="O26" s="2139"/>
      <c r="P26" s="4209"/>
      <c r="Q26" s="1569"/>
      <c r="R26" s="1570"/>
      <c r="S26" s="1571"/>
      <c r="T26" s="1570"/>
      <c r="U26" s="1571"/>
      <c r="V26" s="1570"/>
      <c r="W26" s="1571"/>
      <c r="X26" s="1564"/>
      <c r="Y26" s="4209"/>
      <c r="Z26" s="1572"/>
      <c r="AA26" s="1573"/>
      <c r="AB26" s="1573"/>
      <c r="AC26" s="1573"/>
    </row>
    <row r="27" spans="1:29" ht="27">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40"/>
      <c r="M27" s="2130"/>
      <c r="N27" s="2130"/>
      <c r="O27" s="2139"/>
      <c r="P27" s="4209"/>
      <c r="Q27" s="1569" t="str">
        <f t="shared" si="8"/>
        <v>自然及人文环境状况</v>
      </c>
      <c r="R27" s="1570" t="s">
        <v>8</v>
      </c>
      <c r="S27" s="1571">
        <f>F27</f>
        <v>100</v>
      </c>
      <c r="T27" s="1570" t="s">
        <v>8</v>
      </c>
      <c r="U27" s="1571">
        <f>H27</f>
        <v>100</v>
      </c>
      <c r="V27" s="1570" t="s">
        <v>8</v>
      </c>
      <c r="W27" s="1571">
        <f>J27</f>
        <v>100</v>
      </c>
      <c r="X27" s="1564"/>
      <c r="Y27" s="4209"/>
      <c r="Z27" s="1572" t="str">
        <f>Q27</f>
        <v>自然及人文环境状况</v>
      </c>
      <c r="AA27" s="1573">
        <f t="shared" si="3"/>
        <v>1</v>
      </c>
      <c r="AB27" s="1573">
        <f t="shared" si="4"/>
        <v>1</v>
      </c>
      <c r="AC27" s="1573">
        <f t="shared" si="5"/>
        <v>1</v>
      </c>
    </row>
    <row r="28" spans="1:29" ht="20.25">
      <c r="A28" s="513"/>
      <c r="B28" s="564"/>
      <c r="C28" s="552" t="s">
        <v>4362</v>
      </c>
      <c r="D28" s="555"/>
      <c r="E28" s="574" t="s">
        <v>4362</v>
      </c>
      <c r="F28" s="553"/>
      <c r="G28" s="574" t="s">
        <v>4362</v>
      </c>
      <c r="H28" s="553"/>
      <c r="I28" s="574" t="s">
        <v>4362</v>
      </c>
      <c r="J28" s="553"/>
      <c r="K28" s="529"/>
      <c r="L28" s="2140"/>
      <c r="M28" s="2130"/>
      <c r="N28" s="2130"/>
      <c r="O28" s="2139"/>
      <c r="P28" s="4209"/>
      <c r="Q28" s="1569"/>
      <c r="R28" s="1570"/>
      <c r="S28" s="1571"/>
      <c r="T28" s="1570"/>
      <c r="U28" s="1571"/>
      <c r="V28" s="1570"/>
      <c r="W28" s="1571"/>
      <c r="X28" s="1564"/>
      <c r="Y28" s="4209"/>
      <c r="Z28" s="1572"/>
      <c r="AA28" s="1573">
        <v>1</v>
      </c>
      <c r="AB28" s="1573">
        <v>1</v>
      </c>
      <c r="AC28" s="1573">
        <v>1</v>
      </c>
    </row>
    <row r="29" spans="1:29" s="1218" customFormat="1" ht="20.25">
      <c r="A29" s="575"/>
      <c r="B29" s="2613" t="s">
        <v>2548</v>
      </c>
      <c r="C29" s="571">
        <f>估价对象房地状况!C21</f>
        <v>0</v>
      </c>
      <c r="D29" s="561">
        <v>100</v>
      </c>
      <c r="E29" s="562"/>
      <c r="F29" s="557">
        <f>SUMIF(102:102,E30,103:103)-SUMIF(102:102,C30,103:103)+100</f>
        <v>102</v>
      </c>
      <c r="G29" s="562"/>
      <c r="H29" s="557">
        <f>SUMIF(102:102,G30,103:103)-SUMIF(102:102,C30,103:103)+100</f>
        <v>102</v>
      </c>
      <c r="I29" s="562"/>
      <c r="J29" s="557">
        <f>SUMIF(102:102,I30,103:103)-SUMIF(102:102,C30,103:103)+100</f>
        <v>102</v>
      </c>
      <c r="K29" s="533">
        <v>2</v>
      </c>
      <c r="L29" s="2133"/>
      <c r="M29" s="2130"/>
      <c r="N29" s="2130"/>
      <c r="O29" s="2135"/>
      <c r="P29" s="4209"/>
      <c r="Q29" s="1149" t="str">
        <f t="shared" si="8"/>
        <v>公共配套设施</v>
      </c>
      <c r="R29" s="1565" t="s">
        <v>8</v>
      </c>
      <c r="S29" s="1566">
        <f>F29</f>
        <v>102</v>
      </c>
      <c r="T29" s="1565" t="s">
        <v>8</v>
      </c>
      <c r="U29" s="1566">
        <f>H29</f>
        <v>102</v>
      </c>
      <c r="V29" s="1565" t="s">
        <v>8</v>
      </c>
      <c r="W29" s="1566">
        <f>J29</f>
        <v>102</v>
      </c>
      <c r="X29" s="1567"/>
      <c r="Y29" s="4209"/>
      <c r="Z29" s="1148" t="str">
        <f>Q29</f>
        <v>公共配套设施</v>
      </c>
      <c r="AA29" s="1573">
        <f>D29/F29</f>
        <v>0.98039215686274506</v>
      </c>
      <c r="AB29" s="1573">
        <f>D29/H29</f>
        <v>0.98039215686274506</v>
      </c>
      <c r="AC29" s="1573">
        <f>D29/J29</f>
        <v>0.98039215686274506</v>
      </c>
    </row>
    <row r="30" spans="1:29" s="1218" customFormat="1" ht="20.25">
      <c r="A30" s="575"/>
      <c r="B30" s="564"/>
      <c r="C30" s="577" t="s">
        <v>4361</v>
      </c>
      <c r="D30" s="555"/>
      <c r="E30" s="3497" t="s">
        <v>4362</v>
      </c>
      <c r="F30" s="553"/>
      <c r="G30" s="3507" t="s">
        <v>4362</v>
      </c>
      <c r="H30" s="553"/>
      <c r="I30" s="577" t="s">
        <v>4362</v>
      </c>
      <c r="J30" s="553"/>
      <c r="K30" s="529"/>
      <c r="L30" s="2133"/>
      <c r="M30" s="2130"/>
      <c r="N30" s="2130"/>
      <c r="O30" s="2135"/>
      <c r="P30" s="4209"/>
      <c r="Q30" s="1149"/>
      <c r="R30" s="1565"/>
      <c r="S30" s="1566"/>
      <c r="T30" s="1565"/>
      <c r="U30" s="1566"/>
      <c r="V30" s="1565"/>
      <c r="W30" s="1566"/>
      <c r="X30" s="1567"/>
      <c r="Y30" s="4209"/>
      <c r="Z30" s="1148"/>
      <c r="AA30" s="1573">
        <v>1</v>
      </c>
      <c r="AB30" s="1573">
        <v>1</v>
      </c>
      <c r="AC30" s="1573">
        <v>1</v>
      </c>
    </row>
    <row r="31" spans="1:29" s="1218" customFormat="1" ht="20.25">
      <c r="A31" s="575"/>
      <c r="B31" s="2613" t="s">
        <v>2549</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3"/>
      <c r="M31" s="2130"/>
      <c r="N31" s="2130"/>
      <c r="O31" s="2135"/>
      <c r="P31" s="4209"/>
      <c r="Q31" s="2600" t="str">
        <f t="shared" ref="Q31" si="9">B31</f>
        <v>基础设施水平</v>
      </c>
      <c r="R31" s="1565" t="s">
        <v>8</v>
      </c>
      <c r="S31" s="1566">
        <f>F31</f>
        <v>100</v>
      </c>
      <c r="T31" s="1565" t="s">
        <v>8</v>
      </c>
      <c r="U31" s="1566">
        <f>H31</f>
        <v>100</v>
      </c>
      <c r="V31" s="1565" t="s">
        <v>8</v>
      </c>
      <c r="W31" s="1566">
        <f>J31</f>
        <v>100</v>
      </c>
      <c r="X31" s="1567"/>
      <c r="Y31" s="4209"/>
      <c r="Z31" s="2597" t="str">
        <f>Q31</f>
        <v>基础设施水平</v>
      </c>
      <c r="AA31" s="1573">
        <f>D31/F31</f>
        <v>1</v>
      </c>
      <c r="AB31" s="1573">
        <f>D31/H31</f>
        <v>1</v>
      </c>
      <c r="AC31" s="1573">
        <f>D31/J31</f>
        <v>1</v>
      </c>
    </row>
    <row r="32" spans="1:29" s="1218" customFormat="1" ht="20.25">
      <c r="A32" s="575"/>
      <c r="B32" s="564"/>
      <c r="C32" s="577" t="s">
        <v>4350</v>
      </c>
      <c r="D32" s="555"/>
      <c r="E32" s="2614" t="s">
        <v>4350</v>
      </c>
      <c r="F32" s="553"/>
      <c r="G32" s="2614" t="s">
        <v>4350</v>
      </c>
      <c r="H32" s="553"/>
      <c r="I32" s="2614" t="s">
        <v>4350</v>
      </c>
      <c r="J32" s="553"/>
      <c r="K32" s="529"/>
      <c r="L32" s="2133"/>
      <c r="M32" s="2130"/>
      <c r="N32" s="2130"/>
      <c r="O32" s="2135"/>
      <c r="P32" s="4209"/>
      <c r="Q32" s="2600"/>
      <c r="R32" s="1565"/>
      <c r="S32" s="1566"/>
      <c r="T32" s="1565"/>
      <c r="U32" s="1566"/>
      <c r="V32" s="1565"/>
      <c r="W32" s="1566"/>
      <c r="X32" s="1567"/>
      <c r="Y32" s="4209"/>
      <c r="Z32" s="2597"/>
      <c r="AA32" s="1573">
        <v>1</v>
      </c>
      <c r="AB32" s="1573">
        <v>1</v>
      </c>
      <c r="AC32" s="1573">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09"/>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4209"/>
      <c r="Z33" s="1572" t="str">
        <f t="shared" ref="Z33:Z47" si="13">Q33</f>
        <v>临街状况</v>
      </c>
      <c r="AA33" s="1573">
        <f t="shared" si="3"/>
        <v>1</v>
      </c>
      <c r="AB33" s="1573">
        <f t="shared" si="4"/>
        <v>1</v>
      </c>
      <c r="AC33" s="1573">
        <f t="shared" si="5"/>
        <v>1</v>
      </c>
    </row>
    <row r="34" spans="1:29" ht="27">
      <c r="A34" s="530"/>
      <c r="B34" s="576" t="s">
        <v>548</v>
      </c>
      <c r="C34" s="3433" t="s">
        <v>4393</v>
      </c>
      <c r="D34" s="561">
        <v>100</v>
      </c>
      <c r="E34" s="3433" t="s">
        <v>4393</v>
      </c>
      <c r="F34" s="557">
        <f>SUMIF(108:108,E35,109:109)-SUMIF(108:108,C35,109:109)+100</f>
        <v>100</v>
      </c>
      <c r="G34" s="3433" t="s">
        <v>4400</v>
      </c>
      <c r="H34" s="557">
        <f>SUMIF(108:108,G35,109:109)-SUMIF(108:108,C35,109:109)+100</f>
        <v>100</v>
      </c>
      <c r="I34" s="3434" t="s">
        <v>4401</v>
      </c>
      <c r="J34" s="557">
        <f>SUMIF(108:108,I35,109:109)-SUMIF(108:108,C35,109:109)+100</f>
        <v>98</v>
      </c>
      <c r="K34" s="533">
        <v>1</v>
      </c>
      <c r="L34" s="2140"/>
      <c r="M34" s="2130"/>
      <c r="N34" s="2130"/>
      <c r="O34" s="2139"/>
      <c r="P34" s="4209"/>
      <c r="Q34" s="1569" t="str">
        <f t="shared" si="8"/>
        <v>毗邻道路的类型与等级</v>
      </c>
      <c r="R34" s="1570" t="s">
        <v>8</v>
      </c>
      <c r="S34" s="1571">
        <f t="shared" si="10"/>
        <v>100</v>
      </c>
      <c r="T34" s="1570" t="s">
        <v>8</v>
      </c>
      <c r="U34" s="1571">
        <f t="shared" si="11"/>
        <v>100</v>
      </c>
      <c r="V34" s="1570" t="s">
        <v>8</v>
      </c>
      <c r="W34" s="1571">
        <f t="shared" si="12"/>
        <v>98</v>
      </c>
      <c r="X34" s="1564"/>
      <c r="Y34" s="4209"/>
      <c r="Z34" s="1572" t="str">
        <f t="shared" si="13"/>
        <v>毗邻道路的类型与等级</v>
      </c>
      <c r="AA34" s="1573">
        <f t="shared" si="3"/>
        <v>1</v>
      </c>
      <c r="AB34" s="1573">
        <f t="shared" si="4"/>
        <v>1</v>
      </c>
      <c r="AC34" s="1573">
        <f t="shared" si="5"/>
        <v>1.0204081632653061</v>
      </c>
    </row>
    <row r="35" spans="1:29" ht="21" thickBot="1">
      <c r="A35" s="530"/>
      <c r="B35" s="564"/>
      <c r="C35" s="552" t="s">
        <v>4395</v>
      </c>
      <c r="D35" s="555"/>
      <c r="E35" s="552" t="s">
        <v>4395</v>
      </c>
      <c r="F35" s="553"/>
      <c r="G35" s="552" t="s">
        <v>4395</v>
      </c>
      <c r="H35" s="553"/>
      <c r="I35" s="574" t="s">
        <v>4398</v>
      </c>
      <c r="J35" s="553"/>
      <c r="K35" s="579"/>
      <c r="L35" s="2140"/>
      <c r="M35" s="2130"/>
      <c r="N35" s="2130"/>
      <c r="O35" s="2139"/>
      <c r="P35" s="4209"/>
      <c r="Q35" s="1569"/>
      <c r="R35" s="1570"/>
      <c r="S35" s="1571"/>
      <c r="T35" s="1570"/>
      <c r="U35" s="1571"/>
      <c r="V35" s="1570"/>
      <c r="W35" s="1571"/>
      <c r="X35" s="1564"/>
      <c r="Y35" s="4209"/>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09"/>
      <c r="Q36" s="1569" t="str">
        <f t="shared" si="8"/>
        <v>土地级别</v>
      </c>
      <c r="R36" s="1570" t="s">
        <v>8</v>
      </c>
      <c r="S36" s="1571">
        <f t="shared" si="10"/>
        <v>100</v>
      </c>
      <c r="T36" s="1570" t="s">
        <v>8</v>
      </c>
      <c r="U36" s="1571">
        <f t="shared" si="11"/>
        <v>100</v>
      </c>
      <c r="V36" s="1570" t="s">
        <v>8</v>
      </c>
      <c r="W36" s="1571">
        <f t="shared" si="12"/>
        <v>100</v>
      </c>
      <c r="X36" s="1564"/>
      <c r="Y36" s="4209"/>
      <c r="Z36" s="1572" t="str">
        <f t="shared" si="13"/>
        <v>土地级别</v>
      </c>
      <c r="AA36" s="1573">
        <f t="shared" si="3"/>
        <v>1</v>
      </c>
      <c r="AB36" s="1573">
        <f t="shared" si="4"/>
        <v>1</v>
      </c>
      <c r="AC36" s="1573">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09"/>
      <c r="Q37" s="1569">
        <f t="shared" si="8"/>
        <v>0</v>
      </c>
      <c r="R37" s="1570" t="s">
        <v>8</v>
      </c>
      <c r="S37" s="1571">
        <f t="shared" si="10"/>
        <v>100</v>
      </c>
      <c r="T37" s="1570" t="s">
        <v>8</v>
      </c>
      <c r="U37" s="1571">
        <f t="shared" si="11"/>
        <v>100</v>
      </c>
      <c r="V37" s="1570" t="s">
        <v>8</v>
      </c>
      <c r="W37" s="1571">
        <f t="shared" si="12"/>
        <v>100</v>
      </c>
      <c r="X37" s="1564"/>
      <c r="Y37" s="4209"/>
      <c r="Z37" s="1572">
        <f t="shared" si="13"/>
        <v>0</v>
      </c>
      <c r="AA37" s="1573">
        <f t="shared" si="3"/>
        <v>1</v>
      </c>
      <c r="AB37" s="1573">
        <f t="shared" si="4"/>
        <v>1</v>
      </c>
      <c r="AC37" s="1573">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10" t="s">
        <v>550</v>
      </c>
      <c r="Q38" s="1569">
        <f t="shared" si="8"/>
        <v>0</v>
      </c>
      <c r="R38" s="1570" t="s">
        <v>8</v>
      </c>
      <c r="S38" s="1571">
        <f t="shared" si="10"/>
        <v>100</v>
      </c>
      <c r="T38" s="1570" t="s">
        <v>8</v>
      </c>
      <c r="U38" s="1571">
        <f t="shared" si="11"/>
        <v>100</v>
      </c>
      <c r="V38" s="1570" t="s">
        <v>8</v>
      </c>
      <c r="W38" s="1571">
        <f t="shared" si="12"/>
        <v>100</v>
      </c>
      <c r="X38" s="1564"/>
      <c r="Y38" s="4211" t="s">
        <v>550</v>
      </c>
      <c r="Z38" s="1572">
        <f t="shared" si="13"/>
        <v>0</v>
      </c>
      <c r="AA38" s="1573">
        <f t="shared" si="3"/>
        <v>1</v>
      </c>
      <c r="AB38" s="1573">
        <f t="shared" si="4"/>
        <v>1</v>
      </c>
      <c r="AC38" s="1573">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11"/>
      <c r="Q39" s="1569">
        <f t="shared" si="8"/>
        <v>0</v>
      </c>
      <c r="R39" s="1574" t="s">
        <v>8</v>
      </c>
      <c r="S39" s="1575">
        <f t="shared" si="10"/>
        <v>100</v>
      </c>
      <c r="T39" s="1574" t="s">
        <v>8</v>
      </c>
      <c r="U39" s="1575">
        <f t="shared" si="11"/>
        <v>100</v>
      </c>
      <c r="V39" s="1574" t="s">
        <v>8</v>
      </c>
      <c r="W39" s="1575">
        <f t="shared" si="12"/>
        <v>100</v>
      </c>
      <c r="X39" s="1576"/>
      <c r="Y39" s="4211"/>
      <c r="Z39" s="1577">
        <f t="shared" si="13"/>
        <v>0</v>
      </c>
      <c r="AA39" s="1573">
        <f t="shared" si="3"/>
        <v>1</v>
      </c>
      <c r="AB39" s="1573">
        <f t="shared" si="4"/>
        <v>1</v>
      </c>
      <c r="AC39" s="1573">
        <f t="shared" si="5"/>
        <v>1</v>
      </c>
    </row>
    <row r="40" spans="1:29" ht="20.25">
      <c r="A40" s="2929" t="s">
        <v>2754</v>
      </c>
      <c r="B40" s="593" t="s">
        <v>552</v>
      </c>
      <c r="C40" s="594">
        <f>'数据-汇总表'!D3</f>
        <v>410194.62</v>
      </c>
      <c r="D40" s="595">
        <v>100</v>
      </c>
      <c r="E40" s="594">
        <f>住宅用地案例!H6</f>
        <v>60179.42</v>
      </c>
      <c r="F40" s="595">
        <f>LOOKUP(E40,119:119,120:120)-LOOKUP(C40,119:119,120:120)+100</f>
        <v>99</v>
      </c>
      <c r="G40" s="594">
        <f>住宅用地案例!H11</f>
        <v>43278.14</v>
      </c>
      <c r="H40" s="595">
        <f>LOOKUP(G40,119:119,120:120)-LOOKUP(C40,119:119,120:120)+100</f>
        <v>99</v>
      </c>
      <c r="I40" s="596">
        <f>住宅用地案例!H13</f>
        <v>43472.44</v>
      </c>
      <c r="J40" s="595">
        <f>LOOKUP(I40,119:119,120:120)-LOOKUP(C40,119:119,120:120)+100</f>
        <v>99</v>
      </c>
      <c r="K40" s="579"/>
      <c r="L40" s="2140"/>
      <c r="M40" s="2130"/>
      <c r="N40" s="2130"/>
      <c r="O40" s="2139"/>
      <c r="P40" s="4211"/>
      <c r="Q40" s="1569" t="str">
        <f>B40</f>
        <v>宗地面积</v>
      </c>
      <c r="R40" s="1570" t="s">
        <v>8</v>
      </c>
      <c r="S40" s="1571">
        <f t="shared" si="10"/>
        <v>99</v>
      </c>
      <c r="T40" s="1570" t="s">
        <v>8</v>
      </c>
      <c r="U40" s="1571">
        <f t="shared" si="11"/>
        <v>99</v>
      </c>
      <c r="V40" s="1570" t="s">
        <v>8</v>
      </c>
      <c r="W40" s="1571">
        <f t="shared" si="12"/>
        <v>99</v>
      </c>
      <c r="X40" s="1564"/>
      <c r="Y40" s="4211"/>
      <c r="Z40" s="1572" t="str">
        <f t="shared" si="13"/>
        <v>宗地面积</v>
      </c>
      <c r="AA40" s="1573">
        <f t="shared" si="3"/>
        <v>1.0101010101010102</v>
      </c>
      <c r="AB40" s="1573">
        <f t="shared" si="4"/>
        <v>1.0101010101010102</v>
      </c>
      <c r="AC40" s="1573">
        <f t="shared" si="5"/>
        <v>1.0101010101010102</v>
      </c>
    </row>
    <row r="41" spans="1:29" ht="20.25">
      <c r="A41" s="592"/>
      <c r="B41" s="525" t="s">
        <v>553</v>
      </c>
      <c r="C41" s="597" t="s">
        <v>4382</v>
      </c>
      <c r="D41" s="538">
        <v>100</v>
      </c>
      <c r="E41" s="597" t="s">
        <v>4382</v>
      </c>
      <c r="F41" s="538">
        <f>SUMIF(121:121,E41,122:122)-SUMIF(121:121,C41,122:122)+100</f>
        <v>100</v>
      </c>
      <c r="G41" s="597" t="s">
        <v>4382</v>
      </c>
      <c r="H41" s="538">
        <f>SUMIF(121:121,G41,122:122)-SUMIF(121:121,C41,122:122)+100</f>
        <v>100</v>
      </c>
      <c r="I41" s="597" t="s">
        <v>4382</v>
      </c>
      <c r="J41" s="538">
        <f>SUMIF(121:121,I41,122:122)-SUMIF(121:121,C41,122:122)+100</f>
        <v>100</v>
      </c>
      <c r="K41" s="582">
        <v>2</v>
      </c>
      <c r="L41" s="2140"/>
      <c r="M41" s="2130"/>
      <c r="N41" s="2130"/>
      <c r="O41" s="2139"/>
      <c r="P41" s="4211"/>
      <c r="Q41" s="1569" t="str">
        <f t="shared" ref="Q41:Q47" si="14">B41</f>
        <v>宗地形状</v>
      </c>
      <c r="R41" s="1570" t="s">
        <v>8</v>
      </c>
      <c r="S41" s="1571">
        <f t="shared" si="10"/>
        <v>100</v>
      </c>
      <c r="T41" s="1570" t="s">
        <v>8</v>
      </c>
      <c r="U41" s="1571">
        <f t="shared" si="11"/>
        <v>100</v>
      </c>
      <c r="V41" s="1570" t="s">
        <v>8</v>
      </c>
      <c r="W41" s="1571">
        <f t="shared" si="12"/>
        <v>100</v>
      </c>
      <c r="X41" s="1564"/>
      <c r="Y41" s="4211"/>
      <c r="Z41" s="1572" t="str">
        <f t="shared" si="13"/>
        <v>宗地形状</v>
      </c>
      <c r="AA41" s="1573">
        <f t="shared" si="3"/>
        <v>1</v>
      </c>
      <c r="AB41" s="1573">
        <f t="shared" si="4"/>
        <v>1</v>
      </c>
      <c r="AC41" s="1573">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4211"/>
      <c r="Q42" s="1569" t="str">
        <f t="shared" si="14"/>
        <v>临街宽度及深度</v>
      </c>
      <c r="R42" s="1570" t="s">
        <v>8</v>
      </c>
      <c r="S42" s="1571">
        <f t="shared" si="10"/>
        <v>100</v>
      </c>
      <c r="T42" s="1570" t="s">
        <v>8</v>
      </c>
      <c r="U42" s="1571">
        <f t="shared" si="11"/>
        <v>100</v>
      </c>
      <c r="V42" s="1570" t="s">
        <v>8</v>
      </c>
      <c r="W42" s="1571">
        <f t="shared" si="12"/>
        <v>100</v>
      </c>
      <c r="X42" s="1564"/>
      <c r="Y42" s="4211"/>
      <c r="Z42" s="1572" t="str">
        <f t="shared" si="13"/>
        <v>临街宽度及深度</v>
      </c>
      <c r="AA42" s="1573">
        <f t="shared" si="3"/>
        <v>1</v>
      </c>
      <c r="AB42" s="1573">
        <f t="shared" si="4"/>
        <v>1</v>
      </c>
      <c r="AC42" s="1573">
        <f t="shared" si="5"/>
        <v>1</v>
      </c>
    </row>
    <row r="43" spans="1:29" s="1218" customFormat="1" ht="20.25">
      <c r="A43" s="598"/>
      <c r="B43" s="1893" t="s">
        <v>2424</v>
      </c>
      <c r="C43" s="599" t="s">
        <v>4407</v>
      </c>
      <c r="D43" s="253">
        <v>100</v>
      </c>
      <c r="E43" s="599" t="s">
        <v>4407</v>
      </c>
      <c r="F43" s="538">
        <f>SUMIF(125:125,E43,126:126)-SUMIF(125:125,C43,126:126)+100</f>
        <v>100</v>
      </c>
      <c r="G43" s="599" t="s">
        <v>4407</v>
      </c>
      <c r="H43" s="538">
        <f>SUMIF(125:125,G43,126:126)-SUMIF(125:125,C43,126:126)+100</f>
        <v>100</v>
      </c>
      <c r="I43" s="599" t="s">
        <v>4407</v>
      </c>
      <c r="J43" s="538">
        <f>SUMIF(125:125,I43,126:126)-SUMIF(125:125,C43,126:126)+100</f>
        <v>100</v>
      </c>
      <c r="K43" s="582">
        <v>2</v>
      </c>
      <c r="L43" s="2133"/>
      <c r="M43" s="2130"/>
      <c r="N43" s="2130"/>
      <c r="O43" s="2135"/>
      <c r="P43" s="4211"/>
      <c r="Q43" s="1569" t="str">
        <f t="shared" si="14"/>
        <v>宗地开发程度</v>
      </c>
      <c r="R43" s="1565" t="s">
        <v>8</v>
      </c>
      <c r="S43" s="1566">
        <f t="shared" si="10"/>
        <v>100</v>
      </c>
      <c r="T43" s="1565" t="s">
        <v>8</v>
      </c>
      <c r="U43" s="1566">
        <f t="shared" si="11"/>
        <v>100</v>
      </c>
      <c r="V43" s="1565" t="s">
        <v>8</v>
      </c>
      <c r="W43" s="1566">
        <f t="shared" si="12"/>
        <v>100</v>
      </c>
      <c r="X43" s="1567"/>
      <c r="Y43" s="4211"/>
      <c r="Z43" s="1148" t="str">
        <f t="shared" si="13"/>
        <v>宗地开发程度</v>
      </c>
      <c r="AA43" s="1568">
        <f t="shared" si="3"/>
        <v>1</v>
      </c>
      <c r="AB43" s="1568">
        <f t="shared" si="4"/>
        <v>1</v>
      </c>
      <c r="AC43" s="1568">
        <f t="shared" si="5"/>
        <v>1</v>
      </c>
    </row>
    <row r="44" spans="1:29" ht="21" thickBot="1">
      <c r="A44" s="592"/>
      <c r="B44" s="525" t="s">
        <v>555</v>
      </c>
      <c r="C44" s="597" t="s">
        <v>4362</v>
      </c>
      <c r="D44" s="538">
        <v>100</v>
      </c>
      <c r="E44" s="597" t="s">
        <v>4362</v>
      </c>
      <c r="F44" s="538">
        <f>SUMIF(127:127,E44,128:128)-SUMIF(127:127,C44,128:128)+100</f>
        <v>100</v>
      </c>
      <c r="G44" s="597" t="s">
        <v>4362</v>
      </c>
      <c r="H44" s="538">
        <f>SUMIF(127:127,G44,128:128)-SUMIF(127:127,C44,128:128)+100</f>
        <v>100</v>
      </c>
      <c r="I44" s="597" t="s">
        <v>4362</v>
      </c>
      <c r="J44" s="538">
        <f>SUMIF(127:127,I44,128:128)-SUMIF(127:127,C44,128:128)+100</f>
        <v>100</v>
      </c>
      <c r="K44" s="582">
        <v>2</v>
      </c>
      <c r="L44" s="2140"/>
      <c r="M44" s="2130"/>
      <c r="N44" s="2130"/>
      <c r="O44" s="2139"/>
      <c r="P44" s="4211" t="s">
        <v>550</v>
      </c>
      <c r="Q44" s="1569" t="str">
        <f t="shared" si="14"/>
        <v>工程地质条件</v>
      </c>
      <c r="R44" s="1570" t="s">
        <v>8</v>
      </c>
      <c r="S44" s="1571">
        <f t="shared" si="10"/>
        <v>100</v>
      </c>
      <c r="T44" s="1570" t="s">
        <v>8</v>
      </c>
      <c r="U44" s="1571">
        <f t="shared" si="11"/>
        <v>100</v>
      </c>
      <c r="V44" s="1570" t="s">
        <v>8</v>
      </c>
      <c r="W44" s="1571">
        <f t="shared" si="12"/>
        <v>100</v>
      </c>
      <c r="X44" s="1564"/>
      <c r="Y44" s="4211" t="s">
        <v>550</v>
      </c>
      <c r="Z44" s="1572" t="str">
        <f t="shared" si="13"/>
        <v>工程地质条件</v>
      </c>
      <c r="AA44" s="1573">
        <f t="shared" si="3"/>
        <v>1</v>
      </c>
      <c r="AB44" s="1573">
        <f t="shared" si="4"/>
        <v>1</v>
      </c>
      <c r="AC44" s="1573">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11"/>
      <c r="Q45" s="1569">
        <f t="shared" si="14"/>
        <v>0</v>
      </c>
      <c r="R45" s="1570" t="s">
        <v>8</v>
      </c>
      <c r="S45" s="1571">
        <f t="shared" si="10"/>
        <v>100</v>
      </c>
      <c r="T45" s="1570" t="s">
        <v>8</v>
      </c>
      <c r="U45" s="1571">
        <f t="shared" si="11"/>
        <v>100</v>
      </c>
      <c r="V45" s="1570" t="s">
        <v>8</v>
      </c>
      <c r="W45" s="1571">
        <f t="shared" si="12"/>
        <v>100</v>
      </c>
      <c r="X45" s="1564"/>
      <c r="Y45" s="4211"/>
      <c r="Z45" s="1572">
        <f t="shared" si="13"/>
        <v>0</v>
      </c>
      <c r="AA45" s="1573">
        <f t="shared" si="3"/>
        <v>1</v>
      </c>
      <c r="AB45" s="1573">
        <f t="shared" si="4"/>
        <v>1</v>
      </c>
      <c r="AC45" s="1573">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11"/>
      <c r="Q46" s="1569">
        <f t="shared" si="14"/>
        <v>0</v>
      </c>
      <c r="R46" s="1570" t="s">
        <v>8</v>
      </c>
      <c r="S46" s="1571">
        <f t="shared" si="10"/>
        <v>100</v>
      </c>
      <c r="T46" s="1570" t="s">
        <v>8</v>
      </c>
      <c r="U46" s="1571">
        <f t="shared" si="11"/>
        <v>100</v>
      </c>
      <c r="V46" s="1570" t="s">
        <v>8</v>
      </c>
      <c r="W46" s="1571">
        <f t="shared" si="12"/>
        <v>100</v>
      </c>
      <c r="X46" s="1564"/>
      <c r="Y46" s="4211"/>
      <c r="Z46" s="1572">
        <f t="shared" si="13"/>
        <v>0</v>
      </c>
      <c r="AA46" s="1573">
        <f t="shared" si="3"/>
        <v>1</v>
      </c>
      <c r="AB46" s="1573">
        <f t="shared" si="4"/>
        <v>1</v>
      </c>
      <c r="AC46" s="1573">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11"/>
      <c r="Q47" s="1569">
        <f t="shared" si="14"/>
        <v>0</v>
      </c>
      <c r="R47" s="1574" t="s">
        <v>8</v>
      </c>
      <c r="S47" s="1575">
        <f t="shared" si="10"/>
        <v>100</v>
      </c>
      <c r="T47" s="1574" t="s">
        <v>8</v>
      </c>
      <c r="U47" s="1575">
        <f t="shared" si="11"/>
        <v>100</v>
      </c>
      <c r="V47" s="1574" t="s">
        <v>8</v>
      </c>
      <c r="W47" s="1575">
        <f t="shared" si="12"/>
        <v>100</v>
      </c>
      <c r="X47" s="1576"/>
      <c r="Y47" s="4211"/>
      <c r="Z47" s="1577">
        <f t="shared" si="13"/>
        <v>0</v>
      </c>
      <c r="AA47" s="1573">
        <f t="shared" si="3"/>
        <v>1</v>
      </c>
      <c r="AB47" s="1573">
        <f t="shared" si="4"/>
        <v>1</v>
      </c>
      <c r="AC47" s="1573">
        <f t="shared" si="5"/>
        <v>1</v>
      </c>
    </row>
    <row r="48" spans="1:29" ht="20.25">
      <c r="A48" s="605" t="s">
        <v>556</v>
      </c>
      <c r="B48" s="606" t="s">
        <v>4381</v>
      </c>
      <c r="C48" s="607" t="s">
        <v>1</v>
      </c>
      <c r="D48" s="608"/>
      <c r="E48" s="609">
        <f>住宅用地案例!T6</f>
        <v>5730</v>
      </c>
      <c r="F48" s="610"/>
      <c r="G48" s="611">
        <f>住宅用地案例!T11</f>
        <v>5730</v>
      </c>
      <c r="H48" s="612"/>
      <c r="I48" s="609">
        <f>住宅用地案例!T13</f>
        <v>5730</v>
      </c>
      <c r="J48" s="612"/>
      <c r="K48" s="1338"/>
      <c r="L48" s="2142"/>
      <c r="M48" s="2130"/>
      <c r="N48" s="2130"/>
      <c r="O48" s="2143"/>
      <c r="P48" s="4206" t="str">
        <f>A48</f>
        <v>成交单价</v>
      </c>
      <c r="Q48" s="4206"/>
      <c r="R48" s="4220">
        <f>E48</f>
        <v>5730</v>
      </c>
      <c r="S48" s="4220"/>
      <c r="T48" s="4220">
        <f>G48</f>
        <v>5730</v>
      </c>
      <c r="U48" s="4220"/>
      <c r="V48" s="4220">
        <f>I48</f>
        <v>5730</v>
      </c>
      <c r="W48" s="4220"/>
      <c r="X48" s="1556"/>
      <c r="Y48" s="1578"/>
      <c r="Z48" s="1556"/>
      <c r="AA48" s="1556"/>
      <c r="AB48" s="1556"/>
      <c r="AC48" s="1556"/>
    </row>
    <row r="49" spans="1:29" ht="21" thickBot="1">
      <c r="A49" s="613" t="s">
        <v>2692</v>
      </c>
      <c r="B49" s="614"/>
      <c r="C49" s="615">
        <f>R50</f>
        <v>5182</v>
      </c>
      <c r="D49" s="616"/>
      <c r="E49" s="615">
        <f>R49</f>
        <v>5480</v>
      </c>
      <c r="F49" s="617"/>
      <c r="G49" s="618">
        <f>T49</f>
        <v>4982</v>
      </c>
      <c r="H49" s="616"/>
      <c r="I49" s="615">
        <f>V49</f>
        <v>5084</v>
      </c>
      <c r="J49" s="616"/>
      <c r="K49" s="1339"/>
      <c r="L49" s="2142"/>
      <c r="M49" s="2130"/>
      <c r="N49" s="2130"/>
      <c r="O49" s="2143"/>
      <c r="P49" s="4206" t="str">
        <f>A49</f>
        <v>比较价格（元/平方米）</v>
      </c>
      <c r="Q49" s="4206"/>
      <c r="R49" s="4230">
        <f>ROUND(PRODUCT(R48,AA9:AA47),0)</f>
        <v>5480</v>
      </c>
      <c r="S49" s="4230"/>
      <c r="T49" s="4230">
        <f>ROUND(PRODUCT(T48,AB9:AB47),0)</f>
        <v>4982</v>
      </c>
      <c r="U49" s="4230"/>
      <c r="V49" s="4230">
        <f>ROUND(PRODUCT(V48,AC9:AC47),0)</f>
        <v>5084</v>
      </c>
      <c r="W49" s="4230"/>
      <c r="X49" s="1556"/>
      <c r="Y49" s="1556"/>
      <c r="Z49" s="1556"/>
      <c r="AA49" s="1556"/>
      <c r="AB49" s="1556"/>
      <c r="AC49" s="1556"/>
    </row>
    <row r="50" spans="1:29" ht="21" thickBot="1">
      <c r="A50" s="619" t="s">
        <v>2923</v>
      </c>
      <c r="B50" s="620"/>
      <c r="C50" s="621">
        <f>R50</f>
        <v>5182</v>
      </c>
      <c r="D50" s="621"/>
      <c r="E50" s="621"/>
      <c r="F50" s="621"/>
      <c r="G50" s="621"/>
      <c r="H50" s="621"/>
      <c r="I50" s="621"/>
      <c r="J50" s="621"/>
      <c r="K50" s="1340"/>
      <c r="L50" s="2142"/>
      <c r="M50" s="2130"/>
      <c r="N50" s="2130"/>
      <c r="O50" s="2143"/>
      <c r="P50" s="4227" t="str">
        <f>A50</f>
        <v>估价对象XX用房的比较价格（楼面单价，元/平方米）</v>
      </c>
      <c r="Q50" s="4228"/>
      <c r="R50" s="4229">
        <f>ROUND(AVERAGE(R49:V49),0)</f>
        <v>5182</v>
      </c>
      <c r="S50" s="4229"/>
      <c r="T50" s="4229"/>
      <c r="U50" s="4229"/>
      <c r="V50" s="4229"/>
      <c r="W50" s="422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4.5620437956204407E-2</v>
      </c>
      <c r="F53" s="625" t="str">
        <f>IF(OR(E53&gt;=0.3,E53&lt;=-0.3),"超过30%","")</f>
        <v/>
      </c>
      <c r="G53" s="624">
        <f>IF(G48&lt;G49,G49/G48-1,G48/G49-1)</f>
        <v>0.15014050582095551</v>
      </c>
      <c r="H53" s="625" t="str">
        <f>IF(OR(G53&gt;=0.3,G53&lt;=-0.3),"超过30%","")</f>
        <v/>
      </c>
      <c r="I53" s="624">
        <f>IF(I48&lt;I49,I49/I48-1,I48/I49-1)</f>
        <v>0.12706530291109353</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9.9959855479726967E-2</v>
      </c>
      <c r="F54" s="625" t="str">
        <f>IF(OR(E54&gt;=0.2,E54&lt;=-0.2),"超过20%","")</f>
        <v/>
      </c>
      <c r="G54" s="624">
        <f>IF(G49&lt;I49,I49/G49-1,G49/I49-1)</f>
        <v>2.0473705339221215E-2</v>
      </c>
      <c r="H54" s="625" t="str">
        <f>IF(OR(G54&gt;=0.2,G54&lt;=-0.2),"超过20%","")</f>
        <v/>
      </c>
      <c r="I54" s="624">
        <f>IF(I49&lt;E49,E49/I49-1,I49/E49-1)</f>
        <v>7.7891424075531068E-2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0</v>
      </c>
      <c r="H55" s="625" t="str">
        <f>IF(OR(G55&gt;=0.3,G55&lt;=-0.3),"超过30%","")</f>
        <v/>
      </c>
      <c r="I55" s="624">
        <f>IF(I48&lt;E48,E48/I48-1,I48/E48-1)</f>
        <v>0</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190" t="s">
        <v>2283</v>
      </c>
      <c r="H57" s="4191"/>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5182</v>
      </c>
      <c r="C58" s="633">
        <v>1</v>
      </c>
      <c r="D58" s="2226">
        <v>1</v>
      </c>
      <c r="E58" s="633">
        <f>'数据-汇总表'!E8+'数据-汇总表'!E9</f>
        <v>336517.39</v>
      </c>
      <c r="F58" s="634">
        <f t="shared" ref="F58:F67" si="15">ROUND(B58*E58/10000,0)</f>
        <v>174383</v>
      </c>
      <c r="G58" s="4192"/>
      <c r="H58" s="4193"/>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194"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194"/>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194"/>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194"/>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212563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922</v>
      </c>
      <c r="B73" s="477" t="str">
        <f>"北京市平均增长率"&amp;TEXT(SUMIF(基准地价!N21:N25,A73,基准地价!P21:P25),"0.00%")</f>
        <v>北京市平均增长率2.50%</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42.75">
      <c r="A77" s="662" t="s">
        <v>577</v>
      </c>
      <c r="B77" s="663" t="s">
        <v>534</v>
      </c>
      <c r="C77" s="3406" t="s">
        <v>4387</v>
      </c>
      <c r="D77" s="596" t="str">
        <f>住宅用地案例!G6</f>
        <v>城镇住宅用地、商服用地</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29.25" thickTop="1">
      <c r="A81" s="667"/>
      <c r="B81" s="679" t="s">
        <v>538</v>
      </c>
      <c r="C81" s="680" t="str">
        <f>C82&amp;"（含）"&amp;"-"&amp;D82</f>
        <v>1（含）-1.5</v>
      </c>
      <c r="D81" s="680" t="str">
        <f t="shared" ref="D81:L81" si="21">D82&amp;"（含）"&amp;"-"&amp;E82</f>
        <v>1.5（含）-2</v>
      </c>
      <c r="E81" s="680" t="str">
        <f t="shared" si="21"/>
        <v>2（含）-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1</v>
      </c>
      <c r="D82" s="539">
        <v>1.5</v>
      </c>
      <c r="E82" s="539">
        <v>2</v>
      </c>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407" t="s">
        <v>4417</v>
      </c>
      <c r="D84" s="540"/>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2550</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4394</v>
      </c>
      <c r="D108" s="3407" t="s">
        <v>4396</v>
      </c>
      <c r="E108" s="3407" t="s">
        <v>4397</v>
      </c>
      <c r="F108" s="3407" t="s">
        <v>4399</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4388</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4389</v>
      </c>
      <c r="D125" s="1373"/>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4390</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 zoomScale="80" zoomScaleNormal="95" zoomScaleSheetLayoutView="80" workbookViewId="0">
      <selection activeCell="H64" sqref="H64"/>
    </sheetView>
  </sheetViews>
  <sheetFormatPr defaultRowHeight="14.25"/>
  <cols>
    <col min="1" max="1" width="15.62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45696</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3"/>
    </row>
    <row r="3" spans="1:30" s="1334" customFormat="1" ht="28.5" customHeight="1">
      <c r="A3" s="1377" t="s">
        <v>1684</v>
      </c>
      <c r="B3" s="508">
        <f>ROUND(B2*10000/'数据-汇总表'!E3,0)</f>
        <v>1022</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1114</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74</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0.25">
      <c r="A6" s="510" t="s">
        <v>521</v>
      </c>
      <c r="B6" s="511"/>
      <c r="C6" s="4212" t="s">
        <v>522</v>
      </c>
      <c r="D6" s="4213"/>
      <c r="E6" s="4212" t="s">
        <v>523</v>
      </c>
      <c r="F6" s="4213"/>
      <c r="G6" s="4212" t="s">
        <v>524</v>
      </c>
      <c r="H6" s="4213"/>
      <c r="I6" s="4212" t="s">
        <v>525</v>
      </c>
      <c r="J6" s="4213"/>
      <c r="K6" s="512" t="s">
        <v>526</v>
      </c>
      <c r="L6" s="2131"/>
      <c r="M6" s="2130"/>
      <c r="N6" s="2130"/>
      <c r="O6" s="2132"/>
      <c r="P6" s="4214" t="s">
        <v>527</v>
      </c>
      <c r="Q6" s="4215"/>
      <c r="R6" s="4200" t="s">
        <v>523</v>
      </c>
      <c r="S6" s="4201"/>
      <c r="T6" s="4200" t="s">
        <v>524</v>
      </c>
      <c r="U6" s="4201"/>
      <c r="V6" s="4220" t="s">
        <v>525</v>
      </c>
      <c r="W6" s="4220"/>
      <c r="X6" s="3192"/>
      <c r="Y6" s="4200" t="s">
        <v>527</v>
      </c>
      <c r="Z6" s="4201"/>
      <c r="AA6" s="4195" t="s">
        <v>523</v>
      </c>
      <c r="AB6" s="4196" t="s">
        <v>524</v>
      </c>
      <c r="AC6" s="4195" t="s">
        <v>525</v>
      </c>
    </row>
    <row r="7" spans="1:30" ht="20.25">
      <c r="A7" s="513"/>
      <c r="B7" s="514"/>
      <c r="C7" s="4223" t="s">
        <v>2917</v>
      </c>
      <c r="D7" s="4224"/>
      <c r="E7" s="4223" t="str">
        <f>商业用地案例!A5</f>
        <v>都江堰市青城山镇青景社区</v>
      </c>
      <c r="F7" s="4224"/>
      <c r="G7" s="4223" t="str">
        <f>商业用地案例!A6</f>
        <v>都江堰市青城山镇青景社区</v>
      </c>
      <c r="H7" s="4224"/>
      <c r="I7" s="4223" t="str">
        <f>商业用地案例!A15</f>
        <v>都江堰市青城山镇赤城社区、青田社区</v>
      </c>
      <c r="J7" s="4224"/>
      <c r="K7" s="512"/>
      <c r="L7" s="2131"/>
      <c r="M7" s="2130"/>
      <c r="N7" s="2130"/>
      <c r="O7" s="2132"/>
      <c r="P7" s="4216"/>
      <c r="Q7" s="4217"/>
      <c r="R7" s="4202"/>
      <c r="S7" s="4203"/>
      <c r="T7" s="4202"/>
      <c r="U7" s="4203"/>
      <c r="V7" s="4220"/>
      <c r="W7" s="4220"/>
      <c r="X7" s="3192"/>
      <c r="Y7" s="4202"/>
      <c r="Z7" s="4203"/>
      <c r="AA7" s="4196"/>
      <c r="AB7" s="4196"/>
      <c r="AC7" s="4196"/>
    </row>
    <row r="8" spans="1:30" ht="21" thickBot="1">
      <c r="A8" s="513"/>
      <c r="B8" s="514"/>
      <c r="C8" s="4225" t="s">
        <v>2921</v>
      </c>
      <c r="D8" s="4226"/>
      <c r="E8" s="4225" t="str">
        <f>商业用地案例!F5</f>
        <v>DJY2016-32(213)</v>
      </c>
      <c r="F8" s="4226"/>
      <c r="G8" s="4221" t="str">
        <f>商业用地案例!F6</f>
        <v>DJY2016-33(213)</v>
      </c>
      <c r="H8" s="4222"/>
      <c r="I8" s="4221" t="str">
        <f>商业用地案例!F15</f>
        <v>DJY2016-03(211)</v>
      </c>
      <c r="J8" s="4222"/>
      <c r="K8" s="512" t="s">
        <v>528</v>
      </c>
      <c r="L8" s="2131"/>
      <c r="M8" s="2130"/>
      <c r="N8" s="2130"/>
      <c r="O8" s="2132"/>
      <c r="P8" s="4218"/>
      <c r="Q8" s="4219"/>
      <c r="R8" s="4202"/>
      <c r="S8" s="4203"/>
      <c r="T8" s="4204"/>
      <c r="U8" s="4205"/>
      <c r="V8" s="4220"/>
      <c r="W8" s="4220"/>
      <c r="X8" s="3192"/>
      <c r="Y8" s="4204"/>
      <c r="Z8" s="4205"/>
      <c r="AA8" s="4197"/>
      <c r="AB8" s="4197"/>
      <c r="AC8" s="4197"/>
    </row>
    <row r="9" spans="1:30" s="1218" customFormat="1" ht="21" thickBot="1">
      <c r="A9" s="2934"/>
      <c r="B9" s="2941" t="s">
        <v>529</v>
      </c>
      <c r="C9" s="2933">
        <f>'数据-取费表'!B2</f>
        <v>43251</v>
      </c>
      <c r="D9" s="518">
        <v>100</v>
      </c>
      <c r="E9" s="519" t="str">
        <f>商业用地案例!K5</f>
        <v>2017-04-10</v>
      </c>
      <c r="F9" s="520">
        <f>SUMIF(72:72,YEAR(E9)&amp;"-"&amp;INT((MONTH(E9)+2)/3),73:73)</f>
        <v>96</v>
      </c>
      <c r="G9" s="521" t="str">
        <f>商业用地案例!K6</f>
        <v>2017-01-19</v>
      </c>
      <c r="H9" s="518">
        <f>SUMIF(72:72,YEAR(G9)&amp;"-"&amp;INT((MONTH(G9)+2)/3),73:73)</f>
        <v>95</v>
      </c>
      <c r="I9" s="521" t="str">
        <f>商业用地案例!K15</f>
        <v>2016-05-05</v>
      </c>
      <c r="J9" s="518">
        <f>SUMIF(72:72,YEAR(I9)&amp;"-"&amp;INT((MONTH(I9)+2)/3),73:73)</f>
        <v>92</v>
      </c>
      <c r="K9" s="522"/>
      <c r="L9" s="2133"/>
      <c r="M9" s="2130"/>
      <c r="N9" s="2130"/>
      <c r="O9" s="2134"/>
      <c r="P9" s="4198" t="s">
        <v>530</v>
      </c>
      <c r="Q9" s="4207"/>
      <c r="R9" s="1565" t="s">
        <v>8</v>
      </c>
      <c r="S9" s="1566">
        <f t="shared" ref="S9:S17" si="0">F9</f>
        <v>96</v>
      </c>
      <c r="T9" s="1565" t="s">
        <v>8</v>
      </c>
      <c r="U9" s="1566">
        <f t="shared" ref="U9:U17" si="1">H9</f>
        <v>95</v>
      </c>
      <c r="V9" s="1565" t="s">
        <v>8</v>
      </c>
      <c r="W9" s="1566">
        <f t="shared" ref="W9:W17" si="2">J9</f>
        <v>92</v>
      </c>
      <c r="X9" s="1567"/>
      <c r="Y9" s="4198" t="s">
        <v>530</v>
      </c>
      <c r="Z9" s="4199"/>
      <c r="AA9" s="1568">
        <f>D9/F9</f>
        <v>1.0416666666666667</v>
      </c>
      <c r="AB9" s="1568">
        <f>D9/H9</f>
        <v>1.0526315789473684</v>
      </c>
      <c r="AC9" s="1568">
        <f>D9/J9</f>
        <v>1.0869565217391304</v>
      </c>
    </row>
    <row r="10" spans="1:30" s="1218" customFormat="1" ht="21" thickBot="1">
      <c r="A10" s="2935"/>
      <c r="B10" s="2942" t="s">
        <v>531</v>
      </c>
      <c r="C10" s="854" t="s">
        <v>532</v>
      </c>
      <c r="D10" s="518">
        <v>100</v>
      </c>
      <c r="E10" s="523" t="s">
        <v>4357</v>
      </c>
      <c r="F10" s="520">
        <f>SUMIF(75:75,E10,76:76)-SUMIF(75:75,C10,76:76)+100</f>
        <v>100</v>
      </c>
      <c r="G10" s="523" t="s">
        <v>4357</v>
      </c>
      <c r="H10" s="518">
        <f>SUMIF(75:75,G10,76:76)-SUMIF(75:75,C10,76:76)+100</f>
        <v>100</v>
      </c>
      <c r="I10" s="523" t="s">
        <v>4357</v>
      </c>
      <c r="J10" s="518">
        <f>SUMIF(75:75,I10,76:76)-SUMIF(75:75,C10,76:76)+100</f>
        <v>100</v>
      </c>
      <c r="K10" s="522"/>
      <c r="L10" s="2133"/>
      <c r="M10" s="2130"/>
      <c r="N10" s="2130"/>
      <c r="O10" s="2134"/>
      <c r="P10" s="4198" t="s">
        <v>533</v>
      </c>
      <c r="Q10" s="4199"/>
      <c r="R10" s="1565" t="s">
        <v>8</v>
      </c>
      <c r="S10" s="1566">
        <f t="shared" si="0"/>
        <v>100</v>
      </c>
      <c r="T10" s="1565" t="s">
        <v>8</v>
      </c>
      <c r="U10" s="1566">
        <f t="shared" si="1"/>
        <v>100</v>
      </c>
      <c r="V10" s="1565" t="s">
        <v>8</v>
      </c>
      <c r="W10" s="1566">
        <f t="shared" si="2"/>
        <v>100</v>
      </c>
      <c r="X10" s="1567"/>
      <c r="Y10" s="4198" t="s">
        <v>533</v>
      </c>
      <c r="Z10" s="4199"/>
      <c r="AA10" s="1568">
        <f t="shared" ref="AA10:AA47" si="3">D10/F10</f>
        <v>1</v>
      </c>
      <c r="AB10" s="1568">
        <f t="shared" ref="AB10:AB47" si="4">D10/H10</f>
        <v>1</v>
      </c>
      <c r="AC10" s="1568">
        <f t="shared" ref="AC10:AC47" si="5">D10/J10</f>
        <v>1</v>
      </c>
    </row>
    <row r="11" spans="1:30" s="1218" customFormat="1" ht="20.25">
      <c r="A11" s="2936"/>
      <c r="B11" s="2943" t="s">
        <v>2755</v>
      </c>
      <c r="C11" s="2930" t="s">
        <v>2976</v>
      </c>
      <c r="D11" s="252">
        <v>100</v>
      </c>
      <c r="E11" s="524" t="s">
        <v>3427</v>
      </c>
      <c r="F11" s="252">
        <f>SUMIF(77:77,E11,78:78)-SUMIF(77:77,C11,78:78)+100</f>
        <v>100</v>
      </c>
      <c r="G11" s="524" t="s">
        <v>3427</v>
      </c>
      <c r="H11" s="252">
        <f>SUMIF(77:77,G11,78:78)-SUMIF(77:77,C11,78:78)+100</f>
        <v>100</v>
      </c>
      <c r="I11" s="524" t="s">
        <v>3415</v>
      </c>
      <c r="J11" s="252">
        <f>SUMIF(77:77,I11,78:78)-SUMIF(77:77,C11,78:78)+100</f>
        <v>100</v>
      </c>
      <c r="K11" s="522"/>
      <c r="L11" s="2133"/>
      <c r="M11" s="2130"/>
      <c r="N11" s="2130"/>
      <c r="O11" s="2135"/>
      <c r="P11" s="4206" t="s">
        <v>535</v>
      </c>
      <c r="Q11" s="3189" t="str">
        <f t="shared" ref="Q11:Q17" si="6">B11</f>
        <v>用途</v>
      </c>
      <c r="R11" s="1565" t="s">
        <v>8</v>
      </c>
      <c r="S11" s="1566">
        <f t="shared" si="0"/>
        <v>100</v>
      </c>
      <c r="T11" s="1565" t="s">
        <v>8</v>
      </c>
      <c r="U11" s="1566">
        <f t="shared" si="1"/>
        <v>100</v>
      </c>
      <c r="V11" s="1565" t="s">
        <v>8</v>
      </c>
      <c r="W11" s="1566">
        <f t="shared" si="2"/>
        <v>100</v>
      </c>
      <c r="X11" s="1567"/>
      <c r="Y11" s="4121" t="s">
        <v>536</v>
      </c>
      <c r="Z11" s="3188" t="str">
        <f t="shared" ref="Z11:Z17" si="7">Q11</f>
        <v>用途</v>
      </c>
      <c r="AA11" s="1568">
        <f t="shared" si="3"/>
        <v>1</v>
      </c>
      <c r="AB11" s="1568">
        <f t="shared" si="4"/>
        <v>1</v>
      </c>
      <c r="AC11" s="1568">
        <f t="shared" si="5"/>
        <v>1</v>
      </c>
    </row>
    <row r="12" spans="1:30" s="1336" customFormat="1" ht="27">
      <c r="A12" s="2937"/>
      <c r="B12" s="2942" t="s">
        <v>2756</v>
      </c>
      <c r="C12" s="908">
        <f>项目基本情况!E19</f>
        <v>33.770000000000003</v>
      </c>
      <c r="D12" s="253">
        <v>100</v>
      </c>
      <c r="E12" s="527" t="s">
        <v>4433</v>
      </c>
      <c r="F12" s="3458">
        <f>ROUND((1-1/(1+'数据-取费表'!H6)^E12)/(1-1/(1+'数据-取费表'!H6)^C12)*100,2)</f>
        <v>106.25</v>
      </c>
      <c r="G12" s="528" t="s">
        <v>4433</v>
      </c>
      <c r="H12" s="253">
        <f>ROUND((1-1/(1+'数据-取费表'!H6)^E12)/(1-1/(1+'数据-取费表'!H6)^C12)*100,2)</f>
        <v>106.25</v>
      </c>
      <c r="I12" s="528" t="s">
        <v>4434</v>
      </c>
      <c r="J12" s="253">
        <f>ROUND((1-1/(1+'数据-取费表'!H6)^E12)/(1-1/(1+'数据-取费表'!H6)^C12)*100,2)</f>
        <v>106.25</v>
      </c>
      <c r="K12" s="529"/>
      <c r="L12" s="2136"/>
      <c r="M12" s="2130"/>
      <c r="N12" s="2130"/>
      <c r="O12" s="2137"/>
      <c r="P12" s="4206"/>
      <c r="Q12" s="3189" t="str">
        <f t="shared" si="6"/>
        <v>土地使用年限（年）</v>
      </c>
      <c r="R12" s="1565" t="s">
        <v>8</v>
      </c>
      <c r="S12" s="1566">
        <f t="shared" si="0"/>
        <v>106.25</v>
      </c>
      <c r="T12" s="1565" t="s">
        <v>8</v>
      </c>
      <c r="U12" s="1566">
        <f t="shared" si="1"/>
        <v>106.25</v>
      </c>
      <c r="V12" s="1565" t="s">
        <v>8</v>
      </c>
      <c r="W12" s="1566">
        <f t="shared" si="2"/>
        <v>106.25</v>
      </c>
      <c r="X12" s="1567"/>
      <c r="Y12" s="4121"/>
      <c r="Z12" s="3188" t="str">
        <f t="shared" si="7"/>
        <v>土地使用年限（年）</v>
      </c>
      <c r="AA12" s="1568">
        <f t="shared" si="3"/>
        <v>0.94117647058823528</v>
      </c>
      <c r="AB12" s="1568">
        <f t="shared" si="4"/>
        <v>0.94117647058823528</v>
      </c>
      <c r="AC12" s="1568">
        <f t="shared" si="5"/>
        <v>0.94117647058823528</v>
      </c>
    </row>
    <row r="13" spans="1:30" ht="20.25">
      <c r="A13" s="2938"/>
      <c r="B13" s="2942" t="s">
        <v>2757</v>
      </c>
      <c r="C13" s="532">
        <v>0.8</v>
      </c>
      <c r="D13" s="253">
        <v>100</v>
      </c>
      <c r="E13" s="531">
        <v>0.9</v>
      </c>
      <c r="F13" s="253">
        <f>LOOKUP(E13,82:82,83:83)-LOOKUP(C13,82:82,83:83)+100</f>
        <v>100</v>
      </c>
      <c r="G13" s="532">
        <v>0.9</v>
      </c>
      <c r="H13" s="253">
        <f>LOOKUP(G13,82:82,83:83)-LOOKUP(C13,82:82,83:83)+100</f>
        <v>100</v>
      </c>
      <c r="I13" s="531">
        <v>0.7</v>
      </c>
      <c r="J13" s="253">
        <f>LOOKUP(I13,82:82,83:83)-LOOKUP(C13,82:82,83:83)+100</f>
        <v>100</v>
      </c>
      <c r="K13" s="533">
        <v>5</v>
      </c>
      <c r="L13" s="2138"/>
      <c r="M13" s="2130"/>
      <c r="N13" s="2130"/>
      <c r="O13" s="2139"/>
      <c r="P13" s="4206"/>
      <c r="Q13" s="3189" t="str">
        <f t="shared" si="6"/>
        <v>容积率</v>
      </c>
      <c r="R13" s="1565" t="s">
        <v>8</v>
      </c>
      <c r="S13" s="1566">
        <f t="shared" si="0"/>
        <v>100</v>
      </c>
      <c r="T13" s="1565" t="s">
        <v>8</v>
      </c>
      <c r="U13" s="1566">
        <f t="shared" si="1"/>
        <v>100</v>
      </c>
      <c r="V13" s="1565" t="s">
        <v>8</v>
      </c>
      <c r="W13" s="1566">
        <f t="shared" si="2"/>
        <v>100</v>
      </c>
      <c r="X13" s="1567"/>
      <c r="Y13" s="4121"/>
      <c r="Z13" s="3188" t="str">
        <f t="shared" si="7"/>
        <v>容积率</v>
      </c>
      <c r="AA13" s="1568">
        <f t="shared" si="3"/>
        <v>1</v>
      </c>
      <c r="AB13" s="1568">
        <f t="shared" si="4"/>
        <v>1</v>
      </c>
      <c r="AC13" s="1568">
        <f t="shared" si="5"/>
        <v>1</v>
      </c>
    </row>
    <row r="14" spans="1:30" s="1218" customFormat="1" ht="20.25">
      <c r="A14" s="2935"/>
      <c r="B14" s="2944" t="s">
        <v>2758</v>
      </c>
      <c r="C14" s="2931"/>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4206"/>
      <c r="Q14" s="3189" t="str">
        <f t="shared" si="6"/>
        <v>配建</v>
      </c>
      <c r="R14" s="1565" t="s">
        <v>8</v>
      </c>
      <c r="S14" s="1566">
        <f t="shared" si="0"/>
        <v>100</v>
      </c>
      <c r="T14" s="1565" t="s">
        <v>8</v>
      </c>
      <c r="U14" s="1566">
        <f t="shared" si="1"/>
        <v>100</v>
      </c>
      <c r="V14" s="1565" t="s">
        <v>8</v>
      </c>
      <c r="W14" s="1566">
        <f t="shared" si="2"/>
        <v>100</v>
      </c>
      <c r="X14" s="1567"/>
      <c r="Y14" s="4121"/>
      <c r="Z14" s="3188" t="str">
        <f t="shared" si="7"/>
        <v>配建</v>
      </c>
      <c r="AA14" s="1568">
        <f>D14/F14</f>
        <v>1</v>
      </c>
      <c r="AB14" s="1568">
        <f>D14/H14</f>
        <v>1</v>
      </c>
      <c r="AC14" s="1568">
        <f>D14/J14</f>
        <v>1</v>
      </c>
    </row>
    <row r="15" spans="1:30" ht="21" thickBot="1">
      <c r="A15" s="2939"/>
      <c r="B15" s="2945"/>
      <c r="C15" s="910"/>
      <c r="D15" s="538">
        <v>100</v>
      </c>
      <c r="E15" s="539"/>
      <c r="F15" s="253">
        <f>SUMIF(86:86,E15,87:87)-SUMIF(86:86,C15,87:87)+100</f>
        <v>100</v>
      </c>
      <c r="G15" s="3435" t="s">
        <v>4410</v>
      </c>
      <c r="H15" s="538">
        <f>SUMIF(86:86,G15,87:87)-SUMIF(86:86,C15,87:87)+100</f>
        <v>100</v>
      </c>
      <c r="I15" s="540" t="s">
        <v>4409</v>
      </c>
      <c r="J15" s="538">
        <f>SUMIF(86:86,I15,87:87)-SUMIF(86:86,C15,87:87)+100</f>
        <v>100</v>
      </c>
      <c r="K15" s="529"/>
      <c r="L15" s="2140"/>
      <c r="M15" s="2130"/>
      <c r="N15" s="2130"/>
      <c r="O15" s="2139"/>
      <c r="P15" s="4206"/>
      <c r="Q15" s="3189">
        <f t="shared" si="6"/>
        <v>0</v>
      </c>
      <c r="R15" s="1565" t="s">
        <v>8</v>
      </c>
      <c r="S15" s="1566">
        <f t="shared" si="0"/>
        <v>100</v>
      </c>
      <c r="T15" s="1565" t="s">
        <v>8</v>
      </c>
      <c r="U15" s="1566">
        <f t="shared" si="1"/>
        <v>100</v>
      </c>
      <c r="V15" s="1565" t="s">
        <v>8</v>
      </c>
      <c r="W15" s="1566">
        <f t="shared" si="2"/>
        <v>100</v>
      </c>
      <c r="X15" s="1567"/>
      <c r="Y15" s="4121"/>
      <c r="Z15" s="3188">
        <f t="shared" si="7"/>
        <v>0</v>
      </c>
      <c r="AA15" s="1568">
        <f>D15/F15</f>
        <v>1</v>
      </c>
      <c r="AB15" s="1568">
        <f>D15/H15</f>
        <v>1</v>
      </c>
      <c r="AC15" s="1568">
        <f>D15/J15</f>
        <v>1</v>
      </c>
    </row>
    <row r="16" spans="1:30" ht="21" hidden="1" thickBot="1">
      <c r="A16" s="2940"/>
      <c r="B16" s="2946"/>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4206"/>
      <c r="Q16" s="3189">
        <f t="shared" si="6"/>
        <v>0</v>
      </c>
      <c r="R16" s="1565" t="s">
        <v>8</v>
      </c>
      <c r="S16" s="1566">
        <f t="shared" si="0"/>
        <v>100</v>
      </c>
      <c r="T16" s="1565" t="s">
        <v>8</v>
      </c>
      <c r="U16" s="1566">
        <f t="shared" si="1"/>
        <v>100</v>
      </c>
      <c r="V16" s="1565" t="s">
        <v>8</v>
      </c>
      <c r="W16" s="1566">
        <f t="shared" si="2"/>
        <v>100</v>
      </c>
      <c r="X16" s="1567"/>
      <c r="Y16" s="4121"/>
      <c r="Z16" s="3188">
        <f t="shared" si="7"/>
        <v>0</v>
      </c>
      <c r="AA16" s="1568">
        <f>D16/F16</f>
        <v>1</v>
      </c>
      <c r="AB16" s="1568">
        <f>D16/H16</f>
        <v>1</v>
      </c>
      <c r="AC16" s="1568">
        <f>D16/J16</f>
        <v>1</v>
      </c>
    </row>
    <row r="17" spans="1:29" ht="28.5" hidden="1">
      <c r="A17" s="2932" t="s">
        <v>2753</v>
      </c>
      <c r="B17" s="576" t="s">
        <v>295</v>
      </c>
      <c r="C17" s="546" t="str">
        <f>估价对象房地状况!C15</f>
        <v>周边居住用地比例、居住小区规模和社区发展完善程度</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4208" t="s">
        <v>540</v>
      </c>
      <c r="Q17" s="3190" t="str">
        <f t="shared" si="6"/>
        <v>居住社区成熟度</v>
      </c>
      <c r="R17" s="1570" t="s">
        <v>8</v>
      </c>
      <c r="S17" s="1571">
        <f t="shared" si="0"/>
        <v>100</v>
      </c>
      <c r="T17" s="1570" t="s">
        <v>8</v>
      </c>
      <c r="U17" s="1571">
        <f t="shared" si="1"/>
        <v>100</v>
      </c>
      <c r="V17" s="1570" t="s">
        <v>8</v>
      </c>
      <c r="W17" s="1571">
        <f t="shared" si="2"/>
        <v>100</v>
      </c>
      <c r="X17" s="3192"/>
      <c r="Y17" s="4208" t="s">
        <v>540</v>
      </c>
      <c r="Z17" s="3191" t="str">
        <f t="shared" si="7"/>
        <v>居住社区成熟度</v>
      </c>
      <c r="AA17" s="3194">
        <f t="shared" si="3"/>
        <v>1</v>
      </c>
      <c r="AB17" s="3194">
        <f t="shared" si="4"/>
        <v>1</v>
      </c>
      <c r="AC17" s="3194">
        <f t="shared" si="5"/>
        <v>1</v>
      </c>
    </row>
    <row r="18" spans="1:29" ht="20.25" hidden="1">
      <c r="A18" s="530"/>
      <c r="B18" s="551"/>
      <c r="C18" s="552"/>
      <c r="D18" s="555"/>
      <c r="E18" s="567"/>
      <c r="F18" s="557"/>
      <c r="G18" s="554"/>
      <c r="H18" s="557"/>
      <c r="I18" s="556"/>
      <c r="J18" s="553"/>
      <c r="K18" s="529"/>
      <c r="L18" s="2140"/>
      <c r="M18" s="2130"/>
      <c r="N18" s="2130"/>
      <c r="O18" s="2139"/>
      <c r="P18" s="4209"/>
      <c r="Q18" s="3190"/>
      <c r="R18" s="1570"/>
      <c r="S18" s="1571"/>
      <c r="T18" s="1570"/>
      <c r="U18" s="1571"/>
      <c r="V18" s="1570"/>
      <c r="W18" s="1571"/>
      <c r="X18" s="3192"/>
      <c r="Y18" s="4209"/>
      <c r="Z18" s="3191"/>
      <c r="AA18" s="3194">
        <v>1</v>
      </c>
      <c r="AB18" s="3194">
        <v>1</v>
      </c>
      <c r="AC18" s="3194">
        <v>1</v>
      </c>
    </row>
    <row r="19" spans="1:29" ht="28.5">
      <c r="A19" s="530"/>
      <c r="B19" s="558" t="s">
        <v>541</v>
      </c>
      <c r="C19" s="559" t="str">
        <f>估价对象房地状况!C16</f>
        <v>XX商圈，周边商业氛围，人流量</v>
      </c>
      <c r="D19" s="561">
        <v>100</v>
      </c>
      <c r="E19" s="550"/>
      <c r="F19" s="547">
        <f>SUMIF(92:92,E20,93:93)-SUMIF(92:92,C20,93:93)+100</f>
        <v>103</v>
      </c>
      <c r="G19" s="560"/>
      <c r="H19" s="563">
        <f>SUMIF(92:92,G20,93:93)-SUMIF(92:92,C20,93:93)+100</f>
        <v>103</v>
      </c>
      <c r="I19" s="562"/>
      <c r="J19" s="563">
        <f>SUMIF(92:92,I20,93:93)-SUMIF(92:92,C20,93:93)+100</f>
        <v>103</v>
      </c>
      <c r="K19" s="533">
        <v>3</v>
      </c>
      <c r="L19" s="2140"/>
      <c r="M19" s="2130"/>
      <c r="N19" s="2130"/>
      <c r="O19" s="2139"/>
      <c r="P19" s="4209"/>
      <c r="Q19" s="3190" t="str">
        <f>B19</f>
        <v>商业繁华度</v>
      </c>
      <c r="R19" s="1570" t="s">
        <v>8</v>
      </c>
      <c r="S19" s="1571">
        <f>F19</f>
        <v>103</v>
      </c>
      <c r="T19" s="1570" t="s">
        <v>8</v>
      </c>
      <c r="U19" s="1571">
        <f>H19</f>
        <v>103</v>
      </c>
      <c r="V19" s="1570" t="s">
        <v>8</v>
      </c>
      <c r="W19" s="1571">
        <f>J19</f>
        <v>103</v>
      </c>
      <c r="X19" s="3192"/>
      <c r="Y19" s="4209"/>
      <c r="Z19" s="3191" t="str">
        <f>Q19</f>
        <v>商业繁华度</v>
      </c>
      <c r="AA19" s="3194">
        <f t="shared" si="3"/>
        <v>0.970873786407767</v>
      </c>
      <c r="AB19" s="3194">
        <f t="shared" si="4"/>
        <v>0.970873786407767</v>
      </c>
      <c r="AC19" s="3194">
        <f t="shared" si="5"/>
        <v>0.970873786407767</v>
      </c>
    </row>
    <row r="20" spans="1:29" ht="20.25">
      <c r="A20" s="530"/>
      <c r="B20" s="564"/>
      <c r="C20" s="565" t="s">
        <v>4360</v>
      </c>
      <c r="D20" s="561"/>
      <c r="E20" s="567" t="s">
        <v>4361</v>
      </c>
      <c r="F20" s="557"/>
      <c r="G20" s="567" t="s">
        <v>4361</v>
      </c>
      <c r="H20" s="553"/>
      <c r="I20" s="567" t="s">
        <v>4361</v>
      </c>
      <c r="J20" s="553"/>
      <c r="K20" s="529"/>
      <c r="L20" s="2140"/>
      <c r="M20" s="2130"/>
      <c r="N20" s="2130"/>
      <c r="O20" s="2139"/>
      <c r="P20" s="4209"/>
      <c r="Q20" s="3190"/>
      <c r="R20" s="1570"/>
      <c r="S20" s="1571"/>
      <c r="T20" s="1570"/>
      <c r="U20" s="1571"/>
      <c r="V20" s="1570"/>
      <c r="W20" s="1571"/>
      <c r="X20" s="3192"/>
      <c r="Y20" s="4209"/>
      <c r="Z20" s="3191"/>
      <c r="AA20" s="3194">
        <v>1</v>
      </c>
      <c r="AB20" s="3194">
        <v>1</v>
      </c>
      <c r="AC20" s="319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4209"/>
      <c r="Q21" s="3190" t="str">
        <f>B21</f>
        <v>办公集聚程度</v>
      </c>
      <c r="R21" s="1570" t="s">
        <v>8</v>
      </c>
      <c r="S21" s="1571">
        <f>F21</f>
        <v>100</v>
      </c>
      <c r="T21" s="1570" t="s">
        <v>8</v>
      </c>
      <c r="U21" s="1571">
        <f>H21</f>
        <v>100</v>
      </c>
      <c r="V21" s="1570" t="s">
        <v>8</v>
      </c>
      <c r="W21" s="1571">
        <f>J21</f>
        <v>100</v>
      </c>
      <c r="X21" s="3192"/>
      <c r="Y21" s="4209"/>
      <c r="Z21" s="3191" t="str">
        <f>Q21</f>
        <v>办公集聚程度</v>
      </c>
      <c r="AA21" s="3194">
        <f t="shared" si="3"/>
        <v>1</v>
      </c>
      <c r="AB21" s="3194">
        <f t="shared" si="4"/>
        <v>1</v>
      </c>
      <c r="AC21" s="3194">
        <f t="shared" si="5"/>
        <v>1</v>
      </c>
    </row>
    <row r="22" spans="1:29" ht="20.25" hidden="1">
      <c r="A22" s="530"/>
      <c r="B22" s="564"/>
      <c r="C22" s="552"/>
      <c r="D22" s="555"/>
      <c r="E22" s="556"/>
      <c r="F22" s="553"/>
      <c r="G22" s="554"/>
      <c r="H22" s="553"/>
      <c r="I22" s="556"/>
      <c r="J22" s="553"/>
      <c r="K22" s="529"/>
      <c r="L22" s="2140"/>
      <c r="M22" s="2130"/>
      <c r="N22" s="2130"/>
      <c r="O22" s="2139"/>
      <c r="P22" s="4209"/>
      <c r="Q22" s="3190"/>
      <c r="R22" s="1570"/>
      <c r="S22" s="1571"/>
      <c r="T22" s="1570"/>
      <c r="U22" s="1571"/>
      <c r="V22" s="1570"/>
      <c r="W22" s="1571"/>
      <c r="X22" s="3192"/>
      <c r="Y22" s="4209"/>
      <c r="Z22" s="3191"/>
      <c r="AA22" s="3194">
        <v>1</v>
      </c>
      <c r="AB22" s="3194">
        <v>1</v>
      </c>
      <c r="AC22" s="3194">
        <v>1</v>
      </c>
    </row>
    <row r="23" spans="1:29" ht="28.5">
      <c r="A23" s="530"/>
      <c r="B23" s="558" t="s">
        <v>543</v>
      </c>
      <c r="C23" s="571" t="str">
        <f>估价对象房地状况!C18</f>
        <v>周边道路状况、公共交通通达情况、停车便捷程度</v>
      </c>
      <c r="D23" s="561">
        <v>100</v>
      </c>
      <c r="E23" s="562"/>
      <c r="F23" s="563">
        <f>SUMIF(96:96,E24,97:97)-SUMIF(96:96,C24,97:97)+100</f>
        <v>100</v>
      </c>
      <c r="G23" s="560"/>
      <c r="H23" s="557">
        <f>SUMIF(96:96,G24,97:97)-SUMIF(96:96,C24,97:97)+100</f>
        <v>100</v>
      </c>
      <c r="I23" s="562"/>
      <c r="J23" s="557">
        <f>SUMIF(96:96,I24,97:97)-SUMIF(96:96,C24,97:97)+100</f>
        <v>100</v>
      </c>
      <c r="K23" s="533">
        <f>'比较法-住宅用途（地面价）'!K23</f>
        <v>3</v>
      </c>
      <c r="L23" s="2140"/>
      <c r="M23" s="2130"/>
      <c r="N23" s="2130"/>
      <c r="O23" s="2139"/>
      <c r="P23" s="4209"/>
      <c r="Q23" s="3190" t="str">
        <f>B23</f>
        <v>交通便捷度</v>
      </c>
      <c r="R23" s="1570" t="s">
        <v>8</v>
      </c>
      <c r="S23" s="1571">
        <f>F23</f>
        <v>100</v>
      </c>
      <c r="T23" s="1570" t="s">
        <v>8</v>
      </c>
      <c r="U23" s="1571">
        <f>H23</f>
        <v>100</v>
      </c>
      <c r="V23" s="1570" t="s">
        <v>8</v>
      </c>
      <c r="W23" s="1571">
        <f>J23</f>
        <v>100</v>
      </c>
      <c r="X23" s="3192"/>
      <c r="Y23" s="4209"/>
      <c r="Z23" s="3191" t="str">
        <f>Q23</f>
        <v>交通便捷度</v>
      </c>
      <c r="AA23" s="3194">
        <f t="shared" si="3"/>
        <v>1</v>
      </c>
      <c r="AB23" s="3194">
        <f t="shared" si="4"/>
        <v>1</v>
      </c>
      <c r="AC23" s="3194">
        <f t="shared" si="5"/>
        <v>1</v>
      </c>
    </row>
    <row r="24" spans="1:29" ht="20.25">
      <c r="A24" s="530"/>
      <c r="B24" s="576"/>
      <c r="C24" s="552" t="s">
        <v>4361</v>
      </c>
      <c r="D24" s="555"/>
      <c r="E24" s="574" t="s">
        <v>4361</v>
      </c>
      <c r="F24" s="553"/>
      <c r="G24" s="552" t="s">
        <v>4361</v>
      </c>
      <c r="H24" s="553"/>
      <c r="I24" s="552" t="s">
        <v>4361</v>
      </c>
      <c r="J24" s="553"/>
      <c r="K24" s="529"/>
      <c r="L24" s="2140"/>
      <c r="M24" s="2130"/>
      <c r="N24" s="2130"/>
      <c r="O24" s="2139"/>
      <c r="P24" s="4209"/>
      <c r="Q24" s="3190"/>
      <c r="R24" s="1570"/>
      <c r="S24" s="1571"/>
      <c r="T24" s="1570"/>
      <c r="U24" s="1571"/>
      <c r="V24" s="1570"/>
      <c r="W24" s="1571"/>
      <c r="X24" s="3192"/>
      <c r="Y24" s="4209"/>
      <c r="Z24" s="3191"/>
      <c r="AA24" s="3194">
        <v>1</v>
      </c>
      <c r="AB24" s="3194">
        <v>1</v>
      </c>
      <c r="AC24" s="3194">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0"/>
      <c r="J25" s="557">
        <f>SUMIF(98:98,I26,99:99)-SUMIF(98:98,C26,99:99)+100</f>
        <v>100</v>
      </c>
      <c r="K25" s="533">
        <f>'比较法-住宅用途（地面价）'!K25</f>
        <v>5</v>
      </c>
      <c r="L25" s="2140"/>
      <c r="M25" s="2130"/>
      <c r="N25" s="2130"/>
      <c r="O25" s="2139"/>
      <c r="P25" s="4209"/>
      <c r="Q25" s="3190" t="str">
        <f t="shared" ref="Q25:Q39" si="8">B25</f>
        <v>区域土地利用方向</v>
      </c>
      <c r="R25" s="1570" t="s">
        <v>8</v>
      </c>
      <c r="S25" s="1571">
        <f>F25</f>
        <v>100</v>
      </c>
      <c r="T25" s="1570" t="s">
        <v>8</v>
      </c>
      <c r="U25" s="1571">
        <f>H25</f>
        <v>100</v>
      </c>
      <c r="V25" s="1570" t="s">
        <v>8</v>
      </c>
      <c r="W25" s="1571">
        <f>J25</f>
        <v>100</v>
      </c>
      <c r="X25" s="3192"/>
      <c r="Y25" s="4209"/>
      <c r="Z25" s="3191" t="str">
        <f>Q25</f>
        <v>区域土地利用方向</v>
      </c>
      <c r="AA25" s="3194">
        <f t="shared" si="3"/>
        <v>1</v>
      </c>
      <c r="AB25" s="3194">
        <f t="shared" si="4"/>
        <v>1</v>
      </c>
      <c r="AC25" s="3194">
        <f t="shared" si="5"/>
        <v>1</v>
      </c>
    </row>
    <row r="26" spans="1:29" ht="20.25">
      <c r="A26" s="513"/>
      <c r="B26" s="1005"/>
      <c r="C26" s="552" t="s">
        <v>4362</v>
      </c>
      <c r="D26" s="555"/>
      <c r="E26" s="574" t="s">
        <v>4362</v>
      </c>
      <c r="F26" s="553"/>
      <c r="G26" s="552" t="s">
        <v>4362</v>
      </c>
      <c r="H26" s="553"/>
      <c r="I26" s="552" t="s">
        <v>4362</v>
      </c>
      <c r="J26" s="553"/>
      <c r="K26" s="529"/>
      <c r="L26" s="2140"/>
      <c r="M26" s="2130"/>
      <c r="N26" s="2130"/>
      <c r="O26" s="2139"/>
      <c r="P26" s="4209"/>
      <c r="Q26" s="3190"/>
      <c r="R26" s="1570"/>
      <c r="S26" s="1571"/>
      <c r="T26" s="1570"/>
      <c r="U26" s="1571"/>
      <c r="V26" s="1570"/>
      <c r="W26" s="1571"/>
      <c r="X26" s="3192"/>
      <c r="Y26" s="4209"/>
      <c r="Z26" s="3191"/>
      <c r="AA26" s="3194"/>
      <c r="AB26" s="3194"/>
      <c r="AC26" s="3194"/>
    </row>
    <row r="27" spans="1:29" ht="27">
      <c r="A27" s="513"/>
      <c r="B27" s="576" t="s">
        <v>545</v>
      </c>
      <c r="C27" s="559">
        <f>估价对象房地状况!C20</f>
        <v>0</v>
      </c>
      <c r="D27" s="561">
        <v>100</v>
      </c>
      <c r="E27" s="562"/>
      <c r="F27" s="557">
        <f>SUMIF(100:100,E28,101:101)-SUMIF(100:100,C28,101:101)+100</f>
        <v>100</v>
      </c>
      <c r="G27" s="560"/>
      <c r="H27" s="557">
        <f>SUMIF(100:100,G28,101:101)-SUMIF(100:100,C28,101:101)+100</f>
        <v>100</v>
      </c>
      <c r="I27" s="560"/>
      <c r="J27" s="557">
        <f>SUMIF(100:100,I28,101:101)-SUMIF(100:100,C28,101:101)+100</f>
        <v>100</v>
      </c>
      <c r="K27" s="533">
        <f>'比较法-住宅用途（地面价）'!K27</f>
        <v>3</v>
      </c>
      <c r="L27" s="2140"/>
      <c r="M27" s="2130"/>
      <c r="N27" s="2130"/>
      <c r="O27" s="2139"/>
      <c r="P27" s="4209"/>
      <c r="Q27" s="3190" t="str">
        <f t="shared" si="8"/>
        <v>自然及人文环境状况</v>
      </c>
      <c r="R27" s="1570" t="s">
        <v>8</v>
      </c>
      <c r="S27" s="1571">
        <f>F27</f>
        <v>100</v>
      </c>
      <c r="T27" s="1570" t="s">
        <v>8</v>
      </c>
      <c r="U27" s="1571">
        <f>H27</f>
        <v>100</v>
      </c>
      <c r="V27" s="1570" t="s">
        <v>8</v>
      </c>
      <c r="W27" s="1571">
        <f>J27</f>
        <v>100</v>
      </c>
      <c r="X27" s="3192"/>
      <c r="Y27" s="4209"/>
      <c r="Z27" s="3191" t="str">
        <f>Q27</f>
        <v>自然及人文环境状况</v>
      </c>
      <c r="AA27" s="3194">
        <f t="shared" si="3"/>
        <v>1</v>
      </c>
      <c r="AB27" s="3194">
        <f t="shared" si="4"/>
        <v>1</v>
      </c>
      <c r="AC27" s="3194">
        <f t="shared" si="5"/>
        <v>1</v>
      </c>
    </row>
    <row r="28" spans="1:29" ht="20.25">
      <c r="A28" s="513"/>
      <c r="B28" s="564"/>
      <c r="C28" s="552" t="s">
        <v>4362</v>
      </c>
      <c r="D28" s="555"/>
      <c r="E28" s="574" t="s">
        <v>4362</v>
      </c>
      <c r="F28" s="553"/>
      <c r="G28" s="552" t="s">
        <v>4362</v>
      </c>
      <c r="H28" s="553"/>
      <c r="I28" s="552" t="s">
        <v>4362</v>
      </c>
      <c r="J28" s="553"/>
      <c r="K28" s="529"/>
      <c r="L28" s="2140"/>
      <c r="M28" s="2130"/>
      <c r="N28" s="2130"/>
      <c r="O28" s="2139"/>
      <c r="P28" s="4209"/>
      <c r="Q28" s="3190"/>
      <c r="R28" s="1570"/>
      <c r="S28" s="1571"/>
      <c r="T28" s="1570"/>
      <c r="U28" s="1571"/>
      <c r="V28" s="1570"/>
      <c r="W28" s="1571"/>
      <c r="X28" s="3192"/>
      <c r="Y28" s="4209"/>
      <c r="Z28" s="3191"/>
      <c r="AA28" s="3194">
        <v>1</v>
      </c>
      <c r="AB28" s="3194">
        <v>1</v>
      </c>
      <c r="AC28" s="3194">
        <v>1</v>
      </c>
    </row>
    <row r="29" spans="1:29" s="1218" customFormat="1" ht="20.25">
      <c r="A29" s="575"/>
      <c r="B29" s="2613" t="s">
        <v>2548</v>
      </c>
      <c r="C29" s="571">
        <f>估价对象房地状况!C21</f>
        <v>0</v>
      </c>
      <c r="D29" s="561">
        <v>100</v>
      </c>
      <c r="E29" s="562"/>
      <c r="F29" s="557">
        <f>SUMIF(102:102,E30,103:103)-SUMIF(102:102,C30,103:103)+100</f>
        <v>102</v>
      </c>
      <c r="G29" s="560"/>
      <c r="H29" s="557">
        <f>SUMIF(102:102,G30,103:103)-SUMIF(102:102,C30,103:103)+100</f>
        <v>102</v>
      </c>
      <c r="I29" s="560"/>
      <c r="J29" s="557">
        <f>SUMIF(102:102,I30,103:103)-SUMIF(102:102,C30,103:103)+100</f>
        <v>100</v>
      </c>
      <c r="K29" s="533">
        <f>'比较法-住宅用途（地面价）'!K29</f>
        <v>2</v>
      </c>
      <c r="L29" s="2133"/>
      <c r="M29" s="2130"/>
      <c r="N29" s="2130"/>
      <c r="O29" s="2135"/>
      <c r="P29" s="4209"/>
      <c r="Q29" s="3189" t="str">
        <f t="shared" si="8"/>
        <v>公共配套设施</v>
      </c>
      <c r="R29" s="1565" t="s">
        <v>8</v>
      </c>
      <c r="S29" s="1566">
        <f>F29</f>
        <v>102</v>
      </c>
      <c r="T29" s="1565" t="s">
        <v>8</v>
      </c>
      <c r="U29" s="1566">
        <f>H29</f>
        <v>102</v>
      </c>
      <c r="V29" s="1565" t="s">
        <v>8</v>
      </c>
      <c r="W29" s="1566">
        <f>J29</f>
        <v>100</v>
      </c>
      <c r="X29" s="1567"/>
      <c r="Y29" s="4209"/>
      <c r="Z29" s="3188" t="str">
        <f>Q29</f>
        <v>公共配套设施</v>
      </c>
      <c r="AA29" s="3194">
        <f>D29/F29</f>
        <v>0.98039215686274506</v>
      </c>
      <c r="AB29" s="3194">
        <f>D29/H29</f>
        <v>0.98039215686274506</v>
      </c>
      <c r="AC29" s="3194">
        <f>D29/J29</f>
        <v>1</v>
      </c>
    </row>
    <row r="30" spans="1:29" s="1218" customFormat="1" ht="20.25">
      <c r="A30" s="575"/>
      <c r="B30" s="564"/>
      <c r="C30" s="577" t="s">
        <v>4361</v>
      </c>
      <c r="D30" s="555"/>
      <c r="E30" s="3508" t="s">
        <v>4362</v>
      </c>
      <c r="F30" s="553"/>
      <c r="G30" s="577" t="s">
        <v>4362</v>
      </c>
      <c r="H30" s="553"/>
      <c r="I30" s="577" t="s">
        <v>4361</v>
      </c>
      <c r="J30" s="553"/>
      <c r="K30" s="529"/>
      <c r="L30" s="2133"/>
      <c r="M30" s="2130"/>
      <c r="N30" s="2130"/>
      <c r="O30" s="2135"/>
      <c r="P30" s="4209"/>
      <c r="Q30" s="3189"/>
      <c r="R30" s="1565"/>
      <c r="S30" s="1566"/>
      <c r="T30" s="1565"/>
      <c r="U30" s="1566"/>
      <c r="V30" s="1565"/>
      <c r="W30" s="1566"/>
      <c r="X30" s="1567"/>
      <c r="Y30" s="4209"/>
      <c r="Z30" s="3188"/>
      <c r="AA30" s="3194">
        <v>1</v>
      </c>
      <c r="AB30" s="3194">
        <v>1</v>
      </c>
      <c r="AC30" s="3194">
        <v>1</v>
      </c>
    </row>
    <row r="31" spans="1:29" s="1218" customFormat="1" ht="20.25">
      <c r="A31" s="575"/>
      <c r="B31" s="2613" t="s">
        <v>2549</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f>'比较法-住宅用途（地面价）'!K31</f>
        <v>2</v>
      </c>
      <c r="L31" s="2133"/>
      <c r="M31" s="2130"/>
      <c r="N31" s="2130"/>
      <c r="O31" s="2135"/>
      <c r="P31" s="4209"/>
      <c r="Q31" s="3189" t="str">
        <f t="shared" ref="Q31" si="9">B31</f>
        <v>基础设施水平</v>
      </c>
      <c r="R31" s="1565" t="s">
        <v>8</v>
      </c>
      <c r="S31" s="1566">
        <f>F31</f>
        <v>100</v>
      </c>
      <c r="T31" s="1565" t="s">
        <v>8</v>
      </c>
      <c r="U31" s="1566">
        <f>H31</f>
        <v>100</v>
      </c>
      <c r="V31" s="1565" t="s">
        <v>8</v>
      </c>
      <c r="W31" s="1566">
        <f>J31</f>
        <v>100</v>
      </c>
      <c r="X31" s="1567"/>
      <c r="Y31" s="4209"/>
      <c r="Z31" s="3188" t="str">
        <f>Q31</f>
        <v>基础设施水平</v>
      </c>
      <c r="AA31" s="3194">
        <f>D31/F31</f>
        <v>1</v>
      </c>
      <c r="AB31" s="3194">
        <f>D31/H31</f>
        <v>1</v>
      </c>
      <c r="AC31" s="3194">
        <f>D31/J31</f>
        <v>1</v>
      </c>
    </row>
    <row r="32" spans="1:29" s="1218" customFormat="1" ht="20.25">
      <c r="A32" s="575"/>
      <c r="B32" s="564"/>
      <c r="C32" s="577" t="s">
        <v>4350</v>
      </c>
      <c r="D32" s="555"/>
      <c r="E32" s="2614" t="s">
        <v>4350</v>
      </c>
      <c r="F32" s="553"/>
      <c r="G32" s="577" t="s">
        <v>4350</v>
      </c>
      <c r="H32" s="553"/>
      <c r="I32" s="577" t="s">
        <v>4350</v>
      </c>
      <c r="J32" s="553"/>
      <c r="K32" s="529"/>
      <c r="L32" s="2133"/>
      <c r="M32" s="2130"/>
      <c r="N32" s="2130"/>
      <c r="O32" s="2135"/>
      <c r="P32" s="4209"/>
      <c r="Q32" s="3189"/>
      <c r="R32" s="1565"/>
      <c r="S32" s="1566"/>
      <c r="T32" s="1565"/>
      <c r="U32" s="1566"/>
      <c r="V32" s="1565"/>
      <c r="W32" s="1566"/>
      <c r="X32" s="1567"/>
      <c r="Y32" s="4209"/>
      <c r="Z32" s="3188"/>
      <c r="AA32" s="3194">
        <v>1</v>
      </c>
      <c r="AB32" s="3194">
        <v>1</v>
      </c>
      <c r="AC32" s="3194">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0"/>
      <c r="M33" s="2130"/>
      <c r="N33" s="2130"/>
      <c r="O33" s="2139"/>
      <c r="P33" s="4209"/>
      <c r="Q33" s="3190" t="str">
        <f t="shared" si="8"/>
        <v>临街状况</v>
      </c>
      <c r="R33" s="1570" t="s">
        <v>8</v>
      </c>
      <c r="S33" s="1571">
        <f t="shared" ref="S33:S47" si="10">F33</f>
        <v>100</v>
      </c>
      <c r="T33" s="1570" t="s">
        <v>8</v>
      </c>
      <c r="U33" s="1571">
        <f t="shared" ref="U33:U47" si="11">H33</f>
        <v>100</v>
      </c>
      <c r="V33" s="1570" t="s">
        <v>8</v>
      </c>
      <c r="W33" s="1571">
        <f t="shared" ref="W33:W47" si="12">J33</f>
        <v>100</v>
      </c>
      <c r="X33" s="3192"/>
      <c r="Y33" s="4209"/>
      <c r="Z33" s="3191" t="str">
        <f t="shared" ref="Z33:Z47" si="13">Q33</f>
        <v>临街状况</v>
      </c>
      <c r="AA33" s="3194">
        <f t="shared" si="3"/>
        <v>1</v>
      </c>
      <c r="AB33" s="3194">
        <f t="shared" si="4"/>
        <v>1</v>
      </c>
      <c r="AC33" s="3194">
        <f t="shared" si="5"/>
        <v>1</v>
      </c>
    </row>
    <row r="34" spans="1:29" ht="27">
      <c r="A34" s="530"/>
      <c r="B34" s="576" t="s">
        <v>548</v>
      </c>
      <c r="C34" s="3433" t="s">
        <v>4408</v>
      </c>
      <c r="D34" s="561">
        <v>100</v>
      </c>
      <c r="E34" s="3434" t="s">
        <v>4411</v>
      </c>
      <c r="F34" s="557">
        <f>SUMIF(108:108,E35,109:109)-SUMIF(108:108,C35,109:109)+100</f>
        <v>100</v>
      </c>
      <c r="G34" s="3434" t="s">
        <v>4411</v>
      </c>
      <c r="H34" s="557">
        <f>SUMIF(108:108,G35,109:109)-SUMIF(108:108,C35,109:109)+100</f>
        <v>100</v>
      </c>
      <c r="I34" s="562"/>
      <c r="J34" s="557">
        <f>SUMIF(108:108,I35,109:109)-SUMIF(108:108,C35,109:109)+100</f>
        <v>98</v>
      </c>
      <c r="K34" s="533">
        <f>'比较法-住宅用途（地面价）'!K34</f>
        <v>1</v>
      </c>
      <c r="L34" s="2140"/>
      <c r="M34" s="2130"/>
      <c r="N34" s="2130"/>
      <c r="O34" s="2139"/>
      <c r="P34" s="4209"/>
      <c r="Q34" s="3190" t="str">
        <f t="shared" si="8"/>
        <v>毗邻道路的类型与等级</v>
      </c>
      <c r="R34" s="1570" t="s">
        <v>8</v>
      </c>
      <c r="S34" s="1571">
        <f t="shared" si="10"/>
        <v>100</v>
      </c>
      <c r="T34" s="1570" t="s">
        <v>8</v>
      </c>
      <c r="U34" s="1571">
        <f t="shared" si="11"/>
        <v>100</v>
      </c>
      <c r="V34" s="1570" t="s">
        <v>8</v>
      </c>
      <c r="W34" s="1571">
        <f t="shared" si="12"/>
        <v>98</v>
      </c>
      <c r="X34" s="3192"/>
      <c r="Y34" s="4209"/>
      <c r="Z34" s="3191" t="str">
        <f t="shared" si="13"/>
        <v>毗邻道路的类型与等级</v>
      </c>
      <c r="AA34" s="3194">
        <f t="shared" si="3"/>
        <v>1</v>
      </c>
      <c r="AB34" s="3194">
        <f t="shared" si="4"/>
        <v>1</v>
      </c>
      <c r="AC34" s="3194">
        <f t="shared" si="5"/>
        <v>1.0204081632653061</v>
      </c>
    </row>
    <row r="35" spans="1:29" ht="21" thickBot="1">
      <c r="A35" s="530"/>
      <c r="B35" s="564"/>
      <c r="C35" s="552" t="s">
        <v>4395</v>
      </c>
      <c r="D35" s="555"/>
      <c r="E35" s="3495" t="s">
        <v>4395</v>
      </c>
      <c r="F35" s="3496"/>
      <c r="G35" s="574" t="s">
        <v>4395</v>
      </c>
      <c r="H35" s="553"/>
      <c r="I35" s="574" t="s">
        <v>4398</v>
      </c>
      <c r="J35" s="553"/>
      <c r="K35" s="579"/>
      <c r="L35" s="2140"/>
      <c r="M35" s="2130"/>
      <c r="N35" s="2130"/>
      <c r="O35" s="2139"/>
      <c r="P35" s="4209"/>
      <c r="Q35" s="3190"/>
      <c r="R35" s="1570"/>
      <c r="S35" s="1571"/>
      <c r="T35" s="1570"/>
      <c r="U35" s="1571"/>
      <c r="V35" s="1570"/>
      <c r="W35" s="1571"/>
      <c r="X35" s="3192"/>
      <c r="Y35" s="4209"/>
      <c r="Z35" s="3191"/>
      <c r="AA35" s="3194">
        <v>1</v>
      </c>
      <c r="AB35" s="3194">
        <v>1</v>
      </c>
      <c r="AC35" s="3194">
        <v>1</v>
      </c>
    </row>
    <row r="36" spans="1:29" ht="20.25" hidden="1">
      <c r="A36" s="530"/>
      <c r="B36" s="580" t="s">
        <v>549</v>
      </c>
      <c r="C36" s="578"/>
      <c r="D36" s="573">
        <v>100</v>
      </c>
      <c r="E36" s="3494"/>
      <c r="F36" s="553">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4209"/>
      <c r="Q36" s="3190" t="str">
        <f t="shared" si="8"/>
        <v>土地级别</v>
      </c>
      <c r="R36" s="1570" t="s">
        <v>8</v>
      </c>
      <c r="S36" s="1571">
        <f t="shared" si="10"/>
        <v>100</v>
      </c>
      <c r="T36" s="1570" t="s">
        <v>8</v>
      </c>
      <c r="U36" s="1571">
        <f t="shared" si="11"/>
        <v>100</v>
      </c>
      <c r="V36" s="1570" t="s">
        <v>8</v>
      </c>
      <c r="W36" s="1571">
        <f t="shared" si="12"/>
        <v>100</v>
      </c>
      <c r="X36" s="3192"/>
      <c r="Y36" s="4209"/>
      <c r="Z36" s="3191" t="str">
        <f t="shared" si="13"/>
        <v>土地级别</v>
      </c>
      <c r="AA36" s="3194">
        <f t="shared" si="3"/>
        <v>1</v>
      </c>
      <c r="AB36" s="3194">
        <f t="shared" si="4"/>
        <v>1</v>
      </c>
      <c r="AC36" s="319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4209"/>
      <c r="Q37" s="3190">
        <f t="shared" si="8"/>
        <v>0</v>
      </c>
      <c r="R37" s="1570" t="s">
        <v>8</v>
      </c>
      <c r="S37" s="1571">
        <f t="shared" si="10"/>
        <v>100</v>
      </c>
      <c r="T37" s="1570" t="s">
        <v>8</v>
      </c>
      <c r="U37" s="1571">
        <f t="shared" si="11"/>
        <v>100</v>
      </c>
      <c r="V37" s="1570" t="s">
        <v>8</v>
      </c>
      <c r="W37" s="1571">
        <f t="shared" si="12"/>
        <v>100</v>
      </c>
      <c r="X37" s="3192"/>
      <c r="Y37" s="4209"/>
      <c r="Z37" s="3191">
        <f t="shared" si="13"/>
        <v>0</v>
      </c>
      <c r="AA37" s="3194">
        <f t="shared" si="3"/>
        <v>1</v>
      </c>
      <c r="AB37" s="3194">
        <f t="shared" si="4"/>
        <v>1</v>
      </c>
      <c r="AC37" s="319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4210" t="s">
        <v>550</v>
      </c>
      <c r="Q38" s="3190">
        <f t="shared" si="8"/>
        <v>0</v>
      </c>
      <c r="R38" s="1570" t="s">
        <v>8</v>
      </c>
      <c r="S38" s="1571">
        <f t="shared" si="10"/>
        <v>100</v>
      </c>
      <c r="T38" s="1570" t="s">
        <v>8</v>
      </c>
      <c r="U38" s="1571">
        <f t="shared" si="11"/>
        <v>100</v>
      </c>
      <c r="V38" s="1570" t="s">
        <v>8</v>
      </c>
      <c r="W38" s="1571">
        <f t="shared" si="12"/>
        <v>100</v>
      </c>
      <c r="X38" s="3192"/>
      <c r="Y38" s="4211" t="s">
        <v>550</v>
      </c>
      <c r="Z38" s="3191">
        <f t="shared" si="13"/>
        <v>0</v>
      </c>
      <c r="AA38" s="3194">
        <f t="shared" si="3"/>
        <v>1</v>
      </c>
      <c r="AB38" s="3194">
        <f t="shared" si="4"/>
        <v>1</v>
      </c>
      <c r="AC38" s="3194">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4211"/>
      <c r="Q39" s="3190">
        <f t="shared" si="8"/>
        <v>0</v>
      </c>
      <c r="R39" s="1574" t="s">
        <v>8</v>
      </c>
      <c r="S39" s="1575">
        <f t="shared" si="10"/>
        <v>100</v>
      </c>
      <c r="T39" s="1574" t="s">
        <v>8</v>
      </c>
      <c r="U39" s="1575">
        <f t="shared" si="11"/>
        <v>100</v>
      </c>
      <c r="V39" s="1574" t="s">
        <v>8</v>
      </c>
      <c r="W39" s="1575">
        <f t="shared" si="12"/>
        <v>100</v>
      </c>
      <c r="X39" s="1576"/>
      <c r="Y39" s="4211"/>
      <c r="Z39" s="1577">
        <f t="shared" si="13"/>
        <v>0</v>
      </c>
      <c r="AA39" s="3194">
        <f t="shared" si="3"/>
        <v>1</v>
      </c>
      <c r="AB39" s="3194">
        <f t="shared" si="4"/>
        <v>1</v>
      </c>
      <c r="AC39" s="3194">
        <f t="shared" si="5"/>
        <v>1</v>
      </c>
    </row>
    <row r="40" spans="1:29" ht="20.25">
      <c r="A40" s="2929" t="s">
        <v>2754</v>
      </c>
      <c r="B40" s="593" t="s">
        <v>552</v>
      </c>
      <c r="C40" s="594">
        <f>'数据-汇总表'!D3</f>
        <v>410194.62</v>
      </c>
      <c r="D40" s="595">
        <v>100</v>
      </c>
      <c r="E40" s="594">
        <f>商业用地案例!H5</f>
        <v>83672.59</v>
      </c>
      <c r="F40" s="595">
        <f>LOOKUP(E40,119:119,120:120)-LOOKUP(C40,119:119,120:120)+100</f>
        <v>99</v>
      </c>
      <c r="G40" s="594">
        <f>商业用地案例!H6</f>
        <v>79580.960000000006</v>
      </c>
      <c r="H40" s="595">
        <f>LOOKUP(G40,119:119,120:120)-LOOKUP(C40,119:119,120:120)+100</f>
        <v>99</v>
      </c>
      <c r="I40" s="596">
        <f>商业用地案例!H15</f>
        <v>136231</v>
      </c>
      <c r="J40" s="595">
        <f>LOOKUP(I40,119:119,120:120)-LOOKUP(C40,119:119,120:120)+100</f>
        <v>99</v>
      </c>
      <c r="K40" s="579"/>
      <c r="L40" s="2140"/>
      <c r="M40" s="2130"/>
      <c r="N40" s="2130"/>
      <c r="O40" s="2139"/>
      <c r="P40" s="4211"/>
      <c r="Q40" s="3190" t="str">
        <f>B40</f>
        <v>宗地面积</v>
      </c>
      <c r="R40" s="1570" t="s">
        <v>8</v>
      </c>
      <c r="S40" s="1571">
        <f t="shared" si="10"/>
        <v>99</v>
      </c>
      <c r="T40" s="1570" t="s">
        <v>8</v>
      </c>
      <c r="U40" s="1571">
        <f t="shared" si="11"/>
        <v>99</v>
      </c>
      <c r="V40" s="1570" t="s">
        <v>8</v>
      </c>
      <c r="W40" s="1571">
        <f t="shared" si="12"/>
        <v>99</v>
      </c>
      <c r="X40" s="3192"/>
      <c r="Y40" s="4211"/>
      <c r="Z40" s="3191" t="str">
        <f t="shared" si="13"/>
        <v>宗地面积</v>
      </c>
      <c r="AA40" s="3194">
        <f t="shared" si="3"/>
        <v>1.0101010101010102</v>
      </c>
      <c r="AB40" s="3194">
        <f t="shared" si="4"/>
        <v>1.0101010101010102</v>
      </c>
      <c r="AC40" s="3194">
        <f t="shared" si="5"/>
        <v>1.0101010101010102</v>
      </c>
    </row>
    <row r="41" spans="1:29" ht="20.25">
      <c r="A41" s="592"/>
      <c r="B41" s="525" t="s">
        <v>553</v>
      </c>
      <c r="C41" s="597" t="s">
        <v>4382</v>
      </c>
      <c r="D41" s="538">
        <v>100</v>
      </c>
      <c r="E41" s="597" t="s">
        <v>4382</v>
      </c>
      <c r="F41" s="538">
        <f>SUMIF(121:121,E41,122:122)-SUMIF(121:121,C41,122:122)+100</f>
        <v>100</v>
      </c>
      <c r="G41" s="597" t="s">
        <v>4382</v>
      </c>
      <c r="H41" s="538">
        <f>SUMIF(121:121,G41,122:122)-SUMIF(121:121,C41,122:122)+100</f>
        <v>100</v>
      </c>
      <c r="I41" s="597" t="s">
        <v>4382</v>
      </c>
      <c r="J41" s="538">
        <f>SUMIF(121:121,I41,122:122)-SUMIF(121:121,C41,122:122)+100</f>
        <v>100</v>
      </c>
      <c r="K41" s="582">
        <f>'比较法-住宅用途（地面价）'!K41</f>
        <v>2</v>
      </c>
      <c r="L41" s="2140"/>
      <c r="M41" s="2130"/>
      <c r="N41" s="2130"/>
      <c r="O41" s="2139"/>
      <c r="P41" s="4211"/>
      <c r="Q41" s="3190" t="str">
        <f t="shared" ref="Q41:Q47" si="14">B41</f>
        <v>宗地形状</v>
      </c>
      <c r="R41" s="1570" t="s">
        <v>8</v>
      </c>
      <c r="S41" s="1571">
        <f t="shared" si="10"/>
        <v>100</v>
      </c>
      <c r="T41" s="1570" t="s">
        <v>8</v>
      </c>
      <c r="U41" s="1571">
        <f t="shared" si="11"/>
        <v>100</v>
      </c>
      <c r="V41" s="1570" t="s">
        <v>8</v>
      </c>
      <c r="W41" s="1571">
        <f t="shared" si="12"/>
        <v>100</v>
      </c>
      <c r="X41" s="3192"/>
      <c r="Y41" s="4211"/>
      <c r="Z41" s="3191" t="str">
        <f t="shared" si="13"/>
        <v>宗地形状</v>
      </c>
      <c r="AA41" s="3194">
        <f t="shared" si="3"/>
        <v>1</v>
      </c>
      <c r="AB41" s="3194">
        <f t="shared" si="4"/>
        <v>1</v>
      </c>
      <c r="AC41" s="3194">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f>'比较法-住宅用途（地面价）'!K42</f>
        <v>0</v>
      </c>
      <c r="L42" s="2140"/>
      <c r="M42" s="2130"/>
      <c r="N42" s="2130"/>
      <c r="O42" s="2139"/>
      <c r="P42" s="4211"/>
      <c r="Q42" s="3190" t="str">
        <f t="shared" si="14"/>
        <v>临街宽度及深度</v>
      </c>
      <c r="R42" s="1570" t="s">
        <v>8</v>
      </c>
      <c r="S42" s="1571">
        <f t="shared" si="10"/>
        <v>100</v>
      </c>
      <c r="T42" s="1570" t="s">
        <v>8</v>
      </c>
      <c r="U42" s="1571">
        <f t="shared" si="11"/>
        <v>100</v>
      </c>
      <c r="V42" s="1570" t="s">
        <v>8</v>
      </c>
      <c r="W42" s="1571">
        <f t="shared" si="12"/>
        <v>100</v>
      </c>
      <c r="X42" s="3192"/>
      <c r="Y42" s="4211"/>
      <c r="Z42" s="3191" t="str">
        <f t="shared" si="13"/>
        <v>临街宽度及深度</v>
      </c>
      <c r="AA42" s="3194">
        <f t="shared" si="3"/>
        <v>1</v>
      </c>
      <c r="AB42" s="3194">
        <f t="shared" si="4"/>
        <v>1</v>
      </c>
      <c r="AC42" s="3194">
        <f t="shared" si="5"/>
        <v>1</v>
      </c>
    </row>
    <row r="43" spans="1:29" s="1218" customFormat="1" ht="20.25">
      <c r="A43" s="598"/>
      <c r="B43" s="1893" t="s">
        <v>2424</v>
      </c>
      <c r="C43" s="599" t="s">
        <v>4406</v>
      </c>
      <c r="D43" s="253">
        <v>100</v>
      </c>
      <c r="E43" s="599" t="s">
        <v>4406</v>
      </c>
      <c r="F43" s="538">
        <f>SUMIF(125:125,E43,126:126)-SUMIF(125:125,C43,126:126)+100</f>
        <v>100</v>
      </c>
      <c r="G43" s="599" t="s">
        <v>4406</v>
      </c>
      <c r="H43" s="538">
        <f>SUMIF(125:125,G43,126:126)-SUMIF(125:125,C43,126:126)+100</f>
        <v>100</v>
      </c>
      <c r="I43" s="599" t="s">
        <v>4406</v>
      </c>
      <c r="J43" s="538">
        <f>SUMIF(125:125,I43,126:126)-SUMIF(125:125,C43,126:126)+100</f>
        <v>100</v>
      </c>
      <c r="K43" s="582">
        <f>'比较法-住宅用途（地面价）'!K43</f>
        <v>2</v>
      </c>
      <c r="L43" s="2133"/>
      <c r="M43" s="2130"/>
      <c r="N43" s="2130"/>
      <c r="O43" s="2135"/>
      <c r="P43" s="4211"/>
      <c r="Q43" s="3190" t="str">
        <f t="shared" si="14"/>
        <v>宗地开发程度</v>
      </c>
      <c r="R43" s="1565" t="s">
        <v>8</v>
      </c>
      <c r="S43" s="1566">
        <f t="shared" si="10"/>
        <v>100</v>
      </c>
      <c r="T43" s="1565" t="s">
        <v>8</v>
      </c>
      <c r="U43" s="1566">
        <f t="shared" si="11"/>
        <v>100</v>
      </c>
      <c r="V43" s="1565" t="s">
        <v>8</v>
      </c>
      <c r="W43" s="1566">
        <f t="shared" si="12"/>
        <v>100</v>
      </c>
      <c r="X43" s="1567"/>
      <c r="Y43" s="4211"/>
      <c r="Z43" s="3188" t="str">
        <f t="shared" si="13"/>
        <v>宗地开发程度</v>
      </c>
      <c r="AA43" s="1568">
        <f t="shared" si="3"/>
        <v>1</v>
      </c>
      <c r="AB43" s="1568">
        <f t="shared" si="4"/>
        <v>1</v>
      </c>
      <c r="AC43" s="1568">
        <f t="shared" si="5"/>
        <v>1</v>
      </c>
    </row>
    <row r="44" spans="1:29" ht="21" thickBot="1">
      <c r="A44" s="592"/>
      <c r="B44" s="525" t="s">
        <v>555</v>
      </c>
      <c r="C44" s="597" t="s">
        <v>4362</v>
      </c>
      <c r="D44" s="538">
        <v>100</v>
      </c>
      <c r="E44" s="597" t="s">
        <v>4362</v>
      </c>
      <c r="F44" s="538">
        <f>SUMIF(127:127,E44,128:128)-SUMIF(127:127,C44,128:128)+100</f>
        <v>100</v>
      </c>
      <c r="G44" s="597" t="s">
        <v>4362</v>
      </c>
      <c r="H44" s="538">
        <f>SUMIF(127:127,G44,128:128)-SUMIF(127:127,C44,128:128)+100</f>
        <v>100</v>
      </c>
      <c r="I44" s="597" t="s">
        <v>4362</v>
      </c>
      <c r="J44" s="538">
        <f>SUMIF(127:127,I44,128:128)-SUMIF(127:127,C44,128:128)+100</f>
        <v>100</v>
      </c>
      <c r="K44" s="582">
        <f>'比较法-住宅用途（地面价）'!K44</f>
        <v>2</v>
      </c>
      <c r="L44" s="2140"/>
      <c r="M44" s="2130"/>
      <c r="N44" s="2130"/>
      <c r="O44" s="2139"/>
      <c r="P44" s="4211" t="s">
        <v>550</v>
      </c>
      <c r="Q44" s="3190" t="str">
        <f t="shared" si="14"/>
        <v>工程地质条件</v>
      </c>
      <c r="R44" s="1570" t="s">
        <v>8</v>
      </c>
      <c r="S44" s="1571">
        <f t="shared" si="10"/>
        <v>100</v>
      </c>
      <c r="T44" s="1570" t="s">
        <v>8</v>
      </c>
      <c r="U44" s="1571">
        <f t="shared" si="11"/>
        <v>100</v>
      </c>
      <c r="V44" s="1570" t="s">
        <v>8</v>
      </c>
      <c r="W44" s="1571">
        <f t="shared" si="12"/>
        <v>100</v>
      </c>
      <c r="X44" s="3192"/>
      <c r="Y44" s="4211" t="s">
        <v>550</v>
      </c>
      <c r="Z44" s="3191" t="str">
        <f t="shared" si="13"/>
        <v>工程地质条件</v>
      </c>
      <c r="AA44" s="3194">
        <f t="shared" si="3"/>
        <v>1</v>
      </c>
      <c r="AB44" s="3194">
        <f t="shared" si="4"/>
        <v>1</v>
      </c>
      <c r="AC44" s="319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4211"/>
      <c r="Q45" s="3190">
        <f t="shared" si="14"/>
        <v>0</v>
      </c>
      <c r="R45" s="1570" t="s">
        <v>8</v>
      </c>
      <c r="S45" s="1571">
        <f t="shared" si="10"/>
        <v>100</v>
      </c>
      <c r="T45" s="1570" t="s">
        <v>8</v>
      </c>
      <c r="U45" s="1571">
        <f t="shared" si="11"/>
        <v>100</v>
      </c>
      <c r="V45" s="1570" t="s">
        <v>8</v>
      </c>
      <c r="W45" s="1571">
        <f t="shared" si="12"/>
        <v>100</v>
      </c>
      <c r="X45" s="3192"/>
      <c r="Y45" s="4211"/>
      <c r="Z45" s="3191">
        <f t="shared" si="13"/>
        <v>0</v>
      </c>
      <c r="AA45" s="3194">
        <f t="shared" si="3"/>
        <v>1</v>
      </c>
      <c r="AB45" s="3194">
        <f t="shared" si="4"/>
        <v>1</v>
      </c>
      <c r="AC45" s="319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4211"/>
      <c r="Q46" s="3190">
        <f t="shared" si="14"/>
        <v>0</v>
      </c>
      <c r="R46" s="1570" t="s">
        <v>8</v>
      </c>
      <c r="S46" s="1571">
        <f t="shared" si="10"/>
        <v>100</v>
      </c>
      <c r="T46" s="1570" t="s">
        <v>8</v>
      </c>
      <c r="U46" s="1571">
        <f t="shared" si="11"/>
        <v>100</v>
      </c>
      <c r="V46" s="1570" t="s">
        <v>8</v>
      </c>
      <c r="W46" s="1571">
        <f t="shared" si="12"/>
        <v>100</v>
      </c>
      <c r="X46" s="3192"/>
      <c r="Y46" s="4211"/>
      <c r="Z46" s="3191">
        <f t="shared" si="13"/>
        <v>0</v>
      </c>
      <c r="AA46" s="3194">
        <f t="shared" si="3"/>
        <v>1</v>
      </c>
      <c r="AB46" s="3194">
        <f t="shared" si="4"/>
        <v>1</v>
      </c>
      <c r="AC46" s="3194">
        <f t="shared" si="5"/>
        <v>1</v>
      </c>
    </row>
    <row r="47" spans="1:29" s="1337"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4211"/>
      <c r="Q47" s="3190">
        <f t="shared" si="14"/>
        <v>0</v>
      </c>
      <c r="R47" s="1574" t="s">
        <v>8</v>
      </c>
      <c r="S47" s="1575">
        <f t="shared" si="10"/>
        <v>100</v>
      </c>
      <c r="T47" s="1574" t="s">
        <v>8</v>
      </c>
      <c r="U47" s="1575">
        <f t="shared" si="11"/>
        <v>100</v>
      </c>
      <c r="V47" s="1574" t="s">
        <v>8</v>
      </c>
      <c r="W47" s="1575">
        <f t="shared" si="12"/>
        <v>100</v>
      </c>
      <c r="X47" s="1576"/>
      <c r="Y47" s="4211"/>
      <c r="Z47" s="1577">
        <f t="shared" si="13"/>
        <v>0</v>
      </c>
      <c r="AA47" s="3194">
        <f t="shared" si="3"/>
        <v>1</v>
      </c>
      <c r="AB47" s="3194">
        <f t="shared" si="4"/>
        <v>1</v>
      </c>
      <c r="AC47" s="3194">
        <f t="shared" si="5"/>
        <v>1</v>
      </c>
    </row>
    <row r="48" spans="1:29" ht="20.25">
      <c r="A48" s="605" t="s">
        <v>556</v>
      </c>
      <c r="B48" s="606" t="s">
        <v>4381</v>
      </c>
      <c r="C48" s="607" t="s">
        <v>1</v>
      </c>
      <c r="D48" s="608"/>
      <c r="E48" s="609">
        <f>商业用地案例!S5</f>
        <v>1140</v>
      </c>
      <c r="F48" s="610"/>
      <c r="G48" s="611">
        <f>商业用地案例!S6</f>
        <v>1140</v>
      </c>
      <c r="H48" s="612"/>
      <c r="I48" s="609">
        <f>商业用地案例!S15</f>
        <v>1155</v>
      </c>
      <c r="J48" s="612"/>
      <c r="K48" s="1338"/>
      <c r="L48" s="2142"/>
      <c r="M48" s="2130"/>
      <c r="N48" s="2130"/>
      <c r="O48" s="2143"/>
      <c r="P48" s="4206" t="str">
        <f>A48</f>
        <v>成交单价</v>
      </c>
      <c r="Q48" s="4206"/>
      <c r="R48" s="4220">
        <f>E48</f>
        <v>1140</v>
      </c>
      <c r="S48" s="4220"/>
      <c r="T48" s="4220">
        <f>G48</f>
        <v>1140</v>
      </c>
      <c r="U48" s="4220"/>
      <c r="V48" s="4220">
        <f>I48</f>
        <v>1155</v>
      </c>
      <c r="W48" s="4220"/>
      <c r="X48" s="1556"/>
      <c r="Y48" s="1578"/>
      <c r="Z48" s="1556"/>
      <c r="AA48" s="1556"/>
      <c r="AB48" s="1556"/>
      <c r="AC48" s="1556"/>
    </row>
    <row r="49" spans="1:29" ht="21" thickBot="1">
      <c r="A49" s="613" t="s">
        <v>2692</v>
      </c>
      <c r="B49" s="614"/>
      <c r="C49" s="615">
        <f>R50</f>
        <v>1114</v>
      </c>
      <c r="D49" s="616"/>
      <c r="E49" s="615">
        <f>R49</f>
        <v>1075</v>
      </c>
      <c r="F49" s="617"/>
      <c r="G49" s="618">
        <f>T49</f>
        <v>1086</v>
      </c>
      <c r="H49" s="616"/>
      <c r="I49" s="615">
        <f>V49</f>
        <v>1182</v>
      </c>
      <c r="J49" s="616"/>
      <c r="K49" s="1339"/>
      <c r="L49" s="2142"/>
      <c r="M49" s="2130"/>
      <c r="N49" s="2130"/>
      <c r="O49" s="2143"/>
      <c r="P49" s="4206" t="str">
        <f>A49</f>
        <v>比较价格（元/平方米）</v>
      </c>
      <c r="Q49" s="4206"/>
      <c r="R49" s="4230">
        <f>ROUND(PRODUCT(R48,AA9:AA47),0)</f>
        <v>1075</v>
      </c>
      <c r="S49" s="4230"/>
      <c r="T49" s="4230">
        <f>ROUND(PRODUCT(T48,AB9:AB47),0)</f>
        <v>1086</v>
      </c>
      <c r="U49" s="4230"/>
      <c r="V49" s="4230">
        <f>ROUND(PRODUCT(V48,AC9:AC47),0)</f>
        <v>1182</v>
      </c>
      <c r="W49" s="4230"/>
      <c r="X49" s="1556"/>
      <c r="Y49" s="1556"/>
      <c r="Z49" s="1556"/>
      <c r="AA49" s="1556"/>
      <c r="AB49" s="1556"/>
      <c r="AC49" s="1556"/>
    </row>
    <row r="50" spans="1:29" ht="21" thickBot="1">
      <c r="A50" s="619" t="s">
        <v>2923</v>
      </c>
      <c r="B50" s="620"/>
      <c r="C50" s="621">
        <f>R50</f>
        <v>1114</v>
      </c>
      <c r="D50" s="621"/>
      <c r="E50" s="621"/>
      <c r="F50" s="621"/>
      <c r="G50" s="621"/>
      <c r="H50" s="621"/>
      <c r="I50" s="621"/>
      <c r="J50" s="621"/>
      <c r="K50" s="1340"/>
      <c r="L50" s="2142"/>
      <c r="M50" s="2130"/>
      <c r="N50" s="2130"/>
      <c r="O50" s="2143"/>
      <c r="P50" s="4227" t="str">
        <f>A50</f>
        <v>估价对象XX用房的比较价格（楼面单价，元/平方米）</v>
      </c>
      <c r="Q50" s="4228"/>
      <c r="R50" s="4229">
        <f>ROUND(AVERAGE(R49:V49),0)</f>
        <v>1114</v>
      </c>
      <c r="S50" s="4229"/>
      <c r="T50" s="4229"/>
      <c r="U50" s="4229"/>
      <c r="V50" s="4229"/>
      <c r="W50" s="4229"/>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6.0465116279069697E-2</v>
      </c>
      <c r="F53" s="625" t="str">
        <f>IF(OR(E53&gt;=0.3,E53&lt;=-0.3),"超过30%","")</f>
        <v/>
      </c>
      <c r="G53" s="624">
        <f>IF(G48&lt;G49,G49/G48-1,G48/G49-1)</f>
        <v>4.9723756906077332E-2</v>
      </c>
      <c r="H53" s="625" t="str">
        <f>IF(OR(G53&gt;=0.3,G53&lt;=-0.3),"超过30%","")</f>
        <v/>
      </c>
      <c r="I53" s="624">
        <f>IF(I48&lt;I49,I49/I48-1,I48/I49-1)</f>
        <v>2.3376623376623273E-2</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1.0232558139534831E-2</v>
      </c>
      <c r="F54" s="625" t="str">
        <f>IF(OR(E54&gt;=0.2,E54&lt;=-0.2),"超过20%","")</f>
        <v/>
      </c>
      <c r="G54" s="624">
        <f>IF(G49&lt;I49,I49/G49-1,G49/I49-1)</f>
        <v>8.8397790055248615E-2</v>
      </c>
      <c r="H54" s="625" t="str">
        <f>IF(OR(G54&gt;=0.2,G54&lt;=-0.2),"超过20%","")</f>
        <v/>
      </c>
      <c r="I54" s="624">
        <f>IF(I49&lt;E49,E49/I49-1,I49/E49-1)</f>
        <v>9.9534883720930223E-2</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v>
      </c>
      <c r="F55" s="625" t="str">
        <f>IF(OR(E55&gt;=0.3,E55&lt;=-0.3),"超过30%","")</f>
        <v/>
      </c>
      <c r="G55" s="624">
        <f>IF(G48&lt;I48,I48/G48-1,G48/I48-1)</f>
        <v>1.3157894736842035E-2</v>
      </c>
      <c r="H55" s="625" t="str">
        <f>IF(OR(G55&gt;=0.3,G55&lt;=-0.3),"超过30%","")</f>
        <v/>
      </c>
      <c r="I55" s="624">
        <f>IF(I48&lt;E48,E48/I48-1,I48/E48-1)</f>
        <v>1.3157894736842035E-2</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4190" t="s">
        <v>2283</v>
      </c>
      <c r="H57" s="4191"/>
      <c r="I57" s="1552" t="s">
        <v>1722</v>
      </c>
      <c r="J57" s="1552" t="str">
        <f>项目基本情况!F41</f>
        <v>四川省成都市都江堰市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1114</v>
      </c>
      <c r="C58" s="633">
        <v>1</v>
      </c>
      <c r="D58" s="2226">
        <v>1</v>
      </c>
      <c r="E58" s="633">
        <f>'数据-汇总表'!E8+'数据-汇总表'!E9</f>
        <v>336517.39</v>
      </c>
      <c r="F58" s="634">
        <f t="shared" ref="F58:F67" si="15">ROUND(B58*E58/10000,0)</f>
        <v>37488</v>
      </c>
      <c r="G58" s="4192"/>
      <c r="H58" s="4193"/>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0</v>
      </c>
      <c r="C59" s="376">
        <f t="shared" ref="C59:C67" si="16">IF($C$57="北京市系数",I59,J59)</f>
        <v>0</v>
      </c>
      <c r="D59" s="2227">
        <v>0.25</v>
      </c>
      <c r="E59" s="637">
        <v>0</v>
      </c>
      <c r="F59" s="634">
        <f t="shared" si="15"/>
        <v>0</v>
      </c>
      <c r="G59" s="4194"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0</v>
      </c>
      <c r="C60" s="376">
        <f t="shared" si="16"/>
        <v>0</v>
      </c>
      <c r="D60" s="2227">
        <v>0.25</v>
      </c>
      <c r="E60" s="637">
        <v>0</v>
      </c>
      <c r="F60" s="634">
        <f t="shared" si="15"/>
        <v>0</v>
      </c>
      <c r="G60" s="4194"/>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0</v>
      </c>
      <c r="C61" s="376">
        <f t="shared" si="16"/>
        <v>0</v>
      </c>
      <c r="D61" s="2227">
        <v>0.25</v>
      </c>
      <c r="E61" s="637">
        <v>0</v>
      </c>
      <c r="F61" s="634">
        <f t="shared" si="15"/>
        <v>0</v>
      </c>
      <c r="G61" s="4194"/>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0</v>
      </c>
      <c r="C62" s="376">
        <f t="shared" si="16"/>
        <v>0</v>
      </c>
      <c r="D62" s="2227">
        <v>0.25</v>
      </c>
      <c r="E62" s="637">
        <v>0</v>
      </c>
      <c r="F62" s="634">
        <f t="shared" si="15"/>
        <v>0</v>
      </c>
      <c r="G62" s="4194"/>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2328</v>
      </c>
      <c r="B63" s="636">
        <f t="shared" si="17"/>
        <v>0</v>
      </c>
      <c r="C63" s="376">
        <f t="shared" si="16"/>
        <v>0</v>
      </c>
      <c r="D63" s="2227">
        <v>0.25</v>
      </c>
      <c r="E63" s="639">
        <f>'数据-汇总表'!E11</f>
        <v>0</v>
      </c>
      <c r="F63" s="634">
        <f t="shared" si="15"/>
        <v>0</v>
      </c>
      <c r="G63" s="319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0</v>
      </c>
      <c r="C65" s="376">
        <f t="shared" si="16"/>
        <v>0</v>
      </c>
      <c r="D65" s="2227">
        <v>0.25</v>
      </c>
      <c r="E65" s="639">
        <f>'数据-汇总表'!E13</f>
        <v>84751.42</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0</v>
      </c>
      <c r="C66" s="376">
        <f t="shared" si="16"/>
        <v>0</v>
      </c>
      <c r="D66" s="2227">
        <v>0.25</v>
      </c>
      <c r="E66" s="639">
        <f>'数据-汇总表'!E14</f>
        <v>0</v>
      </c>
      <c r="F66" s="634">
        <f t="shared" si="15"/>
        <v>0</v>
      </c>
      <c r="G66" s="319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2296</v>
      </c>
      <c r="E68" s="641">
        <f>IF(B48="楼面地价",SUM(E58:E67),'数据-汇总表'!D3)</f>
        <v>410194.62</v>
      </c>
      <c r="F68" s="642">
        <f>IF(B48="楼面地价",SUM(F58:F67),ROUND(C50*E68/10000,0))</f>
        <v>45696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5" customFormat="1" ht="15">
      <c r="A72" s="2590" t="s">
        <v>2532</v>
      </c>
      <c r="B72" s="2591"/>
      <c r="C72" s="2823"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2976</v>
      </c>
      <c r="B73" s="477" t="str">
        <f>"北京市平均增长率"&amp;TEXT(SUMIF(基准地价!N21:N25,A73,基准地价!P21:P25),"0.00%")</f>
        <v>北京市平均增长率1.57%</v>
      </c>
      <c r="C73" s="892">
        <v>100</v>
      </c>
      <c r="D73" s="3429">
        <f>C73-$C$74</f>
        <v>99</v>
      </c>
      <c r="E73" s="3429">
        <f t="shared" ref="E73:N73" si="20">D73-$C$74</f>
        <v>98</v>
      </c>
      <c r="F73" s="3429">
        <f t="shared" si="20"/>
        <v>97</v>
      </c>
      <c r="G73" s="3429">
        <f t="shared" si="20"/>
        <v>96</v>
      </c>
      <c r="H73" s="3429">
        <f t="shared" si="20"/>
        <v>95</v>
      </c>
      <c r="I73" s="3429">
        <f t="shared" si="20"/>
        <v>94</v>
      </c>
      <c r="J73" s="3429">
        <f t="shared" si="20"/>
        <v>93</v>
      </c>
      <c r="K73" s="3429">
        <f t="shared" si="20"/>
        <v>92</v>
      </c>
      <c r="L73" s="3429">
        <f t="shared" si="20"/>
        <v>91</v>
      </c>
      <c r="M73" s="3429">
        <f t="shared" si="20"/>
        <v>90</v>
      </c>
      <c r="N73" s="3429">
        <f t="shared" si="20"/>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2646</v>
      </c>
      <c r="B74" s="2827"/>
      <c r="C74" s="2812">
        <v>1</v>
      </c>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8.5">
      <c r="A77" s="662" t="s">
        <v>577</v>
      </c>
      <c r="B77" s="663" t="s">
        <v>534</v>
      </c>
      <c r="C77" s="3406" t="s">
        <v>4380</v>
      </c>
      <c r="D77" s="596" t="str">
        <f>商业用地案例!G5</f>
        <v>餐饮旅馆业用地</v>
      </c>
      <c r="E77" s="596" t="str">
        <f>商业用地案例!G15</f>
        <v>商服用地</v>
      </c>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v>100</v>
      </c>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0.5（含）-1</v>
      </c>
      <c r="D81" s="680" t="str">
        <f t="shared" ref="D81:L81" si="21">D82&amp;"（含）"&amp;"-"&amp;E82</f>
        <v>1（含）-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0.5</v>
      </c>
      <c r="D82" s="539">
        <v>1</v>
      </c>
      <c r="E82" s="539"/>
      <c r="F82" s="539"/>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105</v>
      </c>
      <c r="E83" s="677">
        <f t="shared" ref="E83:M83" si="22">IF($B$48="单位面积地价",D83+$K13,D83-$K13)</f>
        <v>110</v>
      </c>
      <c r="F83" s="677">
        <f t="shared" si="22"/>
        <v>115</v>
      </c>
      <c r="G83" s="677">
        <f t="shared" si="22"/>
        <v>120</v>
      </c>
      <c r="H83" s="677">
        <f t="shared" si="22"/>
        <v>125</v>
      </c>
      <c r="I83" s="677">
        <f t="shared" si="22"/>
        <v>130</v>
      </c>
      <c r="J83" s="677">
        <f t="shared" si="22"/>
        <v>135</v>
      </c>
      <c r="K83" s="677">
        <f t="shared" si="22"/>
        <v>140</v>
      </c>
      <c r="L83" s="677">
        <f t="shared" si="22"/>
        <v>145</v>
      </c>
      <c r="M83" s="677">
        <f t="shared" si="22"/>
        <v>150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95</v>
      </c>
      <c r="E99" s="677">
        <f>D99-$K25</f>
        <v>90</v>
      </c>
      <c r="F99" s="677">
        <f>E99-$K25</f>
        <v>85</v>
      </c>
      <c r="G99" s="677">
        <f>F99-$K25</f>
        <v>80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2548</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2549</v>
      </c>
      <c r="C104" s="2620" t="s">
        <v>2551</v>
      </c>
      <c r="D104" s="2620" t="s">
        <v>2552</v>
      </c>
      <c r="E104" s="2620" t="s">
        <v>2553</v>
      </c>
      <c r="F104" s="2620" t="s">
        <v>2554</v>
      </c>
      <c r="G104" s="2620" t="s">
        <v>2555</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407" t="s">
        <v>4402</v>
      </c>
      <c r="D108" s="3407" t="s">
        <v>4403</v>
      </c>
      <c r="E108" s="3407" t="s">
        <v>4404</v>
      </c>
      <c r="F108" s="3407" t="s">
        <v>4405</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43.5" thickTop="1">
      <c r="A118" s="662" t="s">
        <v>551</v>
      </c>
      <c r="B118" s="663" t="s">
        <v>593</v>
      </c>
      <c r="C118" s="702" t="str">
        <f t="shared" ref="C118:L118" si="26">C119&amp;"(含)"&amp;"-"&amp;D119</f>
        <v>0(含)-200000</v>
      </c>
      <c r="D118" s="702" t="str">
        <f t="shared" si="26"/>
        <v>200000(含)-400000</v>
      </c>
      <c r="E118" s="702" t="str">
        <f t="shared" si="26"/>
        <v>400000(含)-</v>
      </c>
      <c r="F118" s="702" t="str">
        <f t="shared" si="26"/>
        <v>(含)-</v>
      </c>
      <c r="G118" s="702" t="str">
        <f t="shared" si="26"/>
        <v>(含)-</v>
      </c>
      <c r="H118" s="702" t="str">
        <f t="shared" si="26"/>
        <v>(含)-</v>
      </c>
      <c r="I118" s="702" t="str">
        <f t="shared" si="26"/>
        <v>(含)-</v>
      </c>
      <c r="J118" s="3112" t="str">
        <f t="shared" si="26"/>
        <v>(含)-</v>
      </c>
      <c r="K118" s="3112" t="str">
        <f t="shared" si="26"/>
        <v>(含)-</v>
      </c>
      <c r="L118" s="3113" t="str">
        <f t="shared" si="26"/>
        <v>(含)-</v>
      </c>
      <c r="M118" s="3114"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200000</v>
      </c>
      <c r="E119" s="728">
        <v>400000</v>
      </c>
      <c r="F119" s="728"/>
      <c r="G119" s="728"/>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100.5</v>
      </c>
      <c r="E120" s="724">
        <v>101</v>
      </c>
      <c r="F120" s="724"/>
      <c r="G120" s="724"/>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408" t="s">
        <v>4383</v>
      </c>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hidden="1"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hidden="1"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2425</v>
      </c>
      <c r="C125" s="1373" t="s">
        <v>4384</v>
      </c>
      <c r="D125" s="1373" t="s">
        <v>4386</v>
      </c>
      <c r="E125" s="1373"/>
      <c r="F125" s="1373"/>
      <c r="G125" s="1373"/>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407" t="s">
        <v>4385</v>
      </c>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4"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1"/>
  <sheetViews>
    <sheetView topLeftCell="L1" workbookViewId="0">
      <selection activeCell="R21" sqref="R21"/>
    </sheetView>
  </sheetViews>
  <sheetFormatPr defaultRowHeight="13.5"/>
  <cols>
    <col min="1" max="1" width="41.125" customWidth="1"/>
    <col min="2" max="5" width="0" hidden="1" customWidth="1"/>
    <col min="6" max="6" width="16.25" customWidth="1"/>
    <col min="7" max="7" width="24.25" customWidth="1"/>
    <col min="8" max="8" width="16.25" customWidth="1"/>
    <col min="9" max="9" width="18.25" customWidth="1"/>
    <col min="10" max="10" width="43.375" customWidth="1"/>
    <col min="11" max="11" width="13.25" hidden="1" customWidth="1"/>
    <col min="12" max="12" width="13.25" customWidth="1"/>
    <col min="13" max="13" width="31.75" customWidth="1"/>
    <col min="14" max="16" width="17.875" customWidth="1"/>
    <col min="18" max="18" width="27" customWidth="1"/>
  </cols>
  <sheetData>
    <row r="1" spans="1:20">
      <c r="A1" s="3206" t="s">
        <v>3023</v>
      </c>
      <c r="B1" s="3206" t="s">
        <v>3024</v>
      </c>
      <c r="C1" s="3206" t="s">
        <v>3025</v>
      </c>
      <c r="D1" s="3206" t="s">
        <v>3026</v>
      </c>
      <c r="E1" s="3206" t="s">
        <v>3027</v>
      </c>
      <c r="F1" s="3206" t="s">
        <v>3028</v>
      </c>
      <c r="G1" s="3206" t="s">
        <v>3029</v>
      </c>
      <c r="H1" s="3206" t="s">
        <v>3030</v>
      </c>
      <c r="I1" s="3206" t="s">
        <v>3031</v>
      </c>
      <c r="J1" s="3206" t="s">
        <v>2034</v>
      </c>
      <c r="K1" s="3206" t="s">
        <v>3032</v>
      </c>
      <c r="L1" s="3206" t="s">
        <v>3033</v>
      </c>
      <c r="M1" s="3206" t="s">
        <v>3034</v>
      </c>
      <c r="N1" s="3206" t="s">
        <v>3035</v>
      </c>
      <c r="O1" s="3206" t="s">
        <v>3036</v>
      </c>
      <c r="P1" s="3206" t="s">
        <v>3037</v>
      </c>
      <c r="Q1" s="3206" t="s">
        <v>3038</v>
      </c>
      <c r="R1" s="3206" t="s">
        <v>3039</v>
      </c>
    </row>
    <row r="2" spans="1:20">
      <c r="A2" s="3206" t="s">
        <v>3040</v>
      </c>
      <c r="B2" s="3206" t="s">
        <v>3041</v>
      </c>
      <c r="C2" s="3206" t="s">
        <v>3042</v>
      </c>
      <c r="D2" s="3206" t="s">
        <v>3040</v>
      </c>
      <c r="E2" s="3206" t="s">
        <v>3043</v>
      </c>
      <c r="F2" s="3206" t="s">
        <v>3044</v>
      </c>
      <c r="G2" s="3206" t="s">
        <v>3045</v>
      </c>
      <c r="H2" s="3206">
        <v>57366.75</v>
      </c>
      <c r="I2" s="3206">
        <v>172100.3</v>
      </c>
      <c r="J2" s="3206" t="s">
        <v>3046</v>
      </c>
      <c r="K2" s="3206" t="s">
        <v>3047</v>
      </c>
      <c r="L2" s="3206" t="s">
        <v>3048</v>
      </c>
      <c r="M2" s="3206" t="s">
        <v>3049</v>
      </c>
      <c r="N2" s="3206">
        <v>35280.54</v>
      </c>
      <c r="O2" s="3206">
        <v>410</v>
      </c>
      <c r="P2" s="3206">
        <v>2050</v>
      </c>
      <c r="Q2" s="3206">
        <v>0</v>
      </c>
      <c r="R2" s="3206" t="s">
        <v>3050</v>
      </c>
      <c r="T2">
        <f>ROUND(N2*10000/H2,0)</f>
        <v>6150</v>
      </c>
    </row>
    <row r="3" spans="1:20">
      <c r="A3" s="3206" t="s">
        <v>3051</v>
      </c>
      <c r="B3" s="3206" t="s">
        <v>3041</v>
      </c>
      <c r="C3" s="3206" t="s">
        <v>3042</v>
      </c>
      <c r="D3" s="3206" t="s">
        <v>3051</v>
      </c>
      <c r="E3" s="3206" t="s">
        <v>3043</v>
      </c>
      <c r="F3" s="3206" t="s">
        <v>3052</v>
      </c>
      <c r="G3" s="3206" t="s">
        <v>3053</v>
      </c>
      <c r="H3" s="3206">
        <v>84162.27</v>
      </c>
      <c r="I3" s="3206">
        <v>168324.5</v>
      </c>
      <c r="J3" s="3206" t="s">
        <v>3054</v>
      </c>
      <c r="K3" s="3206" t="s">
        <v>3055</v>
      </c>
      <c r="L3" s="3206" t="s">
        <v>3056</v>
      </c>
      <c r="M3" s="3206" t="s">
        <v>3057</v>
      </c>
      <c r="N3" s="3206">
        <v>42922.76</v>
      </c>
      <c r="O3" s="3206">
        <v>340</v>
      </c>
      <c r="P3" s="3206">
        <v>2550</v>
      </c>
      <c r="Q3" s="3206">
        <v>0</v>
      </c>
      <c r="R3" s="3206" t="s">
        <v>3058</v>
      </c>
      <c r="T3">
        <f t="shared" ref="T3:T66" si="0">ROUND(N3*10000/H3,0)</f>
        <v>5100</v>
      </c>
    </row>
    <row r="4" spans="1:20" s="3249" customFormat="1">
      <c r="A4" s="3248" t="s">
        <v>3059</v>
      </c>
      <c r="B4" s="3248" t="s">
        <v>3041</v>
      </c>
      <c r="C4" s="3248" t="s">
        <v>3042</v>
      </c>
      <c r="D4" s="3248" t="s">
        <v>3059</v>
      </c>
      <c r="E4" s="3248" t="s">
        <v>3043</v>
      </c>
      <c r="F4" s="3248" t="s">
        <v>3060</v>
      </c>
      <c r="G4" s="3248" t="s">
        <v>3053</v>
      </c>
      <c r="H4" s="3248">
        <v>40073.15</v>
      </c>
      <c r="I4" s="3248">
        <v>80146.3</v>
      </c>
      <c r="J4" s="3248" t="s">
        <v>3061</v>
      </c>
      <c r="K4" s="3248" t="s">
        <v>3062</v>
      </c>
      <c r="L4" s="3248" t="s">
        <v>3063</v>
      </c>
      <c r="M4" s="3248" t="s">
        <v>3064</v>
      </c>
      <c r="N4" s="3248">
        <v>24043.88</v>
      </c>
      <c r="O4" s="3248">
        <v>400</v>
      </c>
      <c r="P4" s="3248">
        <v>3000</v>
      </c>
      <c r="Q4" s="3248">
        <v>0</v>
      </c>
      <c r="R4" s="3248" t="s">
        <v>3065</v>
      </c>
      <c r="T4" s="3249">
        <f t="shared" si="0"/>
        <v>6000</v>
      </c>
    </row>
    <row r="5" spans="1:20">
      <c r="A5" s="3206" t="s">
        <v>3066</v>
      </c>
      <c r="B5" s="3206" t="s">
        <v>3041</v>
      </c>
      <c r="C5" s="3206" t="s">
        <v>3042</v>
      </c>
      <c r="D5" s="3206" t="s">
        <v>3066</v>
      </c>
      <c r="E5" s="3206" t="s">
        <v>3043</v>
      </c>
      <c r="F5" s="3206" t="s">
        <v>3067</v>
      </c>
      <c r="G5" s="3206" t="s">
        <v>3053</v>
      </c>
      <c r="H5" s="3206">
        <v>39453.39</v>
      </c>
      <c r="I5" s="3206">
        <v>78906.78</v>
      </c>
      <c r="J5" s="3206" t="s">
        <v>3061</v>
      </c>
      <c r="K5" s="3206" t="s">
        <v>3062</v>
      </c>
      <c r="L5" s="3206" t="s">
        <v>3063</v>
      </c>
      <c r="M5" s="3206" t="s">
        <v>3064</v>
      </c>
      <c r="N5" s="3206">
        <v>22606.79</v>
      </c>
      <c r="O5" s="3206">
        <v>382</v>
      </c>
      <c r="P5" s="3206">
        <v>2865</v>
      </c>
      <c r="Q5" s="3206">
        <v>0</v>
      </c>
      <c r="R5" s="3206" t="s">
        <v>3068</v>
      </c>
      <c r="T5">
        <f t="shared" si="0"/>
        <v>5730</v>
      </c>
    </row>
    <row r="6" spans="1:20" s="3438" customFormat="1">
      <c r="A6" s="3437" t="s">
        <v>3069</v>
      </c>
      <c r="B6" s="3437" t="s">
        <v>3041</v>
      </c>
      <c r="C6" s="3437" t="s">
        <v>3042</v>
      </c>
      <c r="D6" s="3437" t="s">
        <v>3069</v>
      </c>
      <c r="E6" s="3437" t="s">
        <v>3043</v>
      </c>
      <c r="F6" s="3437" t="s">
        <v>3070</v>
      </c>
      <c r="G6" s="3437" t="s">
        <v>3053</v>
      </c>
      <c r="H6" s="3437">
        <v>60179.42</v>
      </c>
      <c r="I6" s="3437">
        <v>66197.36</v>
      </c>
      <c r="J6" s="3437" t="s">
        <v>3071</v>
      </c>
      <c r="K6" s="3437" t="s">
        <v>3062</v>
      </c>
      <c r="L6" s="3437" t="s">
        <v>3063</v>
      </c>
      <c r="M6" s="3437" t="s">
        <v>3064</v>
      </c>
      <c r="N6" s="3437">
        <v>34482.800000000003</v>
      </c>
      <c r="O6" s="3437">
        <v>382</v>
      </c>
      <c r="P6" s="3437">
        <v>5209.09</v>
      </c>
      <c r="Q6" s="3437">
        <v>0</v>
      </c>
      <c r="R6" s="3437" t="s">
        <v>3068</v>
      </c>
      <c r="T6" s="3438">
        <f t="shared" si="0"/>
        <v>5730</v>
      </c>
    </row>
    <row r="7" spans="1:20">
      <c r="A7" s="3206" t="s">
        <v>3072</v>
      </c>
      <c r="B7" s="3206" t="s">
        <v>3041</v>
      </c>
      <c r="C7" s="3206" t="s">
        <v>3042</v>
      </c>
      <c r="D7" s="3206" t="s">
        <v>3072</v>
      </c>
      <c r="E7" s="3206" t="s">
        <v>3043</v>
      </c>
      <c r="F7" s="3206" t="s">
        <v>3073</v>
      </c>
      <c r="G7" s="3206" t="s">
        <v>3053</v>
      </c>
      <c r="H7" s="3206">
        <v>33151.29</v>
      </c>
      <c r="I7" s="3206">
        <v>66302.58</v>
      </c>
      <c r="J7" s="3206" t="s">
        <v>3061</v>
      </c>
      <c r="K7" s="3206" t="s">
        <v>3062</v>
      </c>
      <c r="L7" s="3206" t="s">
        <v>3063</v>
      </c>
      <c r="M7" s="3206" t="s">
        <v>3074</v>
      </c>
      <c r="N7" s="3206">
        <v>18995.68</v>
      </c>
      <c r="O7" s="3206">
        <v>382</v>
      </c>
      <c r="P7" s="3206">
        <v>2865</v>
      </c>
      <c r="Q7" s="3206">
        <v>0</v>
      </c>
      <c r="R7" s="3206" t="s">
        <v>3068</v>
      </c>
      <c r="T7">
        <f t="shared" si="0"/>
        <v>5730</v>
      </c>
    </row>
    <row r="8" spans="1:20" s="3420" customFormat="1">
      <c r="A8" s="3419" t="s">
        <v>3059</v>
      </c>
      <c r="B8" s="3419" t="s">
        <v>3041</v>
      </c>
      <c r="C8" s="3419" t="s">
        <v>3042</v>
      </c>
      <c r="D8" s="3419" t="s">
        <v>3059</v>
      </c>
      <c r="E8" s="3419" t="s">
        <v>3043</v>
      </c>
      <c r="F8" s="3419" t="s">
        <v>3075</v>
      </c>
      <c r="G8" s="3419" t="s">
        <v>3053</v>
      </c>
      <c r="H8" s="3419">
        <v>75043.39</v>
      </c>
      <c r="I8" s="3419">
        <v>150086.79999999999</v>
      </c>
      <c r="J8" s="3419" t="s">
        <v>3061</v>
      </c>
      <c r="K8" s="3419" t="s">
        <v>3062</v>
      </c>
      <c r="L8" s="3419" t="s">
        <v>3063</v>
      </c>
      <c r="M8" s="3419" t="s">
        <v>3064</v>
      </c>
      <c r="N8" s="3419">
        <v>45026.04</v>
      </c>
      <c r="O8" s="3419">
        <v>400</v>
      </c>
      <c r="P8" s="3419">
        <v>3000</v>
      </c>
      <c r="Q8" s="3419">
        <v>0</v>
      </c>
      <c r="R8" s="3419" t="s">
        <v>3065</v>
      </c>
      <c r="T8" s="3420">
        <f t="shared" si="0"/>
        <v>6000</v>
      </c>
    </row>
    <row r="9" spans="1:20">
      <c r="A9" s="3206" t="s">
        <v>3072</v>
      </c>
      <c r="B9" s="3206" t="s">
        <v>3041</v>
      </c>
      <c r="C9" s="3206" t="s">
        <v>3042</v>
      </c>
      <c r="D9" s="3206" t="s">
        <v>3072</v>
      </c>
      <c r="E9" s="3206" t="s">
        <v>3043</v>
      </c>
      <c r="F9" s="3206" t="s">
        <v>3076</v>
      </c>
      <c r="G9" s="3206" t="s">
        <v>3053</v>
      </c>
      <c r="H9" s="3206">
        <v>51281.45</v>
      </c>
      <c r="I9" s="3206">
        <v>102562.9</v>
      </c>
      <c r="J9" s="3206" t="s">
        <v>3061</v>
      </c>
      <c r="K9" s="3206" t="s">
        <v>3062</v>
      </c>
      <c r="L9" s="3206" t="s">
        <v>3063</v>
      </c>
      <c r="M9" s="3206" t="s">
        <v>3074</v>
      </c>
      <c r="N9" s="3206">
        <v>29384.27</v>
      </c>
      <c r="O9" s="3206">
        <v>382</v>
      </c>
      <c r="P9" s="3206">
        <v>2865</v>
      </c>
      <c r="Q9" s="3206">
        <v>0</v>
      </c>
      <c r="R9" s="3206" t="s">
        <v>3065</v>
      </c>
      <c r="T9">
        <f t="shared" si="0"/>
        <v>5730</v>
      </c>
    </row>
    <row r="10" spans="1:20">
      <c r="A10" s="3206" t="s">
        <v>3072</v>
      </c>
      <c r="B10" s="3206" t="s">
        <v>3041</v>
      </c>
      <c r="C10" s="3206" t="s">
        <v>3042</v>
      </c>
      <c r="D10" s="3206" t="s">
        <v>3072</v>
      </c>
      <c r="E10" s="3206" t="s">
        <v>3043</v>
      </c>
      <c r="F10" s="3206" t="s">
        <v>3077</v>
      </c>
      <c r="G10" s="3206" t="s">
        <v>3053</v>
      </c>
      <c r="H10" s="3206">
        <v>59716.26</v>
      </c>
      <c r="I10" s="3206">
        <v>119432.5</v>
      </c>
      <c r="J10" s="3206" t="s">
        <v>3061</v>
      </c>
      <c r="K10" s="3206" t="s">
        <v>3062</v>
      </c>
      <c r="L10" s="3206" t="s">
        <v>3063</v>
      </c>
      <c r="M10" s="3206" t="s">
        <v>3074</v>
      </c>
      <c r="N10" s="3206">
        <v>34217.410000000003</v>
      </c>
      <c r="O10" s="3206">
        <v>382</v>
      </c>
      <c r="P10" s="3206">
        <v>2865</v>
      </c>
      <c r="Q10" s="3206">
        <v>0</v>
      </c>
      <c r="R10" s="3206" t="s">
        <v>3068</v>
      </c>
      <c r="T10">
        <f t="shared" si="0"/>
        <v>5730</v>
      </c>
    </row>
    <row r="11" spans="1:20" s="3249" customFormat="1">
      <c r="A11" s="3248" t="s">
        <v>3078</v>
      </c>
      <c r="B11" s="3248" t="s">
        <v>3041</v>
      </c>
      <c r="C11" s="3248" t="s">
        <v>3042</v>
      </c>
      <c r="D11" s="3248" t="s">
        <v>3078</v>
      </c>
      <c r="E11" s="3248" t="s">
        <v>3043</v>
      </c>
      <c r="F11" s="3248" t="s">
        <v>3079</v>
      </c>
      <c r="G11" s="3248" t="s">
        <v>3053</v>
      </c>
      <c r="H11" s="3248">
        <v>43278.14</v>
      </c>
      <c r="I11" s="3248">
        <v>86556.28</v>
      </c>
      <c r="J11" s="3248" t="s">
        <v>3061</v>
      </c>
      <c r="K11" s="3248" t="s">
        <v>3062</v>
      </c>
      <c r="L11" s="3248" t="s">
        <v>3063</v>
      </c>
      <c r="M11" s="3248" t="s">
        <v>3074</v>
      </c>
      <c r="N11" s="3248">
        <v>24798.36</v>
      </c>
      <c r="O11" s="3248">
        <v>382</v>
      </c>
      <c r="P11" s="3248">
        <v>2865</v>
      </c>
      <c r="Q11" s="3248">
        <v>0</v>
      </c>
      <c r="R11" s="3248" t="s">
        <v>3068</v>
      </c>
      <c r="T11" s="3249">
        <f t="shared" si="0"/>
        <v>5730</v>
      </c>
    </row>
    <row r="12" spans="1:20" s="3896" customFormat="1">
      <c r="A12" s="3895" t="s">
        <v>3080</v>
      </c>
      <c r="B12" s="3895" t="s">
        <v>3041</v>
      </c>
      <c r="C12" s="3895" t="s">
        <v>3042</v>
      </c>
      <c r="D12" s="3895" t="s">
        <v>3080</v>
      </c>
      <c r="E12" s="3895" t="s">
        <v>3043</v>
      </c>
      <c r="F12" s="3895" t="s">
        <v>3081</v>
      </c>
      <c r="G12" s="3895" t="s">
        <v>3053</v>
      </c>
      <c r="H12" s="3895">
        <v>56213.45</v>
      </c>
      <c r="I12" s="3895">
        <v>89941.52</v>
      </c>
      <c r="J12" s="3895" t="s">
        <v>3082</v>
      </c>
      <c r="K12" s="3895" t="s">
        <v>3062</v>
      </c>
      <c r="L12" s="3895" t="s">
        <v>3063</v>
      </c>
      <c r="M12" s="3895" t="s">
        <v>3064</v>
      </c>
      <c r="N12" s="3895">
        <v>32210.31</v>
      </c>
      <c r="O12" s="3895">
        <v>382</v>
      </c>
      <c r="P12" s="3895">
        <v>3581.25</v>
      </c>
      <c r="Q12" s="3895">
        <v>0</v>
      </c>
      <c r="R12" s="3895" t="s">
        <v>3065</v>
      </c>
      <c r="T12" s="3896">
        <f t="shared" si="0"/>
        <v>5730</v>
      </c>
    </row>
    <row r="13" spans="1:20" s="3249" customFormat="1">
      <c r="A13" s="3248" t="s">
        <v>3078</v>
      </c>
      <c r="B13" s="3248" t="s">
        <v>3041</v>
      </c>
      <c r="C13" s="3248" t="s">
        <v>3042</v>
      </c>
      <c r="D13" s="3248" t="s">
        <v>3078</v>
      </c>
      <c r="E13" s="3248" t="s">
        <v>3043</v>
      </c>
      <c r="F13" s="3248" t="s">
        <v>3083</v>
      </c>
      <c r="G13" s="3248" t="s">
        <v>3053</v>
      </c>
      <c r="H13" s="3248">
        <v>43472.44</v>
      </c>
      <c r="I13" s="3248">
        <v>86944.88</v>
      </c>
      <c r="J13" s="3248" t="s">
        <v>3061</v>
      </c>
      <c r="K13" s="3248" t="s">
        <v>3062</v>
      </c>
      <c r="L13" s="3248" t="s">
        <v>3063</v>
      </c>
      <c r="M13" s="3248" t="s">
        <v>3064</v>
      </c>
      <c r="N13" s="3248">
        <v>24909.72</v>
      </c>
      <c r="O13" s="3248">
        <v>382</v>
      </c>
      <c r="P13" s="3248">
        <v>2865</v>
      </c>
      <c r="Q13" s="3248">
        <v>0</v>
      </c>
      <c r="R13" s="3248" t="s">
        <v>3068</v>
      </c>
      <c r="T13" s="3249">
        <f t="shared" si="0"/>
        <v>5730</v>
      </c>
    </row>
    <row r="14" spans="1:20">
      <c r="A14" s="3206" t="s">
        <v>3084</v>
      </c>
      <c r="B14" s="3206" t="s">
        <v>3041</v>
      </c>
      <c r="C14" s="3206" t="s">
        <v>3042</v>
      </c>
      <c r="D14" s="3206" t="s">
        <v>3084</v>
      </c>
      <c r="E14" s="3206" t="s">
        <v>3043</v>
      </c>
      <c r="F14" s="3206" t="s">
        <v>3085</v>
      </c>
      <c r="G14" s="3206" t="s">
        <v>3086</v>
      </c>
      <c r="H14" s="3206">
        <v>32920.639999999999</v>
      </c>
      <c r="I14" s="3206">
        <v>65841.279999999999</v>
      </c>
      <c r="J14" s="3206" t="s">
        <v>3087</v>
      </c>
      <c r="K14" s="3206" t="s">
        <v>3088</v>
      </c>
      <c r="L14" s="3206" t="s">
        <v>3089</v>
      </c>
      <c r="M14" s="3206" t="s">
        <v>3090</v>
      </c>
      <c r="N14" s="3206">
        <v>15801.92</v>
      </c>
      <c r="O14" s="3206">
        <v>320</v>
      </c>
      <c r="P14" s="3206">
        <v>2400</v>
      </c>
      <c r="Q14" s="3206">
        <v>60</v>
      </c>
      <c r="R14" s="3206" t="s">
        <v>3091</v>
      </c>
      <c r="T14">
        <f t="shared" si="0"/>
        <v>4800</v>
      </c>
    </row>
    <row r="15" spans="1:20">
      <c r="A15" s="3206" t="s">
        <v>3078</v>
      </c>
      <c r="B15" s="3206" t="s">
        <v>3041</v>
      </c>
      <c r="C15" s="3206" t="s">
        <v>3042</v>
      </c>
      <c r="D15" s="3206" t="s">
        <v>3078</v>
      </c>
      <c r="E15" s="3206" t="s">
        <v>3043</v>
      </c>
      <c r="F15" s="3206" t="s">
        <v>3092</v>
      </c>
      <c r="G15" s="3206" t="s">
        <v>3086</v>
      </c>
      <c r="H15" s="3206">
        <v>54270.58</v>
      </c>
      <c r="I15" s="3206">
        <v>108541.2</v>
      </c>
      <c r="J15" s="3206" t="s">
        <v>3054</v>
      </c>
      <c r="K15" s="3206" t="s">
        <v>3093</v>
      </c>
      <c r="L15" s="3206" t="s">
        <v>3094</v>
      </c>
      <c r="M15" s="3206" t="s">
        <v>3095</v>
      </c>
      <c r="N15" s="3206">
        <v>28247.84</v>
      </c>
      <c r="O15" s="3206">
        <v>347</v>
      </c>
      <c r="P15" s="3206">
        <v>2602.5</v>
      </c>
      <c r="Q15" s="3206">
        <v>29.96</v>
      </c>
      <c r="R15" s="3206" t="s">
        <v>3096</v>
      </c>
      <c r="T15">
        <f t="shared" si="0"/>
        <v>5205</v>
      </c>
    </row>
    <row r="16" spans="1:20" s="3896" customFormat="1">
      <c r="A16" s="3895" t="s">
        <v>3097</v>
      </c>
      <c r="B16" s="3895" t="s">
        <v>3041</v>
      </c>
      <c r="C16" s="3895" t="s">
        <v>3042</v>
      </c>
      <c r="D16" s="3895" t="s">
        <v>3097</v>
      </c>
      <c r="E16" s="3895" t="s">
        <v>3043</v>
      </c>
      <c r="F16" s="3895" t="s">
        <v>3098</v>
      </c>
      <c r="G16" s="3895" t="s">
        <v>3099</v>
      </c>
      <c r="H16" s="3895">
        <v>13132.19</v>
      </c>
      <c r="I16" s="3895">
        <v>23637.94</v>
      </c>
      <c r="J16" s="3895" t="s">
        <v>3100</v>
      </c>
      <c r="K16" s="3895" t="s">
        <v>3101</v>
      </c>
      <c r="L16" s="3895" t="s">
        <v>3102</v>
      </c>
      <c r="M16" s="3895" t="s">
        <v>3103</v>
      </c>
      <c r="N16" s="3895">
        <v>7288.36</v>
      </c>
      <c r="O16" s="3895">
        <v>370</v>
      </c>
      <c r="P16" s="3895">
        <v>3083.34</v>
      </c>
      <c r="Q16" s="3895">
        <v>23.33</v>
      </c>
      <c r="R16" s="3895" t="s">
        <v>3096</v>
      </c>
      <c r="T16" s="3896">
        <f t="shared" si="0"/>
        <v>5550</v>
      </c>
    </row>
    <row r="17" spans="1:20">
      <c r="A17" s="3206" t="s">
        <v>3080</v>
      </c>
      <c r="B17" s="3206" t="s">
        <v>3041</v>
      </c>
      <c r="C17" s="3206" t="s">
        <v>3042</v>
      </c>
      <c r="D17" s="3206" t="s">
        <v>3080</v>
      </c>
      <c r="E17" s="3206" t="s">
        <v>3043</v>
      </c>
      <c r="F17" s="3206" t="s">
        <v>3104</v>
      </c>
      <c r="G17" s="3206" t="s">
        <v>3099</v>
      </c>
      <c r="H17" s="3206">
        <v>48508.72</v>
      </c>
      <c r="I17" s="3206">
        <v>77613.95</v>
      </c>
      <c r="J17" s="3206" t="s">
        <v>3105</v>
      </c>
      <c r="K17" s="3206" t="s">
        <v>3106</v>
      </c>
      <c r="L17" s="3206" t="s">
        <v>3107</v>
      </c>
      <c r="M17" s="3206" t="s">
        <v>3108</v>
      </c>
      <c r="N17" s="3206">
        <v>20373.66</v>
      </c>
      <c r="O17" s="3206">
        <v>280</v>
      </c>
      <c r="P17" s="3206">
        <v>2625</v>
      </c>
      <c r="Q17" s="3206">
        <v>27.27</v>
      </c>
      <c r="R17" s="3206" t="s">
        <v>3109</v>
      </c>
      <c r="T17">
        <f t="shared" si="0"/>
        <v>4200</v>
      </c>
    </row>
    <row r="18" spans="1:20" s="3896" customFormat="1">
      <c r="A18" s="3895" t="s">
        <v>3080</v>
      </c>
      <c r="B18" s="3895" t="s">
        <v>3041</v>
      </c>
      <c r="C18" s="3895" t="s">
        <v>3042</v>
      </c>
      <c r="D18" s="3895" t="s">
        <v>3080</v>
      </c>
      <c r="E18" s="3895" t="s">
        <v>3043</v>
      </c>
      <c r="F18" s="3895" t="s">
        <v>3110</v>
      </c>
      <c r="G18" s="3895" t="s">
        <v>3099</v>
      </c>
      <c r="H18" s="3895">
        <v>53549.48</v>
      </c>
      <c r="I18" s="3895">
        <v>85679.17</v>
      </c>
      <c r="J18" s="3895" t="s">
        <v>3105</v>
      </c>
      <c r="K18" s="3895" t="s">
        <v>3106</v>
      </c>
      <c r="L18" s="3895" t="s">
        <v>3107</v>
      </c>
      <c r="M18" s="3895" t="s">
        <v>3108</v>
      </c>
      <c r="N18" s="3895">
        <v>23294.02</v>
      </c>
      <c r="O18" s="3895">
        <v>290</v>
      </c>
      <c r="P18" s="3895">
        <v>2718.75</v>
      </c>
      <c r="Q18" s="3895">
        <v>31.82</v>
      </c>
      <c r="R18" s="3895" t="s">
        <v>3109</v>
      </c>
      <c r="T18" s="3896">
        <f t="shared" si="0"/>
        <v>4350</v>
      </c>
    </row>
    <row r="19" spans="1:20" s="3424" customFormat="1">
      <c r="A19" s="3423" t="s">
        <v>3111</v>
      </c>
      <c r="B19" s="3423" t="s">
        <v>3041</v>
      </c>
      <c r="C19" s="3423" t="s">
        <v>3042</v>
      </c>
      <c r="D19" s="3423" t="s">
        <v>3111</v>
      </c>
      <c r="E19" s="3423" t="s">
        <v>3043</v>
      </c>
      <c r="F19" s="3423" t="s">
        <v>3112</v>
      </c>
      <c r="G19" s="3423" t="s">
        <v>3113</v>
      </c>
      <c r="H19" s="3423">
        <v>65227.11</v>
      </c>
      <c r="I19" s="3423">
        <v>136976.9</v>
      </c>
      <c r="J19" s="3423" t="s">
        <v>3114</v>
      </c>
      <c r="K19" s="3423" t="s">
        <v>3115</v>
      </c>
      <c r="L19" s="3423" t="s">
        <v>3116</v>
      </c>
      <c r="M19" s="3423" t="s">
        <v>3117</v>
      </c>
      <c r="N19" s="3423">
        <v>7533.72</v>
      </c>
      <c r="O19" s="3423">
        <v>77</v>
      </c>
      <c r="P19" s="3423">
        <v>550</v>
      </c>
      <c r="Q19" s="3423">
        <v>0</v>
      </c>
      <c r="R19" s="3423" t="s">
        <v>3096</v>
      </c>
      <c r="T19" s="3424">
        <f t="shared" si="0"/>
        <v>1155</v>
      </c>
    </row>
    <row r="20" spans="1:20" s="3424" customFormat="1">
      <c r="A20" s="3423" t="s">
        <v>3118</v>
      </c>
      <c r="B20" s="3423" t="s">
        <v>3041</v>
      </c>
      <c r="C20" s="3423" t="s">
        <v>3042</v>
      </c>
      <c r="D20" s="3423" t="s">
        <v>3118</v>
      </c>
      <c r="E20" s="3423" t="s">
        <v>3043</v>
      </c>
      <c r="F20" s="3423" t="s">
        <v>3119</v>
      </c>
      <c r="G20" s="3423" t="s">
        <v>3113</v>
      </c>
      <c r="H20" s="3423">
        <v>66346.33</v>
      </c>
      <c r="I20" s="3423">
        <v>72980.960000000006</v>
      </c>
      <c r="J20" s="3423" t="s">
        <v>3120</v>
      </c>
      <c r="K20" s="3423" t="s">
        <v>3115</v>
      </c>
      <c r="L20" s="3423" t="s">
        <v>3116</v>
      </c>
      <c r="M20" s="3423" t="s">
        <v>3117</v>
      </c>
      <c r="N20" s="3423">
        <v>6667.81</v>
      </c>
      <c r="O20" s="3423">
        <v>67</v>
      </c>
      <c r="P20" s="3423">
        <v>913.63</v>
      </c>
      <c r="Q20" s="3423">
        <v>0</v>
      </c>
      <c r="R20" s="3423" t="s">
        <v>3096</v>
      </c>
      <c r="T20" s="3424">
        <f t="shared" si="0"/>
        <v>1005</v>
      </c>
    </row>
    <row r="21" spans="1:20" s="3424" customFormat="1">
      <c r="A21" s="3423" t="s">
        <v>3121</v>
      </c>
      <c r="B21" s="3423" t="s">
        <v>3041</v>
      </c>
      <c r="C21" s="3423" t="s">
        <v>3042</v>
      </c>
      <c r="D21" s="3423" t="s">
        <v>3121</v>
      </c>
      <c r="E21" s="3423" t="s">
        <v>3043</v>
      </c>
      <c r="F21" s="3423" t="s">
        <v>3122</v>
      </c>
      <c r="G21" s="3423" t="s">
        <v>3113</v>
      </c>
      <c r="H21" s="3423">
        <v>39032.129999999997</v>
      </c>
      <c r="I21" s="3423">
        <v>89773.9</v>
      </c>
      <c r="J21" s="3423" t="s">
        <v>3123</v>
      </c>
      <c r="K21" s="3423" t="s">
        <v>3115</v>
      </c>
      <c r="L21" s="3423" t="s">
        <v>3116</v>
      </c>
      <c r="M21" s="3423" t="s">
        <v>3117</v>
      </c>
      <c r="N21" s="3423">
        <v>3922.73</v>
      </c>
      <c r="O21" s="3423">
        <v>67</v>
      </c>
      <c r="P21" s="3423">
        <v>436.95</v>
      </c>
      <c r="Q21" s="3423">
        <v>0</v>
      </c>
      <c r="R21" s="3423" t="s">
        <v>3096</v>
      </c>
      <c r="T21" s="3424">
        <f t="shared" si="0"/>
        <v>1005</v>
      </c>
    </row>
    <row r="22" spans="1:20" s="3424" customFormat="1">
      <c r="A22" s="3423" t="s">
        <v>3124</v>
      </c>
      <c r="B22" s="3423" t="s">
        <v>3041</v>
      </c>
      <c r="C22" s="3423" t="s">
        <v>3042</v>
      </c>
      <c r="D22" s="3423" t="s">
        <v>3124</v>
      </c>
      <c r="E22" s="3423" t="s">
        <v>3043</v>
      </c>
      <c r="F22" s="3423" t="s">
        <v>3125</v>
      </c>
      <c r="G22" s="3423" t="s">
        <v>3113</v>
      </c>
      <c r="H22" s="3423">
        <v>25444.55</v>
      </c>
      <c r="I22" s="3423">
        <v>48344.639999999999</v>
      </c>
      <c r="J22" s="3423" t="s">
        <v>3126</v>
      </c>
      <c r="K22" s="3423" t="s">
        <v>3115</v>
      </c>
      <c r="L22" s="3423" t="s">
        <v>3116</v>
      </c>
      <c r="M22" s="3423" t="s">
        <v>3117</v>
      </c>
      <c r="N22" s="3423">
        <v>2557.17</v>
      </c>
      <c r="O22" s="3423">
        <v>67</v>
      </c>
      <c r="P22" s="3423">
        <v>528.95000000000005</v>
      </c>
      <c r="Q22" s="3423">
        <v>0</v>
      </c>
      <c r="R22" s="3423" t="s">
        <v>3096</v>
      </c>
      <c r="T22" s="3424">
        <f t="shared" si="0"/>
        <v>1005</v>
      </c>
    </row>
    <row r="23" spans="1:20" s="3424" customFormat="1">
      <c r="A23" s="3423" t="s">
        <v>3127</v>
      </c>
      <c r="B23" s="3423" t="s">
        <v>3041</v>
      </c>
      <c r="C23" s="3423" t="s">
        <v>3042</v>
      </c>
      <c r="D23" s="3423" t="s">
        <v>3127</v>
      </c>
      <c r="E23" s="3423" t="s">
        <v>3043</v>
      </c>
      <c r="F23" s="3423" t="s">
        <v>3128</v>
      </c>
      <c r="G23" s="3423" t="s">
        <v>3113</v>
      </c>
      <c r="H23" s="3423">
        <v>58214.86</v>
      </c>
      <c r="I23" s="3423">
        <v>64036.35</v>
      </c>
      <c r="J23" s="3423" t="s">
        <v>3120</v>
      </c>
      <c r="K23" s="3423" t="s">
        <v>3115</v>
      </c>
      <c r="L23" s="3423" t="s">
        <v>3116</v>
      </c>
      <c r="M23" s="3423" t="s">
        <v>3117</v>
      </c>
      <c r="N23" s="3423">
        <v>5850.59</v>
      </c>
      <c r="O23" s="3423">
        <v>67</v>
      </c>
      <c r="P23" s="3423">
        <v>913.63</v>
      </c>
      <c r="Q23" s="3423">
        <v>0</v>
      </c>
      <c r="R23" s="3423" t="s">
        <v>3096</v>
      </c>
      <c r="T23" s="3424">
        <f t="shared" si="0"/>
        <v>1005</v>
      </c>
    </row>
    <row r="24" spans="1:20" s="3424" customFormat="1">
      <c r="A24" s="3423" t="s">
        <v>3118</v>
      </c>
      <c r="B24" s="3423" t="s">
        <v>3041</v>
      </c>
      <c r="C24" s="3423" t="s">
        <v>3042</v>
      </c>
      <c r="D24" s="3423" t="s">
        <v>3118</v>
      </c>
      <c r="E24" s="3423" t="s">
        <v>3043</v>
      </c>
      <c r="F24" s="3423" t="s">
        <v>3129</v>
      </c>
      <c r="G24" s="3423" t="s">
        <v>3113</v>
      </c>
      <c r="H24" s="3423">
        <v>68885.070000000007</v>
      </c>
      <c r="I24" s="3423">
        <v>75773.58</v>
      </c>
      <c r="J24" s="3423" t="s">
        <v>3120</v>
      </c>
      <c r="K24" s="3423" t="s">
        <v>3115</v>
      </c>
      <c r="L24" s="3423" t="s">
        <v>3116</v>
      </c>
      <c r="M24" s="3423" t="s">
        <v>3117</v>
      </c>
      <c r="N24" s="3423">
        <v>6922.94</v>
      </c>
      <c r="O24" s="3423">
        <v>67</v>
      </c>
      <c r="P24" s="3423">
        <v>913.63</v>
      </c>
      <c r="Q24" s="3423">
        <v>0</v>
      </c>
      <c r="R24" s="3423" t="s">
        <v>3096</v>
      </c>
      <c r="T24" s="3424">
        <f t="shared" si="0"/>
        <v>1005</v>
      </c>
    </row>
    <row r="25" spans="1:20" s="3424" customFormat="1">
      <c r="A25" s="3423" t="s">
        <v>3127</v>
      </c>
      <c r="B25" s="3423" t="s">
        <v>3041</v>
      </c>
      <c r="C25" s="3423" t="s">
        <v>3042</v>
      </c>
      <c r="D25" s="3423" t="s">
        <v>3127</v>
      </c>
      <c r="E25" s="3423" t="s">
        <v>3043</v>
      </c>
      <c r="F25" s="3423" t="s">
        <v>3130</v>
      </c>
      <c r="G25" s="3423" t="s">
        <v>3113</v>
      </c>
      <c r="H25" s="3423">
        <v>48070.99</v>
      </c>
      <c r="I25" s="3423">
        <v>52878.09</v>
      </c>
      <c r="J25" s="3423" t="s">
        <v>3120</v>
      </c>
      <c r="K25" s="3423" t="s">
        <v>3115</v>
      </c>
      <c r="L25" s="3423" t="s">
        <v>3116</v>
      </c>
      <c r="M25" s="3423" t="s">
        <v>3117</v>
      </c>
      <c r="N25" s="3423">
        <v>4831.1400000000003</v>
      </c>
      <c r="O25" s="3423">
        <v>67</v>
      </c>
      <c r="P25" s="3423">
        <v>913.63</v>
      </c>
      <c r="Q25" s="3423">
        <v>0</v>
      </c>
      <c r="R25" s="3423" t="s">
        <v>3096</v>
      </c>
      <c r="T25" s="3424">
        <f t="shared" si="0"/>
        <v>1005</v>
      </c>
    </row>
    <row r="26" spans="1:20" s="3424" customFormat="1">
      <c r="A26" s="3423" t="s">
        <v>3118</v>
      </c>
      <c r="B26" s="3423" t="s">
        <v>3041</v>
      </c>
      <c r="C26" s="3423" t="s">
        <v>3042</v>
      </c>
      <c r="D26" s="3423" t="s">
        <v>3118</v>
      </c>
      <c r="E26" s="3423" t="s">
        <v>3043</v>
      </c>
      <c r="F26" s="3423" t="s">
        <v>3131</v>
      </c>
      <c r="G26" s="3423" t="s">
        <v>3113</v>
      </c>
      <c r="H26" s="3423">
        <v>68754.98</v>
      </c>
      <c r="I26" s="3423">
        <v>75630.48</v>
      </c>
      <c r="J26" s="3423" t="s">
        <v>3120</v>
      </c>
      <c r="K26" s="3423" t="s">
        <v>3115</v>
      </c>
      <c r="L26" s="3423" t="s">
        <v>3116</v>
      </c>
      <c r="M26" s="3423" t="s">
        <v>3117</v>
      </c>
      <c r="N26" s="3423">
        <v>6909.88</v>
      </c>
      <c r="O26" s="3423">
        <v>67</v>
      </c>
      <c r="P26" s="3423">
        <v>913.63</v>
      </c>
      <c r="Q26" s="3423">
        <v>0</v>
      </c>
      <c r="R26" s="3423" t="s">
        <v>3096</v>
      </c>
      <c r="T26" s="3424">
        <f t="shared" si="0"/>
        <v>1005</v>
      </c>
    </row>
    <row r="27" spans="1:20" s="3424" customFormat="1">
      <c r="A27" s="3423" t="s">
        <v>3132</v>
      </c>
      <c r="B27" s="3423" t="s">
        <v>3041</v>
      </c>
      <c r="C27" s="3423" t="s">
        <v>3042</v>
      </c>
      <c r="D27" s="3423" t="s">
        <v>3132</v>
      </c>
      <c r="E27" s="3423" t="s">
        <v>3043</v>
      </c>
      <c r="F27" s="3423" t="s">
        <v>3133</v>
      </c>
      <c r="G27" s="3423" t="s">
        <v>3113</v>
      </c>
      <c r="H27" s="3423">
        <v>69267.22</v>
      </c>
      <c r="I27" s="3423">
        <v>76193.94</v>
      </c>
      <c r="J27" s="3423" t="s">
        <v>3120</v>
      </c>
      <c r="K27" s="3423" t="s">
        <v>3115</v>
      </c>
      <c r="L27" s="3423" t="s">
        <v>3116</v>
      </c>
      <c r="M27" s="3423" t="s">
        <v>3117</v>
      </c>
      <c r="N27" s="3423">
        <v>6961.35</v>
      </c>
      <c r="O27" s="3423">
        <v>67</v>
      </c>
      <c r="P27" s="3423">
        <v>913.63</v>
      </c>
      <c r="Q27" s="3423">
        <v>0</v>
      </c>
      <c r="R27" s="3423" t="s">
        <v>3096</v>
      </c>
      <c r="T27" s="3424">
        <f t="shared" si="0"/>
        <v>1005</v>
      </c>
    </row>
    <row r="28" spans="1:20" s="3424" customFormat="1">
      <c r="A28" s="3423" t="s">
        <v>3132</v>
      </c>
      <c r="B28" s="3423" t="s">
        <v>3041</v>
      </c>
      <c r="C28" s="3423" t="s">
        <v>3042</v>
      </c>
      <c r="D28" s="3423" t="s">
        <v>3132</v>
      </c>
      <c r="E28" s="3423" t="s">
        <v>3043</v>
      </c>
      <c r="F28" s="3423" t="s">
        <v>3134</v>
      </c>
      <c r="G28" s="3423" t="s">
        <v>3135</v>
      </c>
      <c r="H28" s="3423">
        <v>69264.44</v>
      </c>
      <c r="I28" s="3423">
        <v>76190.880000000005</v>
      </c>
      <c r="J28" s="3423" t="s">
        <v>3120</v>
      </c>
      <c r="K28" s="3423" t="s">
        <v>3115</v>
      </c>
      <c r="L28" s="3423" t="s">
        <v>3116</v>
      </c>
      <c r="M28" s="3423" t="s">
        <v>3117</v>
      </c>
      <c r="N28" s="3423">
        <v>6961.07</v>
      </c>
      <c r="O28" s="3423">
        <v>67</v>
      </c>
      <c r="P28" s="3423">
        <v>913.63</v>
      </c>
      <c r="Q28" s="3423">
        <v>0</v>
      </c>
      <c r="R28" s="3423" t="s">
        <v>3096</v>
      </c>
      <c r="T28" s="3424">
        <f t="shared" si="0"/>
        <v>1005</v>
      </c>
    </row>
    <row r="29" spans="1:20" s="3424" customFormat="1">
      <c r="A29" s="3423" t="s">
        <v>3127</v>
      </c>
      <c r="B29" s="3423" t="s">
        <v>3041</v>
      </c>
      <c r="C29" s="3423" t="s">
        <v>3042</v>
      </c>
      <c r="D29" s="3423" t="s">
        <v>3127</v>
      </c>
      <c r="E29" s="3423" t="s">
        <v>3043</v>
      </c>
      <c r="F29" s="3423" t="s">
        <v>3136</v>
      </c>
      <c r="G29" s="3423" t="s">
        <v>3113</v>
      </c>
      <c r="H29" s="3423">
        <v>48664.01</v>
      </c>
      <c r="I29" s="3423">
        <v>53530.41</v>
      </c>
      <c r="J29" s="3423" t="s">
        <v>3120</v>
      </c>
      <c r="K29" s="3423" t="s">
        <v>3115</v>
      </c>
      <c r="L29" s="3423" t="s">
        <v>3116</v>
      </c>
      <c r="M29" s="3423" t="s">
        <v>3117</v>
      </c>
      <c r="N29" s="3423">
        <v>4890.72</v>
      </c>
      <c r="O29" s="3423">
        <v>67</v>
      </c>
      <c r="P29" s="3423">
        <v>913.63</v>
      </c>
      <c r="Q29" s="3423">
        <v>0</v>
      </c>
      <c r="R29" s="3423" t="s">
        <v>3096</v>
      </c>
      <c r="T29" s="3424">
        <f t="shared" si="0"/>
        <v>1005</v>
      </c>
    </row>
    <row r="30" spans="1:20" s="3424" customFormat="1">
      <c r="A30" s="3423" t="s">
        <v>3137</v>
      </c>
      <c r="B30" s="3423" t="s">
        <v>3041</v>
      </c>
      <c r="C30" s="3423" t="s">
        <v>3042</v>
      </c>
      <c r="D30" s="3423" t="s">
        <v>3137</v>
      </c>
      <c r="E30" s="3423" t="s">
        <v>3043</v>
      </c>
      <c r="F30" s="3423" t="s">
        <v>3138</v>
      </c>
      <c r="G30" s="3423" t="s">
        <v>3113</v>
      </c>
      <c r="H30" s="3423">
        <v>48158.59</v>
      </c>
      <c r="I30" s="3423">
        <v>110764.8</v>
      </c>
      <c r="J30" s="3423" t="s">
        <v>3123</v>
      </c>
      <c r="K30" s="3423" t="s">
        <v>3115</v>
      </c>
      <c r="L30" s="3423" t="s">
        <v>3116</v>
      </c>
      <c r="M30" s="3423" t="s">
        <v>3117</v>
      </c>
      <c r="N30" s="3423">
        <v>4839.93</v>
      </c>
      <c r="O30" s="3423">
        <v>67</v>
      </c>
      <c r="P30" s="3423">
        <v>436.95</v>
      </c>
      <c r="Q30" s="3423">
        <v>0</v>
      </c>
      <c r="R30" s="3423" t="s">
        <v>3096</v>
      </c>
      <c r="T30" s="3424">
        <f t="shared" si="0"/>
        <v>1005</v>
      </c>
    </row>
    <row r="31" spans="1:20" s="3424" customFormat="1">
      <c r="A31" s="3423" t="s">
        <v>3137</v>
      </c>
      <c r="B31" s="3423" t="s">
        <v>3041</v>
      </c>
      <c r="C31" s="3423" t="s">
        <v>3042</v>
      </c>
      <c r="D31" s="3423" t="s">
        <v>3137</v>
      </c>
      <c r="E31" s="3423" t="s">
        <v>3043</v>
      </c>
      <c r="F31" s="3423" t="s">
        <v>3139</v>
      </c>
      <c r="G31" s="3423" t="s">
        <v>3113</v>
      </c>
      <c r="H31" s="3423">
        <v>32272.38</v>
      </c>
      <c r="I31" s="3423">
        <v>74226.47</v>
      </c>
      <c r="J31" s="3423" t="s">
        <v>3123</v>
      </c>
      <c r="K31" s="3423" t="s">
        <v>3115</v>
      </c>
      <c r="L31" s="3423" t="s">
        <v>3116</v>
      </c>
      <c r="M31" s="3423" t="s">
        <v>3117</v>
      </c>
      <c r="N31" s="3423">
        <v>3243.38</v>
      </c>
      <c r="O31" s="3423">
        <v>67</v>
      </c>
      <c r="P31" s="3423">
        <v>436.95</v>
      </c>
      <c r="Q31" s="3423">
        <v>0</v>
      </c>
      <c r="R31" s="3423" t="s">
        <v>3096</v>
      </c>
      <c r="T31" s="3424">
        <f t="shared" si="0"/>
        <v>1005</v>
      </c>
    </row>
    <row r="32" spans="1:20" s="3424" customFormat="1">
      <c r="A32" s="3423" t="s">
        <v>3127</v>
      </c>
      <c r="B32" s="3423" t="s">
        <v>3041</v>
      </c>
      <c r="C32" s="3423" t="s">
        <v>3042</v>
      </c>
      <c r="D32" s="3423" t="s">
        <v>3127</v>
      </c>
      <c r="E32" s="3423" t="s">
        <v>3043</v>
      </c>
      <c r="F32" s="3423" t="s">
        <v>3140</v>
      </c>
      <c r="G32" s="3423" t="s">
        <v>3113</v>
      </c>
      <c r="H32" s="3423">
        <v>37428.550000000003</v>
      </c>
      <c r="I32" s="3423">
        <v>41171.410000000003</v>
      </c>
      <c r="J32" s="3423" t="s">
        <v>3120</v>
      </c>
      <c r="K32" s="3423" t="s">
        <v>3115</v>
      </c>
      <c r="L32" s="3423" t="s">
        <v>3116</v>
      </c>
      <c r="M32" s="3423" t="s">
        <v>3117</v>
      </c>
      <c r="N32" s="3423">
        <v>3761.57</v>
      </c>
      <c r="O32" s="3423">
        <v>67</v>
      </c>
      <c r="P32" s="3423">
        <v>913.63</v>
      </c>
      <c r="Q32" s="3423">
        <v>0</v>
      </c>
      <c r="R32" s="3423" t="s">
        <v>3096</v>
      </c>
      <c r="T32" s="3424">
        <f t="shared" si="0"/>
        <v>1005</v>
      </c>
    </row>
    <row r="33" spans="1:20" s="3424" customFormat="1">
      <c r="A33" s="3423" t="s">
        <v>3141</v>
      </c>
      <c r="B33" s="3423" t="s">
        <v>3041</v>
      </c>
      <c r="C33" s="3423" t="s">
        <v>3042</v>
      </c>
      <c r="D33" s="3423" t="s">
        <v>3141</v>
      </c>
      <c r="E33" s="3423" t="s">
        <v>3043</v>
      </c>
      <c r="F33" s="3423" t="s">
        <v>3142</v>
      </c>
      <c r="G33" s="3423" t="s">
        <v>3113</v>
      </c>
      <c r="H33" s="3423">
        <v>41954.95</v>
      </c>
      <c r="I33" s="3423">
        <v>88105.4</v>
      </c>
      <c r="J33" s="3423" t="s">
        <v>3114</v>
      </c>
      <c r="K33" s="3423" t="s">
        <v>3115</v>
      </c>
      <c r="L33" s="3423" t="s">
        <v>3116</v>
      </c>
      <c r="M33" s="3423" t="s">
        <v>3117</v>
      </c>
      <c r="N33" s="3423">
        <v>4845.78</v>
      </c>
      <c r="O33" s="3423">
        <v>77</v>
      </c>
      <c r="P33" s="3423">
        <v>550</v>
      </c>
      <c r="Q33" s="3423">
        <v>0</v>
      </c>
      <c r="R33" s="3423" t="s">
        <v>3096</v>
      </c>
      <c r="T33" s="3424">
        <f t="shared" si="0"/>
        <v>1155</v>
      </c>
    </row>
    <row r="34" spans="1:20">
      <c r="A34" s="3206" t="s">
        <v>3143</v>
      </c>
      <c r="B34" s="3206" t="s">
        <v>3041</v>
      </c>
      <c r="C34" s="3206" t="s">
        <v>3042</v>
      </c>
      <c r="D34" s="3206" t="s">
        <v>3143</v>
      </c>
      <c r="E34" s="3206" t="s">
        <v>3043</v>
      </c>
      <c r="F34" s="3206" t="s">
        <v>3144</v>
      </c>
      <c r="G34" s="3206" t="s">
        <v>3086</v>
      </c>
      <c r="H34" s="3206">
        <v>64173.18</v>
      </c>
      <c r="I34" s="3206">
        <v>160433</v>
      </c>
      <c r="J34" s="3206" t="s">
        <v>3145</v>
      </c>
      <c r="K34" s="3206" t="s">
        <v>3146</v>
      </c>
      <c r="L34" s="3206" t="s">
        <v>3147</v>
      </c>
      <c r="M34" s="3206" t="s">
        <v>3148</v>
      </c>
      <c r="N34" s="3206">
        <v>16364.17</v>
      </c>
      <c r="O34" s="3206">
        <v>170</v>
      </c>
      <c r="P34" s="3206">
        <v>1020</v>
      </c>
      <c r="Q34" s="3206">
        <v>33.86</v>
      </c>
      <c r="R34" s="3206" t="s">
        <v>3096</v>
      </c>
      <c r="T34">
        <f t="shared" si="0"/>
        <v>2550</v>
      </c>
    </row>
    <row r="35" spans="1:20">
      <c r="A35" s="3206" t="s">
        <v>3149</v>
      </c>
      <c r="B35" s="3206" t="s">
        <v>3041</v>
      </c>
      <c r="C35" s="3206" t="s">
        <v>3042</v>
      </c>
      <c r="D35" s="3206" t="s">
        <v>3149</v>
      </c>
      <c r="E35" s="3206" t="s">
        <v>3043</v>
      </c>
      <c r="F35" s="3206" t="s">
        <v>3150</v>
      </c>
      <c r="G35" s="3206" t="s">
        <v>3086</v>
      </c>
      <c r="H35" s="3206">
        <v>38538.639999999999</v>
      </c>
      <c r="I35" s="3206">
        <v>96346.6</v>
      </c>
      <c r="J35" s="3206" t="s">
        <v>3145</v>
      </c>
      <c r="K35" s="3206" t="s">
        <v>3151</v>
      </c>
      <c r="L35" s="3206" t="s">
        <v>3152</v>
      </c>
      <c r="M35" s="3206" t="s">
        <v>3153</v>
      </c>
      <c r="N35" s="3206">
        <v>9538.31</v>
      </c>
      <c r="O35" s="3206">
        <v>165</v>
      </c>
      <c r="P35" s="3206">
        <v>990</v>
      </c>
      <c r="Q35" s="3206">
        <v>10</v>
      </c>
      <c r="R35" s="3206" t="s">
        <v>3096</v>
      </c>
      <c r="T35">
        <f t="shared" si="0"/>
        <v>2475</v>
      </c>
    </row>
    <row r="36" spans="1:20">
      <c r="A36" s="3206" t="s">
        <v>3149</v>
      </c>
      <c r="B36" s="3206" t="s">
        <v>3041</v>
      </c>
      <c r="C36" s="3206" t="s">
        <v>3042</v>
      </c>
      <c r="D36" s="3206" t="s">
        <v>3149</v>
      </c>
      <c r="E36" s="3206" t="s">
        <v>3043</v>
      </c>
      <c r="F36" s="3206" t="s">
        <v>3154</v>
      </c>
      <c r="G36" s="3206" t="s">
        <v>3086</v>
      </c>
      <c r="H36" s="3206">
        <v>36433.120000000003</v>
      </c>
      <c r="I36" s="3206">
        <v>91082.8</v>
      </c>
      <c r="J36" s="3206" t="s">
        <v>3145</v>
      </c>
      <c r="K36" s="3206" t="s">
        <v>3151</v>
      </c>
      <c r="L36" s="3206" t="s">
        <v>3152</v>
      </c>
      <c r="M36" s="3206" t="s">
        <v>3153</v>
      </c>
      <c r="N36" s="3206">
        <v>10656.69</v>
      </c>
      <c r="O36" s="3206">
        <v>195</v>
      </c>
      <c r="P36" s="3206">
        <v>1170</v>
      </c>
      <c r="Q36" s="3206">
        <v>30</v>
      </c>
      <c r="R36" s="3206" t="s">
        <v>3096</v>
      </c>
      <c r="T36">
        <f t="shared" si="0"/>
        <v>2925</v>
      </c>
    </row>
    <row r="37" spans="1:20">
      <c r="A37" s="3206" t="s">
        <v>3149</v>
      </c>
      <c r="B37" s="3206" t="s">
        <v>3041</v>
      </c>
      <c r="C37" s="3206" t="s">
        <v>3042</v>
      </c>
      <c r="D37" s="3206" t="s">
        <v>3149</v>
      </c>
      <c r="E37" s="3206" t="s">
        <v>3043</v>
      </c>
      <c r="F37" s="3206" t="s">
        <v>3155</v>
      </c>
      <c r="G37" s="3206" t="s">
        <v>3086</v>
      </c>
      <c r="H37" s="3206">
        <v>30041.42</v>
      </c>
      <c r="I37" s="3206">
        <v>75103.55</v>
      </c>
      <c r="J37" s="3206" t="s">
        <v>3145</v>
      </c>
      <c r="K37" s="3206" t="s">
        <v>3151</v>
      </c>
      <c r="L37" s="3206" t="s">
        <v>3152</v>
      </c>
      <c r="M37" s="3206" t="s">
        <v>3156</v>
      </c>
      <c r="N37" s="3206">
        <v>6984.63</v>
      </c>
      <c r="O37" s="3206">
        <v>155</v>
      </c>
      <c r="P37" s="3206">
        <v>930</v>
      </c>
      <c r="Q37" s="3206">
        <v>3.33</v>
      </c>
      <c r="R37" s="3206" t="s">
        <v>3096</v>
      </c>
      <c r="T37">
        <f t="shared" si="0"/>
        <v>2325</v>
      </c>
    </row>
    <row r="38" spans="1:20">
      <c r="A38" s="3206" t="s">
        <v>3157</v>
      </c>
      <c r="B38" s="3206" t="s">
        <v>3041</v>
      </c>
      <c r="C38" s="3206" t="s">
        <v>3042</v>
      </c>
      <c r="D38" s="3206" t="s">
        <v>3157</v>
      </c>
      <c r="E38" s="3206" t="s">
        <v>3043</v>
      </c>
      <c r="F38" s="3206" t="s">
        <v>3158</v>
      </c>
      <c r="G38" s="3206" t="s">
        <v>3086</v>
      </c>
      <c r="H38" s="3206">
        <v>4421.09</v>
      </c>
      <c r="I38" s="3206">
        <v>6631.64</v>
      </c>
      <c r="J38" s="3206" t="s">
        <v>3159</v>
      </c>
      <c r="K38" s="3206" t="s">
        <v>3160</v>
      </c>
      <c r="L38" s="3206" t="s">
        <v>3161</v>
      </c>
      <c r="M38" s="3206" t="s">
        <v>3162</v>
      </c>
      <c r="N38" s="3206">
        <v>344.83</v>
      </c>
      <c r="O38" s="3206">
        <v>52</v>
      </c>
      <c r="P38" s="3206">
        <v>519.99</v>
      </c>
      <c r="Q38" s="3206">
        <v>0</v>
      </c>
      <c r="R38" s="3206" t="s">
        <v>3096</v>
      </c>
      <c r="T38">
        <f t="shared" si="0"/>
        <v>780</v>
      </c>
    </row>
    <row r="39" spans="1:20">
      <c r="A39" s="3206" t="s">
        <v>3163</v>
      </c>
      <c r="B39" s="3206" t="s">
        <v>3041</v>
      </c>
      <c r="C39" s="3206" t="s">
        <v>3042</v>
      </c>
      <c r="D39" s="3206" t="s">
        <v>3163</v>
      </c>
      <c r="E39" s="3206" t="s">
        <v>3043</v>
      </c>
      <c r="F39" s="3206" t="s">
        <v>3164</v>
      </c>
      <c r="G39" s="3206" t="s">
        <v>3086</v>
      </c>
      <c r="H39" s="3206">
        <v>13717.85</v>
      </c>
      <c r="I39" s="3206">
        <v>24692.13</v>
      </c>
      <c r="J39" s="3206" t="s">
        <v>3165</v>
      </c>
      <c r="K39" s="3206" t="s">
        <v>3160</v>
      </c>
      <c r="L39" s="3206" t="s">
        <v>3161</v>
      </c>
      <c r="M39" s="3206" t="s">
        <v>3162</v>
      </c>
      <c r="N39" s="3206">
        <v>1131.72</v>
      </c>
      <c r="O39" s="3206">
        <v>55</v>
      </c>
      <c r="P39" s="3206">
        <v>458.32</v>
      </c>
      <c r="Q39" s="3206">
        <v>0</v>
      </c>
      <c r="R39" s="3206" t="s">
        <v>3096</v>
      </c>
      <c r="T39">
        <f t="shared" si="0"/>
        <v>825</v>
      </c>
    </row>
    <row r="40" spans="1:20">
      <c r="A40" s="3206" t="s">
        <v>3166</v>
      </c>
      <c r="B40" s="3206" t="s">
        <v>3041</v>
      </c>
      <c r="C40" s="3206" t="s">
        <v>3042</v>
      </c>
      <c r="D40" s="3206" t="s">
        <v>3166</v>
      </c>
      <c r="E40" s="3206" t="s">
        <v>3043</v>
      </c>
      <c r="F40" s="3206" t="s">
        <v>3167</v>
      </c>
      <c r="G40" s="3206" t="s">
        <v>3086</v>
      </c>
      <c r="H40" s="3206">
        <v>2291.63</v>
      </c>
      <c r="I40" s="3206">
        <v>4124.93</v>
      </c>
      <c r="J40" s="3206" t="s">
        <v>3168</v>
      </c>
      <c r="K40" s="3206" t="s">
        <v>3169</v>
      </c>
      <c r="L40" s="3206" t="s">
        <v>3170</v>
      </c>
      <c r="M40" s="3206" t="s">
        <v>3171</v>
      </c>
      <c r="N40" s="3206">
        <v>470.92</v>
      </c>
      <c r="O40" s="3206">
        <v>137</v>
      </c>
      <c r="P40" s="3206">
        <v>1141.6400000000001</v>
      </c>
      <c r="Q40" s="3206">
        <v>0</v>
      </c>
      <c r="R40" s="3206" t="s">
        <v>3096</v>
      </c>
      <c r="T40">
        <f t="shared" si="0"/>
        <v>2055</v>
      </c>
    </row>
    <row r="41" spans="1:20">
      <c r="A41" s="3206" t="s">
        <v>3166</v>
      </c>
      <c r="B41" s="3206" t="s">
        <v>3041</v>
      </c>
      <c r="C41" s="3206" t="s">
        <v>3042</v>
      </c>
      <c r="D41" s="3206" t="s">
        <v>3166</v>
      </c>
      <c r="E41" s="3206" t="s">
        <v>3043</v>
      </c>
      <c r="F41" s="3206" t="s">
        <v>3172</v>
      </c>
      <c r="G41" s="3206" t="s">
        <v>3086</v>
      </c>
      <c r="H41" s="3206">
        <v>10630.78</v>
      </c>
      <c r="I41" s="3206">
        <v>19135.400000000001</v>
      </c>
      <c r="J41" s="3206" t="s">
        <v>3168</v>
      </c>
      <c r="K41" s="3206" t="s">
        <v>3169</v>
      </c>
      <c r="L41" s="3206" t="s">
        <v>3170</v>
      </c>
      <c r="M41" s="3206" t="s">
        <v>3171</v>
      </c>
      <c r="N41" s="3206">
        <v>2184.63</v>
      </c>
      <c r="O41" s="3206">
        <v>137</v>
      </c>
      <c r="P41" s="3206">
        <v>1141.67</v>
      </c>
      <c r="Q41" s="3206">
        <v>0</v>
      </c>
      <c r="R41" s="3206" t="s">
        <v>3096</v>
      </c>
      <c r="T41">
        <f t="shared" si="0"/>
        <v>2055</v>
      </c>
    </row>
    <row r="42" spans="1:20" s="3424" customFormat="1">
      <c r="A42" s="3423" t="s">
        <v>3173</v>
      </c>
      <c r="B42" s="3423" t="s">
        <v>3041</v>
      </c>
      <c r="C42" s="3423" t="s">
        <v>3042</v>
      </c>
      <c r="D42" s="3423" t="s">
        <v>3173</v>
      </c>
      <c r="E42" s="3423" t="s">
        <v>3043</v>
      </c>
      <c r="F42" s="3423" t="s">
        <v>3174</v>
      </c>
      <c r="G42" s="3423" t="s">
        <v>3086</v>
      </c>
      <c r="H42" s="3423">
        <v>51769.07</v>
      </c>
      <c r="I42" s="3423">
        <v>129422.7</v>
      </c>
      <c r="J42" s="3423" t="s">
        <v>3175</v>
      </c>
      <c r="K42" s="3423" t="s">
        <v>3176</v>
      </c>
      <c r="L42" s="3423" t="s">
        <v>3177</v>
      </c>
      <c r="M42" s="3423" t="s">
        <v>3117</v>
      </c>
      <c r="N42" s="3423">
        <v>5979.32</v>
      </c>
      <c r="O42" s="3423">
        <v>77</v>
      </c>
      <c r="P42" s="3423">
        <v>462</v>
      </c>
      <c r="Q42" s="3423">
        <v>0</v>
      </c>
      <c r="R42" s="3423" t="s">
        <v>3178</v>
      </c>
      <c r="T42" s="3424">
        <f t="shared" si="0"/>
        <v>1155</v>
      </c>
    </row>
    <row r="43" spans="1:20" s="3424" customFormat="1">
      <c r="A43" s="3423" t="s">
        <v>3179</v>
      </c>
      <c r="B43" s="3423" t="s">
        <v>3041</v>
      </c>
      <c r="C43" s="3423" t="s">
        <v>3042</v>
      </c>
      <c r="D43" s="3423" t="s">
        <v>3179</v>
      </c>
      <c r="E43" s="3423" t="s">
        <v>3043</v>
      </c>
      <c r="F43" s="3423" t="s">
        <v>3180</v>
      </c>
      <c r="G43" s="3423" t="s">
        <v>3086</v>
      </c>
      <c r="H43" s="3423">
        <v>52305.52</v>
      </c>
      <c r="I43" s="3423">
        <v>130763.8</v>
      </c>
      <c r="J43" s="3423" t="s">
        <v>3175</v>
      </c>
      <c r="K43" s="3423" t="s">
        <v>3176</v>
      </c>
      <c r="L43" s="3423" t="s">
        <v>3177</v>
      </c>
      <c r="M43" s="3423" t="s">
        <v>3117</v>
      </c>
      <c r="N43" s="3423">
        <v>6041.28</v>
      </c>
      <c r="O43" s="3423">
        <v>77</v>
      </c>
      <c r="P43" s="3423">
        <v>462</v>
      </c>
      <c r="Q43" s="3423">
        <v>0</v>
      </c>
      <c r="R43" s="3423" t="s">
        <v>3178</v>
      </c>
      <c r="T43" s="3424">
        <f t="shared" si="0"/>
        <v>1155</v>
      </c>
    </row>
    <row r="44" spans="1:20" s="3424" customFormat="1">
      <c r="A44" s="3423" t="s">
        <v>3181</v>
      </c>
      <c r="B44" s="3423" t="s">
        <v>3041</v>
      </c>
      <c r="C44" s="3423" t="s">
        <v>3042</v>
      </c>
      <c r="D44" s="3423" t="s">
        <v>3181</v>
      </c>
      <c r="E44" s="3423" t="s">
        <v>3043</v>
      </c>
      <c r="F44" s="3423" t="s">
        <v>3182</v>
      </c>
      <c r="G44" s="3423" t="s">
        <v>3086</v>
      </c>
      <c r="H44" s="3423">
        <v>48729.54</v>
      </c>
      <c r="I44" s="3423">
        <v>121823.9</v>
      </c>
      <c r="J44" s="3423" t="s">
        <v>3175</v>
      </c>
      <c r="K44" s="3423" t="s">
        <v>3176</v>
      </c>
      <c r="L44" s="3423" t="s">
        <v>3177</v>
      </c>
      <c r="M44" s="3423" t="s">
        <v>3117</v>
      </c>
      <c r="N44" s="3423">
        <v>5628.26</v>
      </c>
      <c r="O44" s="3423">
        <v>77</v>
      </c>
      <c r="P44" s="3423">
        <v>462</v>
      </c>
      <c r="Q44" s="3423">
        <v>0</v>
      </c>
      <c r="R44" s="3423" t="s">
        <v>3178</v>
      </c>
      <c r="T44" s="3424">
        <f t="shared" si="0"/>
        <v>1155</v>
      </c>
    </row>
    <row r="45" spans="1:20" s="3424" customFormat="1">
      <c r="A45" s="3423" t="s">
        <v>3183</v>
      </c>
      <c r="B45" s="3423" t="s">
        <v>3041</v>
      </c>
      <c r="C45" s="3423" t="s">
        <v>3042</v>
      </c>
      <c r="D45" s="3423" t="s">
        <v>3183</v>
      </c>
      <c r="E45" s="3423" t="s">
        <v>3043</v>
      </c>
      <c r="F45" s="3423" t="s">
        <v>3184</v>
      </c>
      <c r="G45" s="3423" t="s">
        <v>3086</v>
      </c>
      <c r="H45" s="3423">
        <v>39987.1</v>
      </c>
      <c r="I45" s="3423">
        <v>99967.75</v>
      </c>
      <c r="J45" s="3423" t="s">
        <v>3175</v>
      </c>
      <c r="K45" s="3423" t="s">
        <v>3176</v>
      </c>
      <c r="L45" s="3423" t="s">
        <v>3177</v>
      </c>
      <c r="M45" s="3423" t="s">
        <v>3117</v>
      </c>
      <c r="N45" s="3423">
        <v>4618.51</v>
      </c>
      <c r="O45" s="3423">
        <v>77</v>
      </c>
      <c r="P45" s="3423">
        <v>462</v>
      </c>
      <c r="Q45" s="3423">
        <v>0</v>
      </c>
      <c r="R45" s="3423" t="s">
        <v>3178</v>
      </c>
      <c r="T45" s="3424">
        <f t="shared" si="0"/>
        <v>1155</v>
      </c>
    </row>
    <row r="46" spans="1:20" s="3424" customFormat="1">
      <c r="A46" s="3423" t="s">
        <v>3185</v>
      </c>
      <c r="B46" s="3423" t="s">
        <v>3041</v>
      </c>
      <c r="C46" s="3423" t="s">
        <v>3042</v>
      </c>
      <c r="D46" s="3423" t="s">
        <v>3185</v>
      </c>
      <c r="E46" s="3423" t="s">
        <v>3043</v>
      </c>
      <c r="F46" s="3423" t="s">
        <v>3186</v>
      </c>
      <c r="G46" s="3423" t="s">
        <v>3086</v>
      </c>
      <c r="H46" s="3423">
        <v>52247.55</v>
      </c>
      <c r="I46" s="3423">
        <v>130618.9</v>
      </c>
      <c r="J46" s="3423" t="s">
        <v>3175</v>
      </c>
      <c r="K46" s="3423" t="s">
        <v>3176</v>
      </c>
      <c r="L46" s="3423" t="s">
        <v>3177</v>
      </c>
      <c r="M46" s="3423" t="s">
        <v>3117</v>
      </c>
      <c r="N46" s="3423">
        <v>6034.59</v>
      </c>
      <c r="O46" s="3423">
        <v>77</v>
      </c>
      <c r="P46" s="3423">
        <v>462</v>
      </c>
      <c r="Q46" s="3423">
        <v>0</v>
      </c>
      <c r="R46" s="3423" t="s">
        <v>3178</v>
      </c>
      <c r="T46" s="3424">
        <f t="shared" si="0"/>
        <v>1155</v>
      </c>
    </row>
    <row r="47" spans="1:20" s="3424" customFormat="1">
      <c r="A47" s="3423" t="s">
        <v>3187</v>
      </c>
      <c r="B47" s="3423" t="s">
        <v>3041</v>
      </c>
      <c r="C47" s="3423" t="s">
        <v>3042</v>
      </c>
      <c r="D47" s="3423" t="s">
        <v>3187</v>
      </c>
      <c r="E47" s="3423" t="s">
        <v>3043</v>
      </c>
      <c r="F47" s="3423" t="s">
        <v>3188</v>
      </c>
      <c r="G47" s="3423" t="s">
        <v>3086</v>
      </c>
      <c r="H47" s="3423">
        <v>54800.39</v>
      </c>
      <c r="I47" s="3423">
        <v>137001</v>
      </c>
      <c r="J47" s="3423" t="s">
        <v>3175</v>
      </c>
      <c r="K47" s="3423" t="s">
        <v>3176</v>
      </c>
      <c r="L47" s="3423" t="s">
        <v>3177</v>
      </c>
      <c r="M47" s="3423" t="s">
        <v>3117</v>
      </c>
      <c r="N47" s="3423">
        <v>6329.44</v>
      </c>
      <c r="O47" s="3423">
        <v>77</v>
      </c>
      <c r="P47" s="3423">
        <v>462</v>
      </c>
      <c r="Q47" s="3423">
        <v>0</v>
      </c>
      <c r="R47" s="3423" t="s">
        <v>3178</v>
      </c>
      <c r="T47" s="3424">
        <f t="shared" si="0"/>
        <v>1155</v>
      </c>
    </row>
    <row r="48" spans="1:20" s="3424" customFormat="1">
      <c r="A48" s="3423" t="s">
        <v>3189</v>
      </c>
      <c r="B48" s="3423" t="s">
        <v>3041</v>
      </c>
      <c r="C48" s="3423" t="s">
        <v>3042</v>
      </c>
      <c r="D48" s="3423" t="s">
        <v>3189</v>
      </c>
      <c r="E48" s="3423" t="s">
        <v>3043</v>
      </c>
      <c r="F48" s="3423" t="s">
        <v>3190</v>
      </c>
      <c r="G48" s="3423" t="s">
        <v>3086</v>
      </c>
      <c r="H48" s="3423">
        <v>24769.79</v>
      </c>
      <c r="I48" s="3423">
        <v>61924.480000000003</v>
      </c>
      <c r="J48" s="3423" t="s">
        <v>3175</v>
      </c>
      <c r="K48" s="3423" t="s">
        <v>3176</v>
      </c>
      <c r="L48" s="3423" t="s">
        <v>3177</v>
      </c>
      <c r="M48" s="3423" t="s">
        <v>3117</v>
      </c>
      <c r="N48" s="3423">
        <v>2860.9</v>
      </c>
      <c r="O48" s="3423">
        <v>77</v>
      </c>
      <c r="P48" s="3423">
        <v>462</v>
      </c>
      <c r="Q48" s="3423">
        <v>0</v>
      </c>
      <c r="R48" s="3423" t="s">
        <v>3178</v>
      </c>
      <c r="T48" s="3424">
        <f t="shared" si="0"/>
        <v>1155</v>
      </c>
    </row>
    <row r="49" spans="1:20" s="3424" customFormat="1">
      <c r="A49" s="3423" t="s">
        <v>3191</v>
      </c>
      <c r="B49" s="3423" t="s">
        <v>3041</v>
      </c>
      <c r="C49" s="3423" t="s">
        <v>3042</v>
      </c>
      <c r="D49" s="3423" t="s">
        <v>3191</v>
      </c>
      <c r="E49" s="3423" t="s">
        <v>3043</v>
      </c>
      <c r="F49" s="3423" t="s">
        <v>3192</v>
      </c>
      <c r="G49" s="3423" t="s">
        <v>3086</v>
      </c>
      <c r="H49" s="3423">
        <v>41905.19</v>
      </c>
      <c r="I49" s="3423">
        <v>104763</v>
      </c>
      <c r="J49" s="3423" t="s">
        <v>3175</v>
      </c>
      <c r="K49" s="3423" t="s">
        <v>3176</v>
      </c>
      <c r="L49" s="3423" t="s">
        <v>3177</v>
      </c>
      <c r="M49" s="3423" t="s">
        <v>3117</v>
      </c>
      <c r="N49" s="3423">
        <v>4840.05</v>
      </c>
      <c r="O49" s="3423">
        <v>77</v>
      </c>
      <c r="P49" s="3423">
        <v>462</v>
      </c>
      <c r="Q49" s="3423">
        <v>0</v>
      </c>
      <c r="R49" s="3423" t="s">
        <v>3178</v>
      </c>
      <c r="T49" s="3424">
        <f t="shared" si="0"/>
        <v>1155</v>
      </c>
    </row>
    <row r="50" spans="1:20" s="3424" customFormat="1">
      <c r="A50" s="3423" t="s">
        <v>3193</v>
      </c>
      <c r="B50" s="3423" t="s">
        <v>3041</v>
      </c>
      <c r="C50" s="3423" t="s">
        <v>3042</v>
      </c>
      <c r="D50" s="3423" t="s">
        <v>3193</v>
      </c>
      <c r="E50" s="3423" t="s">
        <v>3043</v>
      </c>
      <c r="F50" s="3423" t="s">
        <v>3194</v>
      </c>
      <c r="G50" s="3423" t="s">
        <v>3086</v>
      </c>
      <c r="H50" s="3423">
        <v>44002.81</v>
      </c>
      <c r="I50" s="3423">
        <v>132008.4</v>
      </c>
      <c r="J50" s="3423" t="s">
        <v>3195</v>
      </c>
      <c r="K50" s="3423" t="s">
        <v>3176</v>
      </c>
      <c r="L50" s="3423" t="s">
        <v>3177</v>
      </c>
      <c r="M50" s="3423" t="s">
        <v>3117</v>
      </c>
      <c r="N50" s="3423">
        <v>5082.3100000000004</v>
      </c>
      <c r="O50" s="3423">
        <v>77</v>
      </c>
      <c r="P50" s="3423">
        <v>385</v>
      </c>
      <c r="Q50" s="3423">
        <v>0</v>
      </c>
      <c r="R50" s="3423" t="s">
        <v>3178</v>
      </c>
      <c r="T50" s="3424">
        <f t="shared" si="0"/>
        <v>1155</v>
      </c>
    </row>
    <row r="51" spans="1:20" s="3424" customFormat="1">
      <c r="A51" s="3423" t="s">
        <v>3196</v>
      </c>
      <c r="B51" s="3423" t="s">
        <v>3041</v>
      </c>
      <c r="C51" s="3423" t="s">
        <v>3042</v>
      </c>
      <c r="D51" s="3423" t="s">
        <v>3196</v>
      </c>
      <c r="E51" s="3423" t="s">
        <v>3043</v>
      </c>
      <c r="F51" s="3423" t="s">
        <v>3197</v>
      </c>
      <c r="G51" s="3423" t="s">
        <v>3086</v>
      </c>
      <c r="H51" s="3423">
        <v>36715.79</v>
      </c>
      <c r="I51" s="3423">
        <v>91789.48</v>
      </c>
      <c r="J51" s="3423" t="s">
        <v>3175</v>
      </c>
      <c r="K51" s="3423" t="s">
        <v>3176</v>
      </c>
      <c r="L51" s="3423" t="s">
        <v>3177</v>
      </c>
      <c r="M51" s="3423" t="s">
        <v>3117</v>
      </c>
      <c r="N51" s="3423">
        <v>4240.67</v>
      </c>
      <c r="O51" s="3423">
        <v>77</v>
      </c>
      <c r="P51" s="3423">
        <v>462</v>
      </c>
      <c r="Q51" s="3423">
        <v>0</v>
      </c>
      <c r="R51" s="3423" t="s">
        <v>3178</v>
      </c>
      <c r="T51" s="3424">
        <f t="shared" si="0"/>
        <v>1155</v>
      </c>
    </row>
    <row r="52" spans="1:20" s="3424" customFormat="1">
      <c r="A52" s="3423" t="s">
        <v>3198</v>
      </c>
      <c r="B52" s="3423" t="s">
        <v>3041</v>
      </c>
      <c r="C52" s="3423" t="s">
        <v>3042</v>
      </c>
      <c r="D52" s="3423" t="s">
        <v>3198</v>
      </c>
      <c r="E52" s="3423" t="s">
        <v>3043</v>
      </c>
      <c r="F52" s="3423" t="s">
        <v>3199</v>
      </c>
      <c r="G52" s="3423" t="s">
        <v>3086</v>
      </c>
      <c r="H52" s="3423">
        <v>56666.14</v>
      </c>
      <c r="I52" s="3423">
        <v>141665.29999999999</v>
      </c>
      <c r="J52" s="3423" t="s">
        <v>3175</v>
      </c>
      <c r="K52" s="3423" t="s">
        <v>3176</v>
      </c>
      <c r="L52" s="3423" t="s">
        <v>3177</v>
      </c>
      <c r="M52" s="3423" t="s">
        <v>3117</v>
      </c>
      <c r="N52" s="3423">
        <v>6544.93</v>
      </c>
      <c r="O52" s="3423">
        <v>77</v>
      </c>
      <c r="P52" s="3423">
        <v>462</v>
      </c>
      <c r="Q52" s="3423">
        <v>0</v>
      </c>
      <c r="R52" s="3423" t="s">
        <v>3178</v>
      </c>
      <c r="T52" s="3424">
        <f t="shared" si="0"/>
        <v>1155</v>
      </c>
    </row>
    <row r="53" spans="1:20" s="3424" customFormat="1">
      <c r="A53" s="3423" t="s">
        <v>3185</v>
      </c>
      <c r="B53" s="3423" t="s">
        <v>3041</v>
      </c>
      <c r="C53" s="3423" t="s">
        <v>3042</v>
      </c>
      <c r="D53" s="3423" t="s">
        <v>3185</v>
      </c>
      <c r="E53" s="3423" t="s">
        <v>3043</v>
      </c>
      <c r="F53" s="3423" t="s">
        <v>3200</v>
      </c>
      <c r="G53" s="3423" t="s">
        <v>3086</v>
      </c>
      <c r="H53" s="3423">
        <v>46731.26</v>
      </c>
      <c r="I53" s="3423">
        <v>116828.1</v>
      </c>
      <c r="J53" s="3423" t="s">
        <v>3175</v>
      </c>
      <c r="K53" s="3423" t="s">
        <v>3176</v>
      </c>
      <c r="L53" s="3423" t="s">
        <v>3177</v>
      </c>
      <c r="M53" s="3423" t="s">
        <v>3117</v>
      </c>
      <c r="N53" s="3423">
        <v>5397.46</v>
      </c>
      <c r="O53" s="3423">
        <v>77</v>
      </c>
      <c r="P53" s="3423">
        <v>462</v>
      </c>
      <c r="Q53" s="3423">
        <v>0</v>
      </c>
      <c r="R53" s="3423" t="s">
        <v>3178</v>
      </c>
      <c r="T53" s="3424">
        <f t="shared" si="0"/>
        <v>1155</v>
      </c>
    </row>
    <row r="54" spans="1:20" s="3424" customFormat="1">
      <c r="A54" s="3423" t="s">
        <v>3201</v>
      </c>
      <c r="B54" s="3423" t="s">
        <v>3041</v>
      </c>
      <c r="C54" s="3423" t="s">
        <v>3042</v>
      </c>
      <c r="D54" s="3423" t="s">
        <v>3201</v>
      </c>
      <c r="E54" s="3423" t="s">
        <v>3043</v>
      </c>
      <c r="F54" s="3423" t="s">
        <v>3202</v>
      </c>
      <c r="G54" s="3423" t="s">
        <v>3086</v>
      </c>
      <c r="H54" s="3423">
        <v>44919.55</v>
      </c>
      <c r="I54" s="3423">
        <v>112298.9</v>
      </c>
      <c r="J54" s="3423" t="s">
        <v>3175</v>
      </c>
      <c r="K54" s="3423" t="s">
        <v>3176</v>
      </c>
      <c r="L54" s="3423" t="s">
        <v>3177</v>
      </c>
      <c r="M54" s="3423" t="s">
        <v>3117</v>
      </c>
      <c r="N54" s="3423">
        <v>5188.21</v>
      </c>
      <c r="O54" s="3423">
        <v>77</v>
      </c>
      <c r="P54" s="3423">
        <v>462</v>
      </c>
      <c r="Q54" s="3423">
        <v>0</v>
      </c>
      <c r="R54" s="3423" t="s">
        <v>3178</v>
      </c>
      <c r="T54" s="3424">
        <f t="shared" si="0"/>
        <v>1155</v>
      </c>
    </row>
    <row r="55" spans="1:20" s="3424" customFormat="1">
      <c r="A55" s="3423" t="s">
        <v>3203</v>
      </c>
      <c r="B55" s="3423" t="s">
        <v>3041</v>
      </c>
      <c r="C55" s="3423" t="s">
        <v>3042</v>
      </c>
      <c r="D55" s="3423" t="s">
        <v>3203</v>
      </c>
      <c r="E55" s="3423" t="s">
        <v>3043</v>
      </c>
      <c r="F55" s="3423" t="s">
        <v>3204</v>
      </c>
      <c r="G55" s="3423" t="s">
        <v>3086</v>
      </c>
      <c r="H55" s="3423">
        <v>42300.54</v>
      </c>
      <c r="I55" s="3423">
        <v>105751.4</v>
      </c>
      <c r="J55" s="3423" t="s">
        <v>3175</v>
      </c>
      <c r="K55" s="3423" t="s">
        <v>3176</v>
      </c>
      <c r="L55" s="3423" t="s">
        <v>3177</v>
      </c>
      <c r="M55" s="3423" t="s">
        <v>3117</v>
      </c>
      <c r="N55" s="3423">
        <v>4885.71</v>
      </c>
      <c r="O55" s="3423">
        <v>77</v>
      </c>
      <c r="P55" s="3423">
        <v>462</v>
      </c>
      <c r="Q55" s="3423">
        <v>0</v>
      </c>
      <c r="R55" s="3423" t="s">
        <v>3178</v>
      </c>
      <c r="T55" s="3424">
        <f t="shared" si="0"/>
        <v>1155</v>
      </c>
    </row>
    <row r="56" spans="1:20" s="3424" customFormat="1">
      <c r="A56" s="3423" t="s">
        <v>3205</v>
      </c>
      <c r="B56" s="3423" t="s">
        <v>3041</v>
      </c>
      <c r="C56" s="3423" t="s">
        <v>3042</v>
      </c>
      <c r="D56" s="3423" t="s">
        <v>3205</v>
      </c>
      <c r="E56" s="3423" t="s">
        <v>3043</v>
      </c>
      <c r="F56" s="3423" t="s">
        <v>3206</v>
      </c>
      <c r="G56" s="3423" t="s">
        <v>3086</v>
      </c>
      <c r="H56" s="3423">
        <v>38643.31</v>
      </c>
      <c r="I56" s="3423">
        <v>88879.61</v>
      </c>
      <c r="J56" s="3423" t="s">
        <v>3207</v>
      </c>
      <c r="K56" s="3423" t="s">
        <v>3208</v>
      </c>
      <c r="L56" s="3423" t="s">
        <v>3209</v>
      </c>
      <c r="M56" s="3423" t="s">
        <v>3117</v>
      </c>
      <c r="N56" s="3423">
        <v>3883.65</v>
      </c>
      <c r="O56" s="3423">
        <v>67</v>
      </c>
      <c r="P56" s="3423">
        <v>436.95</v>
      </c>
      <c r="Q56" s="3423">
        <v>0</v>
      </c>
      <c r="R56" s="3423" t="s">
        <v>3178</v>
      </c>
      <c r="T56" s="3424">
        <f t="shared" si="0"/>
        <v>1005</v>
      </c>
    </row>
    <row r="57" spans="1:20" s="3424" customFormat="1">
      <c r="A57" s="3423" t="s">
        <v>3210</v>
      </c>
      <c r="B57" s="3423" t="s">
        <v>3041</v>
      </c>
      <c r="C57" s="3423" t="s">
        <v>3042</v>
      </c>
      <c r="D57" s="3423" t="s">
        <v>3210</v>
      </c>
      <c r="E57" s="3423" t="s">
        <v>3043</v>
      </c>
      <c r="F57" s="3423" t="s">
        <v>3211</v>
      </c>
      <c r="G57" s="3423" t="s">
        <v>3086</v>
      </c>
      <c r="H57" s="3423">
        <v>64480.74</v>
      </c>
      <c r="I57" s="3423">
        <v>116065.3</v>
      </c>
      <c r="J57" s="3423" t="s">
        <v>3212</v>
      </c>
      <c r="K57" s="3423" t="s">
        <v>3208</v>
      </c>
      <c r="L57" s="3423" t="s">
        <v>3209</v>
      </c>
      <c r="M57" s="3423" t="s">
        <v>3117</v>
      </c>
      <c r="N57" s="3423">
        <v>6480.31</v>
      </c>
      <c r="O57" s="3423">
        <v>67</v>
      </c>
      <c r="P57" s="3423">
        <v>558.33000000000004</v>
      </c>
      <c r="Q57" s="3423">
        <v>0</v>
      </c>
      <c r="R57" s="3423" t="s">
        <v>3178</v>
      </c>
      <c r="T57" s="3424">
        <f t="shared" si="0"/>
        <v>1005</v>
      </c>
    </row>
    <row r="58" spans="1:20" s="3424" customFormat="1">
      <c r="A58" s="3423" t="s">
        <v>3213</v>
      </c>
      <c r="B58" s="3423" t="s">
        <v>3041</v>
      </c>
      <c r="C58" s="3423" t="s">
        <v>3042</v>
      </c>
      <c r="D58" s="3423" t="s">
        <v>3213</v>
      </c>
      <c r="E58" s="3423" t="s">
        <v>3043</v>
      </c>
      <c r="F58" s="3423" t="s">
        <v>3214</v>
      </c>
      <c r="G58" s="3423" t="s">
        <v>3086</v>
      </c>
      <c r="H58" s="3423">
        <v>35971.949999999997</v>
      </c>
      <c r="I58" s="3423">
        <v>82735.48</v>
      </c>
      <c r="J58" s="3423" t="s">
        <v>3207</v>
      </c>
      <c r="K58" s="3423" t="s">
        <v>3208</v>
      </c>
      <c r="L58" s="3423" t="s">
        <v>3209</v>
      </c>
      <c r="M58" s="3423" t="s">
        <v>3117</v>
      </c>
      <c r="N58" s="3423">
        <v>3615.17</v>
      </c>
      <c r="O58" s="3423">
        <v>67</v>
      </c>
      <c r="P58" s="3423">
        <v>436.95</v>
      </c>
      <c r="Q58" s="3423">
        <v>0</v>
      </c>
      <c r="R58" s="3423" t="s">
        <v>3178</v>
      </c>
      <c r="T58" s="3424">
        <f t="shared" si="0"/>
        <v>1005</v>
      </c>
    </row>
    <row r="59" spans="1:20" s="3424" customFormat="1">
      <c r="A59" s="3423" t="s">
        <v>3215</v>
      </c>
      <c r="B59" s="3423" t="s">
        <v>3041</v>
      </c>
      <c r="C59" s="3423" t="s">
        <v>3042</v>
      </c>
      <c r="D59" s="3423" t="s">
        <v>3215</v>
      </c>
      <c r="E59" s="3423" t="s">
        <v>3043</v>
      </c>
      <c r="F59" s="3423" t="s">
        <v>3216</v>
      </c>
      <c r="G59" s="3423" t="s">
        <v>3086</v>
      </c>
      <c r="H59" s="3423">
        <v>62762.13</v>
      </c>
      <c r="I59" s="3423">
        <v>144352.9</v>
      </c>
      <c r="J59" s="3423" t="s">
        <v>3207</v>
      </c>
      <c r="K59" s="3423" t="s">
        <v>3208</v>
      </c>
      <c r="L59" s="3423" t="s">
        <v>3209</v>
      </c>
      <c r="M59" s="3423" t="s">
        <v>3117</v>
      </c>
      <c r="N59" s="3423">
        <v>6307.59</v>
      </c>
      <c r="O59" s="3423">
        <v>67</v>
      </c>
      <c r="P59" s="3423">
        <v>436.95</v>
      </c>
      <c r="Q59" s="3423">
        <v>0</v>
      </c>
      <c r="R59" s="3423" t="s">
        <v>3178</v>
      </c>
      <c r="T59" s="3424">
        <f t="shared" si="0"/>
        <v>1005</v>
      </c>
    </row>
    <row r="60" spans="1:20" s="3424" customFormat="1">
      <c r="A60" s="3423" t="s">
        <v>3217</v>
      </c>
      <c r="B60" s="3423" t="s">
        <v>3041</v>
      </c>
      <c r="C60" s="3423" t="s">
        <v>3042</v>
      </c>
      <c r="D60" s="3423" t="s">
        <v>3217</v>
      </c>
      <c r="E60" s="3423" t="s">
        <v>3043</v>
      </c>
      <c r="F60" s="3423" t="s">
        <v>3218</v>
      </c>
      <c r="G60" s="3423" t="s">
        <v>3086</v>
      </c>
      <c r="H60" s="3423">
        <v>38972.99</v>
      </c>
      <c r="I60" s="3423">
        <v>89637.88</v>
      </c>
      <c r="J60" s="3423" t="s">
        <v>3207</v>
      </c>
      <c r="K60" s="3423" t="s">
        <v>3208</v>
      </c>
      <c r="L60" s="3423" t="s">
        <v>3209</v>
      </c>
      <c r="M60" s="3423" t="s">
        <v>3117</v>
      </c>
      <c r="N60" s="3423">
        <v>3916.78</v>
      </c>
      <c r="O60" s="3423">
        <v>67</v>
      </c>
      <c r="P60" s="3423">
        <v>436.95</v>
      </c>
      <c r="Q60" s="3423">
        <v>0</v>
      </c>
      <c r="R60" s="3423" t="s">
        <v>3178</v>
      </c>
      <c r="T60" s="3424">
        <f t="shared" si="0"/>
        <v>1005</v>
      </c>
    </row>
    <row r="61" spans="1:20" s="3424" customFormat="1">
      <c r="A61" s="3423" t="s">
        <v>3141</v>
      </c>
      <c r="B61" s="3423" t="s">
        <v>3041</v>
      </c>
      <c r="C61" s="3423" t="s">
        <v>3042</v>
      </c>
      <c r="D61" s="3423" t="s">
        <v>3141</v>
      </c>
      <c r="E61" s="3423" t="s">
        <v>3043</v>
      </c>
      <c r="F61" s="3423" t="s">
        <v>3219</v>
      </c>
      <c r="G61" s="3423" t="s">
        <v>3086</v>
      </c>
      <c r="H61" s="3423">
        <v>38696</v>
      </c>
      <c r="I61" s="3423">
        <v>81261.600000000006</v>
      </c>
      <c r="J61" s="3423" t="s">
        <v>3220</v>
      </c>
      <c r="K61" s="3423" t="s">
        <v>3221</v>
      </c>
      <c r="L61" s="3423" t="s">
        <v>3222</v>
      </c>
      <c r="M61" s="3423" t="s">
        <v>3117</v>
      </c>
      <c r="N61" s="3423">
        <v>4469.3900000000003</v>
      </c>
      <c r="O61" s="3423">
        <v>77</v>
      </c>
      <c r="P61" s="3423">
        <v>550</v>
      </c>
      <c r="Q61" s="3423">
        <v>0</v>
      </c>
      <c r="R61" s="3423" t="s">
        <v>3096</v>
      </c>
      <c r="T61" s="3424">
        <f t="shared" si="0"/>
        <v>1155</v>
      </c>
    </row>
    <row r="62" spans="1:20" s="3424" customFormat="1">
      <c r="A62" s="3423" t="s">
        <v>3223</v>
      </c>
      <c r="B62" s="3423" t="s">
        <v>3041</v>
      </c>
      <c r="C62" s="3423" t="s">
        <v>3042</v>
      </c>
      <c r="D62" s="3423" t="s">
        <v>3223</v>
      </c>
      <c r="E62" s="3423" t="s">
        <v>3043</v>
      </c>
      <c r="F62" s="3423" t="s">
        <v>3224</v>
      </c>
      <c r="G62" s="3423" t="s">
        <v>3086</v>
      </c>
      <c r="H62" s="3423">
        <v>61058.36</v>
      </c>
      <c r="I62" s="3423">
        <v>134328.4</v>
      </c>
      <c r="J62" s="3423" t="s">
        <v>3225</v>
      </c>
      <c r="K62" s="3423" t="s">
        <v>3221</v>
      </c>
      <c r="L62" s="3423" t="s">
        <v>3222</v>
      </c>
      <c r="M62" s="3423" t="s">
        <v>3117</v>
      </c>
      <c r="N62" s="3423">
        <v>7052.23</v>
      </c>
      <c r="O62" s="3423">
        <v>77</v>
      </c>
      <c r="P62" s="3423">
        <v>525</v>
      </c>
      <c r="Q62" s="3423">
        <v>0</v>
      </c>
      <c r="R62" s="3423" t="s">
        <v>3096</v>
      </c>
      <c r="T62" s="3424">
        <f t="shared" si="0"/>
        <v>1155</v>
      </c>
    </row>
    <row r="63" spans="1:20" s="3424" customFormat="1">
      <c r="A63" s="3423" t="s">
        <v>3223</v>
      </c>
      <c r="B63" s="3423" t="s">
        <v>3041</v>
      </c>
      <c r="C63" s="3423" t="s">
        <v>3042</v>
      </c>
      <c r="D63" s="3423" t="s">
        <v>3223</v>
      </c>
      <c r="E63" s="3423" t="s">
        <v>3043</v>
      </c>
      <c r="F63" s="3423" t="s">
        <v>3226</v>
      </c>
      <c r="G63" s="3423" t="s">
        <v>3086</v>
      </c>
      <c r="H63" s="3423">
        <v>47755.4</v>
      </c>
      <c r="I63" s="3423">
        <v>114613</v>
      </c>
      <c r="J63" s="3423" t="s">
        <v>3227</v>
      </c>
      <c r="K63" s="3423" t="s">
        <v>3221</v>
      </c>
      <c r="L63" s="3423" t="s">
        <v>3222</v>
      </c>
      <c r="M63" s="3423" t="s">
        <v>3117</v>
      </c>
      <c r="N63" s="3423">
        <v>5515.75</v>
      </c>
      <c r="O63" s="3423">
        <v>77</v>
      </c>
      <c r="P63" s="3423">
        <v>481.25</v>
      </c>
      <c r="Q63" s="3423">
        <v>0</v>
      </c>
      <c r="R63" s="3423" t="s">
        <v>3096</v>
      </c>
      <c r="T63" s="3424">
        <f t="shared" si="0"/>
        <v>1155</v>
      </c>
    </row>
    <row r="64" spans="1:20" s="3424" customFormat="1">
      <c r="A64" s="3423" t="s">
        <v>3228</v>
      </c>
      <c r="B64" s="3423" t="s">
        <v>3041</v>
      </c>
      <c r="C64" s="3423" t="s">
        <v>3042</v>
      </c>
      <c r="D64" s="3423" t="s">
        <v>3228</v>
      </c>
      <c r="E64" s="3423" t="s">
        <v>3043</v>
      </c>
      <c r="F64" s="3423" t="s">
        <v>3229</v>
      </c>
      <c r="G64" s="3423" t="s">
        <v>3086</v>
      </c>
      <c r="H64" s="3423">
        <v>54395.38</v>
      </c>
      <c r="I64" s="3423">
        <v>130548.9</v>
      </c>
      <c r="J64" s="3423" t="s">
        <v>3227</v>
      </c>
      <c r="K64" s="3423" t="s">
        <v>3221</v>
      </c>
      <c r="L64" s="3423" t="s">
        <v>3222</v>
      </c>
      <c r="M64" s="3423" t="s">
        <v>3117</v>
      </c>
      <c r="N64" s="3423">
        <v>6282.67</v>
      </c>
      <c r="O64" s="3423">
        <v>77</v>
      </c>
      <c r="P64" s="3423">
        <v>481.25</v>
      </c>
      <c r="Q64" s="3423">
        <v>0</v>
      </c>
      <c r="R64" s="3423" t="s">
        <v>3096</v>
      </c>
      <c r="T64" s="3424">
        <f t="shared" si="0"/>
        <v>1155</v>
      </c>
    </row>
    <row r="65" spans="1:20" s="3424" customFormat="1">
      <c r="A65" s="3423" t="s">
        <v>3230</v>
      </c>
      <c r="B65" s="3423" t="s">
        <v>3041</v>
      </c>
      <c r="C65" s="3423" t="s">
        <v>3042</v>
      </c>
      <c r="D65" s="3423" t="s">
        <v>3230</v>
      </c>
      <c r="E65" s="3423" t="s">
        <v>3043</v>
      </c>
      <c r="F65" s="3423" t="s">
        <v>3231</v>
      </c>
      <c r="G65" s="3423" t="s">
        <v>3086</v>
      </c>
      <c r="H65" s="3423">
        <v>33740.449999999997</v>
      </c>
      <c r="I65" s="3423">
        <v>70854.94</v>
      </c>
      <c r="J65" s="3423" t="s">
        <v>3220</v>
      </c>
      <c r="K65" s="3423" t="s">
        <v>3221</v>
      </c>
      <c r="L65" s="3423" t="s">
        <v>3222</v>
      </c>
      <c r="M65" s="3423" t="s">
        <v>3117</v>
      </c>
      <c r="N65" s="3423">
        <v>3897.01</v>
      </c>
      <c r="O65" s="3423">
        <v>77</v>
      </c>
      <c r="P65" s="3423">
        <v>550</v>
      </c>
      <c r="Q65" s="3423">
        <v>0</v>
      </c>
      <c r="R65" s="3423" t="s">
        <v>3096</v>
      </c>
      <c r="T65" s="3424">
        <f t="shared" si="0"/>
        <v>1155</v>
      </c>
    </row>
    <row r="66" spans="1:20" s="3424" customFormat="1">
      <c r="A66" s="3423" t="s">
        <v>3232</v>
      </c>
      <c r="B66" s="3423" t="s">
        <v>3041</v>
      </c>
      <c r="C66" s="3423" t="s">
        <v>3042</v>
      </c>
      <c r="D66" s="3423" t="s">
        <v>3232</v>
      </c>
      <c r="E66" s="3423" t="s">
        <v>3043</v>
      </c>
      <c r="F66" s="3423" t="s">
        <v>3233</v>
      </c>
      <c r="G66" s="3423" t="s">
        <v>3086</v>
      </c>
      <c r="H66" s="3423">
        <v>63491.11</v>
      </c>
      <c r="I66" s="3423">
        <v>133331.29999999999</v>
      </c>
      <c r="J66" s="3423" t="s">
        <v>3220</v>
      </c>
      <c r="K66" s="3423" t="s">
        <v>3221</v>
      </c>
      <c r="L66" s="3423" t="s">
        <v>3222</v>
      </c>
      <c r="M66" s="3423" t="s">
        <v>3117</v>
      </c>
      <c r="N66" s="3423">
        <v>7333.22</v>
      </c>
      <c r="O66" s="3423">
        <v>77</v>
      </c>
      <c r="P66" s="3423">
        <v>550</v>
      </c>
      <c r="Q66" s="3423">
        <v>0</v>
      </c>
      <c r="R66" s="3423" t="s">
        <v>3096</v>
      </c>
      <c r="T66" s="3424">
        <f t="shared" si="0"/>
        <v>1155</v>
      </c>
    </row>
    <row r="67" spans="1:20" s="3424" customFormat="1">
      <c r="A67" s="3423" t="s">
        <v>3234</v>
      </c>
      <c r="B67" s="3423" t="s">
        <v>3041</v>
      </c>
      <c r="C67" s="3423" t="s">
        <v>3042</v>
      </c>
      <c r="D67" s="3423" t="s">
        <v>3234</v>
      </c>
      <c r="E67" s="3423" t="s">
        <v>3043</v>
      </c>
      <c r="F67" s="3423" t="s">
        <v>3235</v>
      </c>
      <c r="G67" s="3423" t="s">
        <v>3086</v>
      </c>
      <c r="H67" s="3423">
        <v>38927.199999999997</v>
      </c>
      <c r="I67" s="3423">
        <v>81747.12</v>
      </c>
      <c r="J67" s="3423" t="s">
        <v>3220</v>
      </c>
      <c r="K67" s="3423" t="s">
        <v>3221</v>
      </c>
      <c r="L67" s="3423" t="s">
        <v>3222</v>
      </c>
      <c r="M67" s="3423" t="s">
        <v>3117</v>
      </c>
      <c r="N67" s="3423">
        <v>4496.09</v>
      </c>
      <c r="O67" s="3423">
        <v>77</v>
      </c>
      <c r="P67" s="3423">
        <v>550</v>
      </c>
      <c r="Q67" s="3423">
        <v>0</v>
      </c>
      <c r="R67" s="3423" t="s">
        <v>3096</v>
      </c>
      <c r="T67" s="3424">
        <f t="shared" ref="T67:T101" si="1">ROUND(N67*10000/H67,0)</f>
        <v>1155</v>
      </c>
    </row>
    <row r="68" spans="1:20">
      <c r="A68" s="3207" t="s">
        <v>3236</v>
      </c>
      <c r="B68" s="3207" t="s">
        <v>3041</v>
      </c>
      <c r="C68" s="3207" t="s">
        <v>3042</v>
      </c>
      <c r="D68" s="3207" t="s">
        <v>3236</v>
      </c>
      <c r="E68" s="3207" t="s">
        <v>3043</v>
      </c>
      <c r="F68" s="3207" t="s">
        <v>3237</v>
      </c>
      <c r="G68" s="3207" t="s">
        <v>3238</v>
      </c>
      <c r="H68" s="3207">
        <v>7112.14</v>
      </c>
      <c r="I68" s="3207">
        <v>14224.28</v>
      </c>
      <c r="J68" s="3207" t="s">
        <v>3239</v>
      </c>
      <c r="K68" s="3207" t="s">
        <v>3240</v>
      </c>
      <c r="L68" s="3207" t="s">
        <v>3241</v>
      </c>
      <c r="M68" s="3207" t="s">
        <v>3242</v>
      </c>
      <c r="N68" s="3207">
        <v>1600.23</v>
      </c>
      <c r="O68" s="3207">
        <v>150</v>
      </c>
      <c r="P68" s="3207">
        <v>1125</v>
      </c>
      <c r="Q68" s="3207">
        <v>0</v>
      </c>
      <c r="R68" s="3207" t="s">
        <v>3178</v>
      </c>
      <c r="T68">
        <f t="shared" si="1"/>
        <v>2250</v>
      </c>
    </row>
    <row r="69" spans="1:20">
      <c r="A69" s="3207" t="s">
        <v>3243</v>
      </c>
      <c r="B69" s="3207" t="s">
        <v>3041</v>
      </c>
      <c r="C69" s="3207" t="s">
        <v>3042</v>
      </c>
      <c r="D69" s="3207" t="s">
        <v>3243</v>
      </c>
      <c r="E69" s="3207" t="s">
        <v>3043</v>
      </c>
      <c r="F69" s="3207" t="s">
        <v>3244</v>
      </c>
      <c r="G69" s="3207" t="s">
        <v>3086</v>
      </c>
      <c r="H69" s="3207">
        <v>64534.73</v>
      </c>
      <c r="I69" s="3207">
        <v>193604.2</v>
      </c>
      <c r="J69" s="3207" t="s">
        <v>3245</v>
      </c>
      <c r="K69" s="3207" t="s">
        <v>3246</v>
      </c>
      <c r="L69" s="3207" t="s">
        <v>3247</v>
      </c>
      <c r="M69" s="3207" t="s">
        <v>3248</v>
      </c>
      <c r="N69" s="3207">
        <v>24006.91</v>
      </c>
      <c r="O69" s="3207">
        <v>248</v>
      </c>
      <c r="P69" s="3207">
        <v>1240</v>
      </c>
      <c r="Q69" s="3207">
        <v>0</v>
      </c>
      <c r="R69" s="3207" t="s">
        <v>3249</v>
      </c>
      <c r="T69">
        <f t="shared" si="1"/>
        <v>3720</v>
      </c>
    </row>
    <row r="70" spans="1:20">
      <c r="A70" s="3207" t="s">
        <v>3250</v>
      </c>
      <c r="B70" s="3207" t="s">
        <v>3041</v>
      </c>
      <c r="C70" s="3207" t="s">
        <v>3042</v>
      </c>
      <c r="D70" s="3207" t="s">
        <v>3250</v>
      </c>
      <c r="E70" s="3207" t="s">
        <v>3251</v>
      </c>
      <c r="F70" s="3207" t="s">
        <v>3252</v>
      </c>
      <c r="G70" s="3207" t="s">
        <v>3253</v>
      </c>
      <c r="H70" s="3207">
        <v>5856.69</v>
      </c>
      <c r="I70" s="3207">
        <v>21084.080000000002</v>
      </c>
      <c r="J70" s="3207" t="s">
        <v>3254</v>
      </c>
      <c r="K70" s="3207" t="s">
        <v>3255</v>
      </c>
      <c r="L70" s="3207" t="s">
        <v>3256</v>
      </c>
      <c r="M70" s="3207" t="s">
        <v>3257</v>
      </c>
      <c r="N70" s="3207">
        <v>2020.54</v>
      </c>
      <c r="O70" s="3207">
        <v>230</v>
      </c>
      <c r="P70" s="3207">
        <v>958.33</v>
      </c>
      <c r="Q70" s="3207">
        <v>142.1</v>
      </c>
      <c r="R70" s="3207" t="s">
        <v>3258</v>
      </c>
      <c r="T70">
        <f t="shared" si="1"/>
        <v>3450</v>
      </c>
    </row>
    <row r="71" spans="1:20">
      <c r="A71" s="3207" t="s">
        <v>3259</v>
      </c>
      <c r="B71" s="3207" t="s">
        <v>3041</v>
      </c>
      <c r="C71" s="3207" t="s">
        <v>3042</v>
      </c>
      <c r="D71" s="3207" t="s">
        <v>3259</v>
      </c>
      <c r="E71" s="3207" t="s">
        <v>3043</v>
      </c>
      <c r="F71" s="3207" t="s">
        <v>3260</v>
      </c>
      <c r="G71" s="3207" t="s">
        <v>3086</v>
      </c>
      <c r="H71" s="3207">
        <v>63106.76</v>
      </c>
      <c r="I71" s="3207">
        <v>69417.440000000002</v>
      </c>
      <c r="J71" s="3207" t="s">
        <v>3261</v>
      </c>
      <c r="K71" s="3207" t="s">
        <v>3262</v>
      </c>
      <c r="L71" s="3207" t="s">
        <v>3263</v>
      </c>
      <c r="M71" s="3207" t="s">
        <v>3264</v>
      </c>
      <c r="N71" s="3207">
        <v>14199.01</v>
      </c>
      <c r="O71" s="3207">
        <v>150</v>
      </c>
      <c r="P71" s="3207">
        <v>2045.45</v>
      </c>
      <c r="Q71" s="3207">
        <v>0</v>
      </c>
      <c r="R71" s="3207" t="s">
        <v>3265</v>
      </c>
      <c r="T71">
        <f t="shared" si="1"/>
        <v>2250</v>
      </c>
    </row>
    <row r="72" spans="1:20">
      <c r="A72" s="3207" t="s">
        <v>3266</v>
      </c>
      <c r="B72" s="3207" t="s">
        <v>3041</v>
      </c>
      <c r="C72" s="3207" t="s">
        <v>3042</v>
      </c>
      <c r="D72" s="3207" t="s">
        <v>3266</v>
      </c>
      <c r="E72" s="3207" t="s">
        <v>3043</v>
      </c>
      <c r="F72" s="3207" t="s">
        <v>3267</v>
      </c>
      <c r="G72" s="3207" t="s">
        <v>3086</v>
      </c>
      <c r="H72" s="3207">
        <v>67247.44</v>
      </c>
      <c r="I72" s="3207">
        <v>73972.179999999993</v>
      </c>
      <c r="J72" s="3207" t="s">
        <v>3261</v>
      </c>
      <c r="K72" s="3207" t="s">
        <v>3262</v>
      </c>
      <c r="L72" s="3207" t="s">
        <v>3263</v>
      </c>
      <c r="M72" s="3207" t="s">
        <v>3264</v>
      </c>
      <c r="N72" s="3207">
        <v>15130.68</v>
      </c>
      <c r="O72" s="3207">
        <v>150</v>
      </c>
      <c r="P72" s="3207">
        <v>2045.46</v>
      </c>
      <c r="Q72" s="3207">
        <v>0</v>
      </c>
      <c r="R72" s="3207" t="s">
        <v>3265</v>
      </c>
      <c r="T72">
        <f t="shared" si="1"/>
        <v>2250</v>
      </c>
    </row>
    <row r="73" spans="1:20">
      <c r="A73" s="3207" t="s">
        <v>3268</v>
      </c>
      <c r="B73" s="3207" t="s">
        <v>3041</v>
      </c>
      <c r="C73" s="3207" t="s">
        <v>3042</v>
      </c>
      <c r="D73" s="3207" t="s">
        <v>3268</v>
      </c>
      <c r="E73" s="3207" t="s">
        <v>3043</v>
      </c>
      <c r="F73" s="3207" t="s">
        <v>3269</v>
      </c>
      <c r="G73" s="3207" t="s">
        <v>3086</v>
      </c>
      <c r="H73" s="3207">
        <v>60838.75</v>
      </c>
      <c r="I73" s="3207">
        <v>66922.63</v>
      </c>
      <c r="J73" s="3207" t="s">
        <v>3261</v>
      </c>
      <c r="K73" s="3207" t="s">
        <v>3270</v>
      </c>
      <c r="L73" s="3207" t="s">
        <v>3271</v>
      </c>
      <c r="M73" s="3207" t="s">
        <v>3272</v>
      </c>
      <c r="N73" s="3207">
        <v>9855.8700000000008</v>
      </c>
      <c r="O73" s="3207">
        <v>108</v>
      </c>
      <c r="P73" s="3207">
        <v>1472.73</v>
      </c>
      <c r="Q73" s="3207">
        <v>0</v>
      </c>
      <c r="R73" s="3207" t="s">
        <v>3265</v>
      </c>
      <c r="T73">
        <f t="shared" si="1"/>
        <v>1620</v>
      </c>
    </row>
    <row r="74" spans="1:20">
      <c r="A74" s="3207" t="s">
        <v>3273</v>
      </c>
      <c r="B74" s="3207" t="s">
        <v>3041</v>
      </c>
      <c r="C74" s="3207" t="s">
        <v>3042</v>
      </c>
      <c r="D74" s="3207" t="s">
        <v>3273</v>
      </c>
      <c r="E74" s="3207" t="s">
        <v>3043</v>
      </c>
      <c r="F74" s="3207" t="s">
        <v>3274</v>
      </c>
      <c r="G74" s="3207" t="s">
        <v>3275</v>
      </c>
      <c r="H74" s="3207">
        <v>14344.49</v>
      </c>
      <c r="I74" s="3207">
        <v>57377.96</v>
      </c>
      <c r="J74" s="3207" t="s">
        <v>3276</v>
      </c>
      <c r="K74" s="3207" t="s">
        <v>3277</v>
      </c>
      <c r="L74" s="3207" t="s">
        <v>3278</v>
      </c>
      <c r="M74" s="3207" t="s">
        <v>3279</v>
      </c>
      <c r="N74" s="3207">
        <v>2582</v>
      </c>
      <c r="O74" s="3207">
        <v>120</v>
      </c>
      <c r="P74" s="3207">
        <v>450</v>
      </c>
      <c r="Q74" s="3207">
        <v>0</v>
      </c>
      <c r="R74" s="3207" t="s">
        <v>3265</v>
      </c>
      <c r="T74">
        <f t="shared" si="1"/>
        <v>1800</v>
      </c>
    </row>
    <row r="75" spans="1:20">
      <c r="A75" s="3207" t="s">
        <v>3280</v>
      </c>
      <c r="B75" s="3207" t="s">
        <v>3041</v>
      </c>
      <c r="C75" s="3207" t="s">
        <v>3281</v>
      </c>
      <c r="D75" s="3207" t="s">
        <v>3280</v>
      </c>
      <c r="E75" s="3207" t="s">
        <v>3043</v>
      </c>
      <c r="F75" s="3207" t="s">
        <v>3282</v>
      </c>
      <c r="G75" s="3207" t="s">
        <v>3283</v>
      </c>
      <c r="H75" s="3207">
        <v>49945.38</v>
      </c>
      <c r="I75" s="3207">
        <v>59934.46</v>
      </c>
      <c r="J75" s="3207" t="s">
        <v>3284</v>
      </c>
      <c r="K75" s="3207" t="s">
        <v>3285</v>
      </c>
      <c r="L75" s="3207" t="s">
        <v>3286</v>
      </c>
      <c r="M75" s="3207" t="s">
        <v>3287</v>
      </c>
      <c r="N75" s="3207">
        <v>8240.98</v>
      </c>
      <c r="O75" s="3207">
        <v>110</v>
      </c>
      <c r="P75" s="3207">
        <v>1375</v>
      </c>
      <c r="Q75" s="3207">
        <v>0</v>
      </c>
      <c r="R75" s="3207" t="s">
        <v>3288</v>
      </c>
      <c r="T75">
        <f t="shared" si="1"/>
        <v>1650</v>
      </c>
    </row>
    <row r="76" spans="1:20">
      <c r="A76" s="3207" t="s">
        <v>3289</v>
      </c>
      <c r="B76" s="3207" t="s">
        <v>3041</v>
      </c>
      <c r="C76" s="3207" t="s">
        <v>3281</v>
      </c>
      <c r="D76" s="3207" t="s">
        <v>3289</v>
      </c>
      <c r="E76" s="3207" t="s">
        <v>3043</v>
      </c>
      <c r="F76" s="3207" t="s">
        <v>3290</v>
      </c>
      <c r="G76" s="3207" t="s">
        <v>3283</v>
      </c>
      <c r="H76" s="3207">
        <v>44328.37</v>
      </c>
      <c r="I76" s="3207">
        <v>53194.04</v>
      </c>
      <c r="J76" s="3207" t="s">
        <v>3284</v>
      </c>
      <c r="K76" s="3207" t="s">
        <v>3285</v>
      </c>
      <c r="L76" s="3207" t="s">
        <v>3286</v>
      </c>
      <c r="M76" s="3207" t="s">
        <v>3287</v>
      </c>
      <c r="N76" s="3207">
        <v>7314.18</v>
      </c>
      <c r="O76" s="3207">
        <v>110</v>
      </c>
      <c r="P76" s="3207">
        <v>1375</v>
      </c>
      <c r="Q76" s="3207">
        <v>0</v>
      </c>
      <c r="R76" s="3207" t="s">
        <v>3288</v>
      </c>
      <c r="T76">
        <f t="shared" si="1"/>
        <v>1650</v>
      </c>
    </row>
    <row r="77" spans="1:20">
      <c r="A77" s="3207" t="s">
        <v>3291</v>
      </c>
      <c r="B77" s="3207" t="s">
        <v>3041</v>
      </c>
      <c r="C77" s="3207" t="s">
        <v>3042</v>
      </c>
      <c r="D77" s="3207" t="s">
        <v>3291</v>
      </c>
      <c r="E77" s="3207" t="s">
        <v>3043</v>
      </c>
      <c r="F77" s="3207" t="s">
        <v>3292</v>
      </c>
      <c r="G77" s="3207" t="s">
        <v>3293</v>
      </c>
      <c r="H77" s="3207">
        <v>64182.42</v>
      </c>
      <c r="I77" s="3207">
        <v>70600.66</v>
      </c>
      <c r="J77" s="3207" t="s">
        <v>3294</v>
      </c>
      <c r="K77" s="3207" t="s">
        <v>3295</v>
      </c>
      <c r="L77" s="3207" t="s">
        <v>3296</v>
      </c>
      <c r="M77" s="3207" t="s">
        <v>3297</v>
      </c>
      <c r="N77" s="3207">
        <v>10590.1</v>
      </c>
      <c r="O77" s="3207">
        <v>110</v>
      </c>
      <c r="P77" s="3207">
        <v>1500</v>
      </c>
      <c r="Q77" s="3207">
        <v>0</v>
      </c>
      <c r="R77" s="3207" t="s">
        <v>3298</v>
      </c>
      <c r="T77">
        <f t="shared" si="1"/>
        <v>1650</v>
      </c>
    </row>
    <row r="78" spans="1:20">
      <c r="A78" s="3207" t="s">
        <v>3299</v>
      </c>
      <c r="B78" s="3207" t="s">
        <v>3041</v>
      </c>
      <c r="C78" s="3207" t="s">
        <v>3042</v>
      </c>
      <c r="D78" s="3207" t="s">
        <v>3299</v>
      </c>
      <c r="E78" s="3207" t="s">
        <v>3043</v>
      </c>
      <c r="F78" s="3207" t="s">
        <v>3300</v>
      </c>
      <c r="G78" s="3207" t="s">
        <v>3293</v>
      </c>
      <c r="H78" s="3207">
        <v>60027.56</v>
      </c>
      <c r="I78" s="3207">
        <v>138063.4</v>
      </c>
      <c r="J78" s="3207" t="s">
        <v>3301</v>
      </c>
      <c r="K78" s="3207" t="s">
        <v>3295</v>
      </c>
      <c r="L78" s="3207" t="s">
        <v>3296</v>
      </c>
      <c r="M78" s="3207" t="s">
        <v>3302</v>
      </c>
      <c r="N78" s="3207">
        <v>17107.84</v>
      </c>
      <c r="O78" s="3207">
        <v>190</v>
      </c>
      <c r="P78" s="3207">
        <v>1239.1300000000001</v>
      </c>
      <c r="Q78" s="3207">
        <v>26.67</v>
      </c>
      <c r="R78" s="3207" t="s">
        <v>3298</v>
      </c>
      <c r="T78">
        <f t="shared" si="1"/>
        <v>2850</v>
      </c>
    </row>
    <row r="79" spans="1:20">
      <c r="A79" s="3207" t="s">
        <v>3303</v>
      </c>
      <c r="B79" s="3207" t="s">
        <v>3041</v>
      </c>
      <c r="C79" s="3207" t="s">
        <v>3042</v>
      </c>
      <c r="D79" s="3207" t="s">
        <v>3303</v>
      </c>
      <c r="E79" s="3207" t="s">
        <v>3043</v>
      </c>
      <c r="F79" s="3207" t="s">
        <v>3304</v>
      </c>
      <c r="G79" s="3207" t="s">
        <v>3293</v>
      </c>
      <c r="H79" s="3207">
        <v>22126</v>
      </c>
      <c r="I79" s="3207">
        <v>24338.6</v>
      </c>
      <c r="J79" s="3207" t="s">
        <v>3294</v>
      </c>
      <c r="K79" s="3207" t="s">
        <v>3295</v>
      </c>
      <c r="L79" s="3207" t="s">
        <v>3296</v>
      </c>
      <c r="M79" s="3207" t="s">
        <v>3297</v>
      </c>
      <c r="N79" s="3207">
        <v>3650.78</v>
      </c>
      <c r="O79" s="3207">
        <v>110</v>
      </c>
      <c r="P79" s="3207">
        <v>1500</v>
      </c>
      <c r="Q79" s="3207">
        <v>0</v>
      </c>
      <c r="R79" s="3207" t="s">
        <v>3298</v>
      </c>
      <c r="T79">
        <f t="shared" si="1"/>
        <v>1650</v>
      </c>
    </row>
    <row r="80" spans="1:20">
      <c r="A80" s="3207" t="s">
        <v>3305</v>
      </c>
      <c r="B80" s="3207" t="s">
        <v>3041</v>
      </c>
      <c r="C80" s="3207" t="s">
        <v>3042</v>
      </c>
      <c r="D80" s="3207" t="s">
        <v>3305</v>
      </c>
      <c r="E80" s="3207" t="s">
        <v>3251</v>
      </c>
      <c r="F80" s="3207" t="s">
        <v>3306</v>
      </c>
      <c r="G80" s="3207" t="s">
        <v>3307</v>
      </c>
      <c r="H80" s="3207">
        <v>86927.13</v>
      </c>
      <c r="I80" s="3207">
        <v>69541.7</v>
      </c>
      <c r="J80" s="3207" t="s">
        <v>3308</v>
      </c>
      <c r="K80" s="3207" t="s">
        <v>2817</v>
      </c>
      <c r="L80" s="3207" t="s">
        <v>3309</v>
      </c>
      <c r="M80" s="3207" t="s">
        <v>3310</v>
      </c>
      <c r="N80" s="3207">
        <v>9127.35</v>
      </c>
      <c r="O80" s="3207">
        <v>70</v>
      </c>
      <c r="P80" s="3207">
        <v>1312.5</v>
      </c>
      <c r="Q80" s="3207">
        <v>0</v>
      </c>
      <c r="R80" s="3207" t="s">
        <v>3311</v>
      </c>
      <c r="T80">
        <f t="shared" si="1"/>
        <v>1050</v>
      </c>
    </row>
    <row r="81" spans="1:20">
      <c r="A81" s="3207" t="s">
        <v>3312</v>
      </c>
      <c r="B81" s="3207" t="s">
        <v>3041</v>
      </c>
      <c r="C81" s="3207" t="s">
        <v>3042</v>
      </c>
      <c r="D81" s="3207" t="s">
        <v>3312</v>
      </c>
      <c r="E81" s="3207" t="s">
        <v>3251</v>
      </c>
      <c r="F81" s="3207" t="s">
        <v>3313</v>
      </c>
      <c r="G81" s="3207" t="s">
        <v>3307</v>
      </c>
      <c r="H81" s="3207">
        <v>184665.2</v>
      </c>
      <c r="I81" s="3207">
        <v>738660.9</v>
      </c>
      <c r="J81" s="3207" t="s">
        <v>3314</v>
      </c>
      <c r="K81" s="3207" t="s">
        <v>2817</v>
      </c>
      <c r="L81" s="3207" t="s">
        <v>3315</v>
      </c>
      <c r="M81" s="3207" t="s">
        <v>3316</v>
      </c>
      <c r="N81" s="3207">
        <v>22159.81</v>
      </c>
      <c r="O81" s="3207">
        <v>80</v>
      </c>
      <c r="P81" s="3207">
        <v>300</v>
      </c>
      <c r="Q81" s="3207">
        <v>0</v>
      </c>
      <c r="R81" s="3207" t="s">
        <v>3265</v>
      </c>
      <c r="T81">
        <f t="shared" si="1"/>
        <v>1200</v>
      </c>
    </row>
    <row r="82" spans="1:20">
      <c r="A82" s="3207" t="s">
        <v>3317</v>
      </c>
      <c r="B82" s="3207" t="s">
        <v>3041</v>
      </c>
      <c r="C82" s="3207" t="s">
        <v>3042</v>
      </c>
      <c r="D82" s="3207" t="s">
        <v>3317</v>
      </c>
      <c r="E82" s="3207" t="s">
        <v>3251</v>
      </c>
      <c r="F82" s="3207" t="s">
        <v>3318</v>
      </c>
      <c r="G82" s="3207" t="s">
        <v>3319</v>
      </c>
      <c r="H82" s="3207">
        <v>42547.63</v>
      </c>
      <c r="I82" s="3207">
        <v>148916.70000000001</v>
      </c>
      <c r="J82" s="3207" t="s">
        <v>3320</v>
      </c>
      <c r="K82" s="3207" t="s">
        <v>2817</v>
      </c>
      <c r="L82" s="3207" t="s">
        <v>3321</v>
      </c>
      <c r="M82" s="3207" t="s">
        <v>3322</v>
      </c>
      <c r="N82" s="3207">
        <v>6573.6</v>
      </c>
      <c r="O82" s="3207">
        <v>103</v>
      </c>
      <c r="P82" s="3207">
        <v>441.43</v>
      </c>
      <c r="Q82" s="3207">
        <v>0</v>
      </c>
      <c r="R82" s="3207" t="s">
        <v>3323</v>
      </c>
      <c r="T82">
        <f t="shared" si="1"/>
        <v>1545</v>
      </c>
    </row>
    <row r="83" spans="1:20">
      <c r="A83" s="3207" t="s">
        <v>3324</v>
      </c>
      <c r="B83" s="3207" t="s">
        <v>3041</v>
      </c>
      <c r="C83" s="3207" t="s">
        <v>3281</v>
      </c>
      <c r="D83" s="3207" t="s">
        <v>3324</v>
      </c>
      <c r="E83" s="3207" t="s">
        <v>3043</v>
      </c>
      <c r="F83" s="3207" t="s">
        <v>3325</v>
      </c>
      <c r="G83" s="3207" t="s">
        <v>3281</v>
      </c>
      <c r="H83" s="3207">
        <v>1778.83</v>
      </c>
      <c r="I83" s="3207">
        <v>2846.13</v>
      </c>
      <c r="J83" s="3207" t="s">
        <v>3326</v>
      </c>
      <c r="K83" s="3207" t="s">
        <v>2817</v>
      </c>
      <c r="L83" s="3207" t="s">
        <v>3327</v>
      </c>
      <c r="M83" s="3207" t="s">
        <v>3328</v>
      </c>
      <c r="N83" s="3207">
        <v>520.29</v>
      </c>
      <c r="O83" s="3207">
        <v>194.99</v>
      </c>
      <c r="P83" s="3207">
        <v>1828.09</v>
      </c>
      <c r="Q83" s="3207">
        <v>39.29</v>
      </c>
      <c r="R83" s="3207" t="s">
        <v>3288</v>
      </c>
      <c r="T83">
        <f t="shared" si="1"/>
        <v>2925</v>
      </c>
    </row>
    <row r="84" spans="1:20">
      <c r="A84" s="3207" t="s">
        <v>3329</v>
      </c>
      <c r="B84" s="3207" t="s">
        <v>3041</v>
      </c>
      <c r="C84" s="3207" t="s">
        <v>3042</v>
      </c>
      <c r="D84" s="3207" t="s">
        <v>3329</v>
      </c>
      <c r="E84" s="3207" t="s">
        <v>3043</v>
      </c>
      <c r="F84" s="3207" t="s">
        <v>3330</v>
      </c>
      <c r="G84" s="3207" t="s">
        <v>3331</v>
      </c>
      <c r="H84" s="3207">
        <v>17445.98</v>
      </c>
      <c r="I84" s="3207">
        <v>61060.93</v>
      </c>
      <c r="J84" s="3207" t="s">
        <v>3332</v>
      </c>
      <c r="K84" s="3207" t="s">
        <v>2817</v>
      </c>
      <c r="L84" s="3207" t="s">
        <v>3333</v>
      </c>
      <c r="M84" s="3207" t="s">
        <v>3334</v>
      </c>
      <c r="N84" s="3207">
        <v>3244.94</v>
      </c>
      <c r="O84" s="3207">
        <v>124</v>
      </c>
      <c r="P84" s="3207">
        <v>531.41999999999996</v>
      </c>
      <c r="Q84" s="3207">
        <v>55</v>
      </c>
      <c r="R84" s="3207" t="s">
        <v>3335</v>
      </c>
      <c r="T84">
        <f t="shared" si="1"/>
        <v>1860</v>
      </c>
    </row>
    <row r="85" spans="1:20">
      <c r="A85" s="3207" t="s">
        <v>3336</v>
      </c>
      <c r="B85" s="3207" t="s">
        <v>3041</v>
      </c>
      <c r="C85" s="3207" t="s">
        <v>3281</v>
      </c>
      <c r="D85" s="3207" t="s">
        <v>3336</v>
      </c>
      <c r="E85" s="3207" t="s">
        <v>3043</v>
      </c>
      <c r="F85" s="3207" t="s">
        <v>3337</v>
      </c>
      <c r="G85" s="3207" t="s">
        <v>3283</v>
      </c>
      <c r="H85" s="3207">
        <v>63562.82</v>
      </c>
      <c r="I85" s="3207">
        <v>69919.100000000006</v>
      </c>
      <c r="J85" s="3207" t="s">
        <v>3294</v>
      </c>
      <c r="K85" s="3207" t="s">
        <v>2817</v>
      </c>
      <c r="L85" s="3207" t="s">
        <v>3338</v>
      </c>
      <c r="M85" s="3207" t="s">
        <v>3339</v>
      </c>
      <c r="N85" s="3207">
        <v>9534.42</v>
      </c>
      <c r="O85" s="3207">
        <v>100</v>
      </c>
      <c r="P85" s="3207">
        <v>1363.64</v>
      </c>
      <c r="Q85" s="3207">
        <v>0</v>
      </c>
      <c r="R85" s="3207" t="s">
        <v>3288</v>
      </c>
      <c r="T85">
        <f t="shared" si="1"/>
        <v>1500</v>
      </c>
    </row>
    <row r="86" spans="1:20">
      <c r="A86" s="3207" t="s">
        <v>3336</v>
      </c>
      <c r="B86" s="3207" t="s">
        <v>3041</v>
      </c>
      <c r="C86" s="3207" t="s">
        <v>3281</v>
      </c>
      <c r="D86" s="3207" t="s">
        <v>3336</v>
      </c>
      <c r="E86" s="3207" t="s">
        <v>3043</v>
      </c>
      <c r="F86" s="3207" t="s">
        <v>3340</v>
      </c>
      <c r="G86" s="3207" t="s">
        <v>3283</v>
      </c>
      <c r="H86" s="3207">
        <v>37764.51</v>
      </c>
      <c r="I86" s="3207">
        <v>41540.959999999999</v>
      </c>
      <c r="J86" s="3207" t="s">
        <v>3294</v>
      </c>
      <c r="K86" s="3207" t="s">
        <v>2817</v>
      </c>
      <c r="L86" s="3207" t="s">
        <v>3338</v>
      </c>
      <c r="M86" s="3207" t="s">
        <v>3339</v>
      </c>
      <c r="N86" s="3207">
        <v>5664.68</v>
      </c>
      <c r="O86" s="3207">
        <v>100</v>
      </c>
      <c r="P86" s="3207">
        <v>1363.64</v>
      </c>
      <c r="Q86" s="3207">
        <v>0</v>
      </c>
      <c r="R86" s="3207" t="s">
        <v>3288</v>
      </c>
      <c r="T86">
        <f t="shared" si="1"/>
        <v>1500</v>
      </c>
    </row>
    <row r="87" spans="1:20">
      <c r="A87" s="3207" t="s">
        <v>3341</v>
      </c>
      <c r="B87" s="3207" t="s">
        <v>3041</v>
      </c>
      <c r="C87" s="3207" t="s">
        <v>3281</v>
      </c>
      <c r="D87" s="3207" t="s">
        <v>3341</v>
      </c>
      <c r="E87" s="3207" t="s">
        <v>3043</v>
      </c>
      <c r="F87" s="3207" t="s">
        <v>3342</v>
      </c>
      <c r="G87" s="3207" t="s">
        <v>3283</v>
      </c>
      <c r="H87" s="3207">
        <v>57270.11</v>
      </c>
      <c r="I87" s="3207">
        <v>62997.120000000003</v>
      </c>
      <c r="J87" s="3207" t="s">
        <v>3294</v>
      </c>
      <c r="K87" s="3207" t="s">
        <v>2817</v>
      </c>
      <c r="L87" s="3207" t="s">
        <v>3343</v>
      </c>
      <c r="M87" s="3207" t="s">
        <v>3297</v>
      </c>
      <c r="N87" s="3207">
        <v>9449.56</v>
      </c>
      <c r="O87" s="3207">
        <v>110</v>
      </c>
      <c r="P87" s="3207">
        <v>1500</v>
      </c>
      <c r="Q87" s="3207">
        <v>0</v>
      </c>
      <c r="R87" s="3207" t="s">
        <v>3288</v>
      </c>
      <c r="T87">
        <f t="shared" si="1"/>
        <v>1650</v>
      </c>
    </row>
    <row r="88" spans="1:20">
      <c r="A88" s="3207" t="s">
        <v>3344</v>
      </c>
      <c r="B88" s="3207" t="s">
        <v>3041</v>
      </c>
      <c r="C88" s="3207" t="s">
        <v>3281</v>
      </c>
      <c r="D88" s="3207" t="s">
        <v>3344</v>
      </c>
      <c r="E88" s="3207" t="s">
        <v>3043</v>
      </c>
      <c r="F88" s="3207" t="s">
        <v>3345</v>
      </c>
      <c r="G88" s="3207" t="s">
        <v>3283</v>
      </c>
      <c r="H88" s="3207">
        <v>44365.63</v>
      </c>
      <c r="I88" s="3207">
        <v>48802.19</v>
      </c>
      <c r="J88" s="3207" t="s">
        <v>3294</v>
      </c>
      <c r="K88" s="3207" t="s">
        <v>2817</v>
      </c>
      <c r="L88" s="3207" t="s">
        <v>3343</v>
      </c>
      <c r="M88" s="3207" t="s">
        <v>3297</v>
      </c>
      <c r="N88" s="3207">
        <v>7320.28</v>
      </c>
      <c r="O88" s="3207">
        <v>110</v>
      </c>
      <c r="P88" s="3207">
        <v>1499.99</v>
      </c>
      <c r="Q88" s="3207">
        <v>0</v>
      </c>
      <c r="R88" s="3207" t="s">
        <v>3288</v>
      </c>
      <c r="T88">
        <f t="shared" si="1"/>
        <v>1650</v>
      </c>
    </row>
    <row r="89" spans="1:20">
      <c r="A89" s="3207" t="s">
        <v>3346</v>
      </c>
      <c r="B89" s="3207" t="s">
        <v>3041</v>
      </c>
      <c r="C89" s="3207" t="s">
        <v>3042</v>
      </c>
      <c r="D89" s="3207" t="s">
        <v>3346</v>
      </c>
      <c r="E89" s="3207" t="s">
        <v>3251</v>
      </c>
      <c r="F89" s="3207" t="s">
        <v>3347</v>
      </c>
      <c r="G89" s="3207" t="s">
        <v>3086</v>
      </c>
      <c r="H89" s="3207">
        <v>37041.11</v>
      </c>
      <c r="I89" s="3207">
        <v>37041.11</v>
      </c>
      <c r="J89" s="3207" t="s">
        <v>3348</v>
      </c>
      <c r="K89" s="3207" t="s">
        <v>2817</v>
      </c>
      <c r="L89" s="3207" t="s">
        <v>3349</v>
      </c>
      <c r="M89" s="3207" t="s">
        <v>3350</v>
      </c>
      <c r="N89" s="3207">
        <v>3889.3</v>
      </c>
      <c r="O89" s="3207">
        <v>70</v>
      </c>
      <c r="P89" s="3207">
        <v>1050</v>
      </c>
      <c r="Q89" s="3207">
        <v>0</v>
      </c>
      <c r="R89" s="3207" t="s">
        <v>3265</v>
      </c>
      <c r="T89">
        <f t="shared" si="1"/>
        <v>1050</v>
      </c>
    </row>
    <row r="90" spans="1:20">
      <c r="A90" s="3207" t="s">
        <v>3351</v>
      </c>
      <c r="B90" s="3207" t="s">
        <v>3041</v>
      </c>
      <c r="C90" s="3207" t="s">
        <v>3042</v>
      </c>
      <c r="D90" s="3207" t="s">
        <v>3352</v>
      </c>
      <c r="E90" s="3207" t="s">
        <v>3251</v>
      </c>
      <c r="F90" s="3207" t="s">
        <v>3353</v>
      </c>
      <c r="G90" s="3207" t="s">
        <v>3354</v>
      </c>
      <c r="H90" s="3207">
        <v>114466.7</v>
      </c>
      <c r="I90" s="3207" t="s">
        <v>2817</v>
      </c>
      <c r="J90" s="3207" t="s">
        <v>3355</v>
      </c>
      <c r="K90" s="3207" t="s">
        <v>2817</v>
      </c>
      <c r="L90" s="3207" t="s">
        <v>3356</v>
      </c>
      <c r="M90" s="3207" t="s">
        <v>2988</v>
      </c>
      <c r="N90" s="3207">
        <v>11160.5</v>
      </c>
      <c r="O90" s="3207">
        <v>65</v>
      </c>
      <c r="P90" s="3207" t="s">
        <v>2817</v>
      </c>
      <c r="Q90" s="3207">
        <v>0</v>
      </c>
      <c r="R90" s="3207" t="s">
        <v>3357</v>
      </c>
      <c r="T90">
        <f t="shared" si="1"/>
        <v>975</v>
      </c>
    </row>
    <row r="91" spans="1:20">
      <c r="A91" s="3207" t="s">
        <v>3358</v>
      </c>
      <c r="B91" s="3207" t="s">
        <v>3041</v>
      </c>
      <c r="C91" s="3207" t="s">
        <v>3042</v>
      </c>
      <c r="D91" s="3207" t="s">
        <v>3359</v>
      </c>
      <c r="E91" s="3207" t="s">
        <v>3251</v>
      </c>
      <c r="F91" s="3207" t="s">
        <v>3360</v>
      </c>
      <c r="G91" s="3207" t="s">
        <v>3354</v>
      </c>
      <c r="H91" s="3207">
        <v>164894.29999999999</v>
      </c>
      <c r="I91" s="3207" t="s">
        <v>2817</v>
      </c>
      <c r="J91" s="3207" t="s">
        <v>3355</v>
      </c>
      <c r="K91" s="3207" t="s">
        <v>2817</v>
      </c>
      <c r="L91" s="3207" t="s">
        <v>3356</v>
      </c>
      <c r="M91" s="3207" t="s">
        <v>2988</v>
      </c>
      <c r="N91" s="3207">
        <v>16077.19</v>
      </c>
      <c r="O91" s="3207">
        <v>65</v>
      </c>
      <c r="P91" s="3207" t="s">
        <v>2817</v>
      </c>
      <c r="Q91" s="3207">
        <v>0</v>
      </c>
      <c r="R91" s="3207" t="s">
        <v>3357</v>
      </c>
      <c r="T91">
        <f t="shared" si="1"/>
        <v>975</v>
      </c>
    </row>
    <row r="92" spans="1:20">
      <c r="A92" s="3207" t="s">
        <v>3361</v>
      </c>
      <c r="B92" s="3207" t="s">
        <v>3041</v>
      </c>
      <c r="C92" s="3207" t="s">
        <v>3042</v>
      </c>
      <c r="D92" s="3207" t="s">
        <v>3362</v>
      </c>
      <c r="E92" s="3207" t="s">
        <v>3251</v>
      </c>
      <c r="F92" s="3207" t="s">
        <v>3363</v>
      </c>
      <c r="G92" s="3207" t="s">
        <v>3354</v>
      </c>
      <c r="H92" s="3207">
        <v>130833.60000000001</v>
      </c>
      <c r="I92" s="3207" t="s">
        <v>2817</v>
      </c>
      <c r="J92" s="3207" t="s">
        <v>3355</v>
      </c>
      <c r="K92" s="3207" t="s">
        <v>2817</v>
      </c>
      <c r="L92" s="3207" t="s">
        <v>3356</v>
      </c>
      <c r="M92" s="3207" t="s">
        <v>2988</v>
      </c>
      <c r="N92" s="3207">
        <v>12756.28</v>
      </c>
      <c r="O92" s="3207">
        <v>65</v>
      </c>
      <c r="P92" s="3207" t="s">
        <v>2817</v>
      </c>
      <c r="Q92" s="3207">
        <v>0</v>
      </c>
      <c r="R92" s="3207" t="s">
        <v>3357</v>
      </c>
      <c r="T92">
        <f t="shared" si="1"/>
        <v>975</v>
      </c>
    </row>
    <row r="93" spans="1:20">
      <c r="A93" s="3207" t="s">
        <v>3364</v>
      </c>
      <c r="B93" s="3207" t="s">
        <v>3041</v>
      </c>
      <c r="C93" s="3207" t="s">
        <v>3042</v>
      </c>
      <c r="D93" s="3207" t="s">
        <v>3365</v>
      </c>
      <c r="E93" s="3207" t="s">
        <v>3251</v>
      </c>
      <c r="F93" s="3207" t="s">
        <v>3366</v>
      </c>
      <c r="G93" s="3207" t="s">
        <v>3367</v>
      </c>
      <c r="H93" s="3207">
        <v>199753.3</v>
      </c>
      <c r="I93" s="3207" t="s">
        <v>2817</v>
      </c>
      <c r="J93" s="3207" t="s">
        <v>3368</v>
      </c>
      <c r="K93" s="3207" t="s">
        <v>2817</v>
      </c>
      <c r="L93" s="3207" t="s">
        <v>3369</v>
      </c>
      <c r="M93" s="3207" t="s">
        <v>3370</v>
      </c>
      <c r="N93" s="3207">
        <v>18277.41</v>
      </c>
      <c r="O93" s="3207">
        <v>61</v>
      </c>
      <c r="P93" s="3207" t="s">
        <v>2817</v>
      </c>
      <c r="Q93" s="3207">
        <v>0</v>
      </c>
      <c r="R93" s="3207" t="s">
        <v>3311</v>
      </c>
      <c r="T93">
        <f t="shared" si="1"/>
        <v>915</v>
      </c>
    </row>
    <row r="94" spans="1:20">
      <c r="A94" s="3207" t="s">
        <v>3371</v>
      </c>
      <c r="B94" s="3207" t="s">
        <v>3041</v>
      </c>
      <c r="C94" s="3207" t="s">
        <v>3281</v>
      </c>
      <c r="D94" s="3207" t="s">
        <v>3372</v>
      </c>
      <c r="E94" s="3207" t="s">
        <v>3043</v>
      </c>
      <c r="F94" s="3207" t="s">
        <v>3373</v>
      </c>
      <c r="G94" s="3207" t="s">
        <v>3238</v>
      </c>
      <c r="H94" s="3207">
        <v>6411</v>
      </c>
      <c r="I94" s="3207">
        <v>11539.8</v>
      </c>
      <c r="J94" s="3207" t="s">
        <v>3374</v>
      </c>
      <c r="K94" s="3207" t="s">
        <v>2817</v>
      </c>
      <c r="L94" s="3207" t="s">
        <v>3375</v>
      </c>
      <c r="M94" s="3207" t="s">
        <v>3376</v>
      </c>
      <c r="N94" s="3207">
        <v>2884.92</v>
      </c>
      <c r="O94" s="3207">
        <v>300</v>
      </c>
      <c r="P94" s="3207">
        <v>2499.96</v>
      </c>
      <c r="Q94" s="3207">
        <v>0</v>
      </c>
      <c r="R94" s="3207" t="s">
        <v>3377</v>
      </c>
      <c r="T94">
        <f t="shared" si="1"/>
        <v>4500</v>
      </c>
    </row>
    <row r="95" spans="1:20">
      <c r="A95" s="3207" t="s">
        <v>3378</v>
      </c>
      <c r="B95" s="3207" t="s">
        <v>3041</v>
      </c>
      <c r="C95" s="3207" t="s">
        <v>3042</v>
      </c>
      <c r="D95" s="3207" t="s">
        <v>3379</v>
      </c>
      <c r="E95" s="3207" t="s">
        <v>3043</v>
      </c>
      <c r="F95" s="3207" t="s">
        <v>3380</v>
      </c>
      <c r="G95" s="3207" t="s">
        <v>3381</v>
      </c>
      <c r="H95" s="3207">
        <v>12146.27</v>
      </c>
      <c r="I95" s="3207">
        <v>42511.95</v>
      </c>
      <c r="J95" s="3207" t="s">
        <v>3332</v>
      </c>
      <c r="K95" s="3207" t="s">
        <v>2817</v>
      </c>
      <c r="L95" s="3207" t="s">
        <v>3375</v>
      </c>
      <c r="M95" s="3207" t="s">
        <v>3382</v>
      </c>
      <c r="N95" s="3207">
        <v>4737.03</v>
      </c>
      <c r="O95" s="3207">
        <v>260</v>
      </c>
      <c r="P95" s="3207">
        <v>1114.27</v>
      </c>
      <c r="Q95" s="3207">
        <v>0</v>
      </c>
      <c r="R95" s="3207" t="s">
        <v>3096</v>
      </c>
      <c r="T95">
        <f t="shared" si="1"/>
        <v>3900</v>
      </c>
    </row>
    <row r="96" spans="1:20">
      <c r="A96" s="3207" t="s">
        <v>3383</v>
      </c>
      <c r="B96" s="3207" t="s">
        <v>3041</v>
      </c>
      <c r="C96" s="3207" t="s">
        <v>3281</v>
      </c>
      <c r="D96" s="3207" t="s">
        <v>3384</v>
      </c>
      <c r="E96" s="3207" t="s">
        <v>3043</v>
      </c>
      <c r="F96" s="3207" t="s">
        <v>3385</v>
      </c>
      <c r="G96" s="3207" t="s">
        <v>3238</v>
      </c>
      <c r="H96" s="3207">
        <v>6289.26</v>
      </c>
      <c r="I96" s="3207">
        <v>18867.78</v>
      </c>
      <c r="J96" s="3207" t="s">
        <v>3386</v>
      </c>
      <c r="K96" s="3207" t="s">
        <v>2817</v>
      </c>
      <c r="L96" s="3207" t="s">
        <v>3375</v>
      </c>
      <c r="M96" s="3207" t="s">
        <v>3382</v>
      </c>
      <c r="N96" s="3207">
        <v>2452.7800000000002</v>
      </c>
      <c r="O96" s="3207">
        <v>260</v>
      </c>
      <c r="P96" s="3207">
        <v>1299.99</v>
      </c>
      <c r="Q96" s="3207">
        <v>0</v>
      </c>
      <c r="R96" s="3207" t="s">
        <v>3377</v>
      </c>
      <c r="T96">
        <f t="shared" si="1"/>
        <v>3900</v>
      </c>
    </row>
    <row r="97" spans="1:20">
      <c r="A97" s="3207" t="s">
        <v>3387</v>
      </c>
      <c r="B97" s="3207" t="s">
        <v>3041</v>
      </c>
      <c r="C97" s="3207" t="s">
        <v>3281</v>
      </c>
      <c r="D97" s="3207" t="s">
        <v>3388</v>
      </c>
      <c r="E97" s="3207" t="s">
        <v>3043</v>
      </c>
      <c r="F97" s="3207" t="s">
        <v>3389</v>
      </c>
      <c r="G97" s="3207" t="s">
        <v>3281</v>
      </c>
      <c r="H97" s="3207">
        <v>167682.79999999999</v>
      </c>
      <c r="I97" s="3207">
        <v>100609.68</v>
      </c>
      <c r="J97" s="3207" t="s">
        <v>3390</v>
      </c>
      <c r="K97" s="3207" t="s">
        <v>2817</v>
      </c>
      <c r="L97" s="3207" t="s">
        <v>3391</v>
      </c>
      <c r="M97" s="3207" t="s">
        <v>3392</v>
      </c>
      <c r="N97" s="3207">
        <v>25152</v>
      </c>
      <c r="O97" s="3207">
        <v>100</v>
      </c>
      <c r="P97" s="3207">
        <v>2499.96</v>
      </c>
      <c r="Q97" s="3207">
        <v>0</v>
      </c>
      <c r="R97" s="3207" t="s">
        <v>3288</v>
      </c>
      <c r="T97">
        <f t="shared" si="1"/>
        <v>1500</v>
      </c>
    </row>
    <row r="98" spans="1:20">
      <c r="A98" s="3207" t="s">
        <v>3387</v>
      </c>
      <c r="B98" s="3207" t="s">
        <v>3041</v>
      </c>
      <c r="C98" s="3207" t="s">
        <v>3281</v>
      </c>
      <c r="D98" s="3207" t="s">
        <v>3388</v>
      </c>
      <c r="E98" s="3207" t="s">
        <v>3043</v>
      </c>
      <c r="F98" s="3207" t="s">
        <v>3393</v>
      </c>
      <c r="G98" s="3207" t="s">
        <v>3281</v>
      </c>
      <c r="H98" s="3207">
        <v>55488.7</v>
      </c>
      <c r="I98" s="3207">
        <v>33293.22</v>
      </c>
      <c r="J98" s="3207" t="s">
        <v>3390</v>
      </c>
      <c r="K98" s="3207" t="s">
        <v>2817</v>
      </c>
      <c r="L98" s="3207" t="s">
        <v>3391</v>
      </c>
      <c r="M98" s="3207" t="s">
        <v>3392</v>
      </c>
      <c r="N98" s="3207">
        <v>12234.8</v>
      </c>
      <c r="O98" s="3207">
        <v>146.99</v>
      </c>
      <c r="P98" s="3207">
        <v>3674.86</v>
      </c>
      <c r="Q98" s="3207">
        <v>47</v>
      </c>
      <c r="R98" s="3207" t="s">
        <v>3288</v>
      </c>
      <c r="T98">
        <f t="shared" si="1"/>
        <v>2205</v>
      </c>
    </row>
    <row r="99" spans="1:20">
      <c r="A99" s="3207" t="s">
        <v>3394</v>
      </c>
      <c r="B99" s="3207" t="s">
        <v>3041</v>
      </c>
      <c r="C99" s="3207" t="s">
        <v>3281</v>
      </c>
      <c r="D99" s="3207" t="s">
        <v>3395</v>
      </c>
      <c r="E99" s="3207" t="s">
        <v>3043</v>
      </c>
      <c r="F99" s="3207" t="s">
        <v>3396</v>
      </c>
      <c r="G99" s="3207" t="s">
        <v>3281</v>
      </c>
      <c r="H99" s="3207">
        <v>44235.6</v>
      </c>
      <c r="I99" s="3207">
        <v>88471.2</v>
      </c>
      <c r="J99" s="3207" t="s">
        <v>3397</v>
      </c>
      <c r="K99" s="3207" t="s">
        <v>2817</v>
      </c>
      <c r="L99" s="3207" t="s">
        <v>3391</v>
      </c>
      <c r="M99" s="3207" t="s">
        <v>3398</v>
      </c>
      <c r="N99" s="3207">
        <v>7962</v>
      </c>
      <c r="O99" s="3207">
        <v>119.99</v>
      </c>
      <c r="P99" s="3207">
        <v>899.95</v>
      </c>
      <c r="Q99" s="3207">
        <v>50</v>
      </c>
      <c r="R99" s="3207" t="s">
        <v>3288</v>
      </c>
      <c r="T99">
        <f t="shared" si="1"/>
        <v>1800</v>
      </c>
    </row>
    <row r="100" spans="1:20">
      <c r="A100" s="3207" t="s">
        <v>3399</v>
      </c>
      <c r="B100" s="3207" t="s">
        <v>3041</v>
      </c>
      <c r="C100" s="3207" t="s">
        <v>3281</v>
      </c>
      <c r="D100" s="3207" t="s">
        <v>3400</v>
      </c>
      <c r="E100" s="3207" t="s">
        <v>3043</v>
      </c>
      <c r="F100" s="3207" t="s">
        <v>3401</v>
      </c>
      <c r="G100" s="3207" t="s">
        <v>3281</v>
      </c>
      <c r="H100" s="3207">
        <v>58443.1</v>
      </c>
      <c r="I100" s="3207">
        <v>26299.4</v>
      </c>
      <c r="J100" s="3207" t="s">
        <v>3402</v>
      </c>
      <c r="K100" s="3207" t="s">
        <v>2817</v>
      </c>
      <c r="L100" s="3207" t="s">
        <v>3391</v>
      </c>
      <c r="M100" s="3207" t="s">
        <v>3403</v>
      </c>
      <c r="N100" s="3207">
        <v>14025.6</v>
      </c>
      <c r="O100" s="3207">
        <v>159.99</v>
      </c>
      <c r="P100" s="3207">
        <v>5333.05</v>
      </c>
      <c r="Q100" s="3207">
        <v>0</v>
      </c>
      <c r="R100" s="3207" t="s">
        <v>3288</v>
      </c>
      <c r="T100">
        <f t="shared" si="1"/>
        <v>2400</v>
      </c>
    </row>
    <row r="101" spans="1:20">
      <c r="A101" s="3207" t="s">
        <v>3404</v>
      </c>
      <c r="B101" s="3207" t="s">
        <v>3041</v>
      </c>
      <c r="C101" s="3207" t="s">
        <v>3281</v>
      </c>
      <c r="D101" s="3207" t="s">
        <v>3405</v>
      </c>
      <c r="E101" s="3207" t="s">
        <v>3043</v>
      </c>
      <c r="F101" s="3207" t="s">
        <v>3406</v>
      </c>
      <c r="G101" s="3207" t="s">
        <v>3281</v>
      </c>
      <c r="H101" s="3207">
        <v>50030.1</v>
      </c>
      <c r="I101" s="3207">
        <v>30018.06</v>
      </c>
      <c r="J101" s="3207" t="s">
        <v>3390</v>
      </c>
      <c r="K101" s="3207" t="s">
        <v>2817</v>
      </c>
      <c r="L101" s="3207" t="s">
        <v>3391</v>
      </c>
      <c r="M101" s="3207" t="s">
        <v>3339</v>
      </c>
      <c r="N101" s="3207">
        <v>9756.5</v>
      </c>
      <c r="O101" s="3207">
        <v>130.01</v>
      </c>
      <c r="P101" s="3207">
        <v>3250.21</v>
      </c>
      <c r="Q101" s="3207">
        <v>0</v>
      </c>
      <c r="R101" s="3207" t="s">
        <v>3288</v>
      </c>
      <c r="T101">
        <f t="shared" si="1"/>
        <v>1950</v>
      </c>
    </row>
  </sheetData>
  <phoneticPr fontId="2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view="pageBreakPreview" zoomScale="96" zoomScaleNormal="100" zoomScaleSheetLayoutView="96" workbookViewId="0">
      <selection activeCell="J37" sqref="J37"/>
    </sheetView>
  </sheetViews>
  <sheetFormatPr defaultRowHeight="13.5"/>
  <cols>
    <col min="1" max="1" width="42.875" customWidth="1"/>
    <col min="2" max="5" width="0" hidden="1" customWidth="1"/>
    <col min="6" max="6" width="18.875" customWidth="1"/>
    <col min="7" max="7" width="28.25" customWidth="1"/>
    <col min="8" max="10" width="18.875" customWidth="1"/>
    <col min="11" max="11" width="17.625" customWidth="1"/>
    <col min="12" max="12" width="33.25" customWidth="1"/>
    <col min="13" max="15" width="17.625" customWidth="1"/>
    <col min="17" max="17" width="19.25" customWidth="1"/>
  </cols>
  <sheetData>
    <row r="1" spans="1:19">
      <c r="A1" s="3208" t="s">
        <v>3023</v>
      </c>
      <c r="B1" s="3208" t="s">
        <v>3024</v>
      </c>
      <c r="C1" s="3208" t="s">
        <v>3025</v>
      </c>
      <c r="D1" s="3208" t="s">
        <v>3026</v>
      </c>
      <c r="E1" s="3208" t="s">
        <v>3027</v>
      </c>
      <c r="F1" s="3208" t="s">
        <v>3028</v>
      </c>
      <c r="G1" s="3208" t="s">
        <v>3029</v>
      </c>
      <c r="H1" s="3208" t="s">
        <v>3030</v>
      </c>
      <c r="I1" s="3208" t="s">
        <v>3031</v>
      </c>
      <c r="J1" s="3208" t="s">
        <v>2034</v>
      </c>
      <c r="K1" s="3208" t="s">
        <v>3033</v>
      </c>
      <c r="L1" s="3208" t="s">
        <v>3034</v>
      </c>
      <c r="M1" s="3208" t="s">
        <v>3035</v>
      </c>
      <c r="N1" s="3208" t="s">
        <v>3036</v>
      </c>
      <c r="O1" s="3208" t="s">
        <v>3037</v>
      </c>
      <c r="P1" s="3208" t="s">
        <v>3038</v>
      </c>
      <c r="Q1" s="3208" t="s">
        <v>3039</v>
      </c>
    </row>
    <row r="2" spans="1:19" s="3428" customFormat="1">
      <c r="A2" s="3427" t="s">
        <v>3069</v>
      </c>
      <c r="B2" s="3427" t="s">
        <v>3041</v>
      </c>
      <c r="C2" s="3427" t="s">
        <v>3407</v>
      </c>
      <c r="D2" s="3427" t="s">
        <v>3069</v>
      </c>
      <c r="E2" s="3427" t="s">
        <v>3251</v>
      </c>
      <c r="F2" s="3427" t="s">
        <v>3408</v>
      </c>
      <c r="G2" s="3427" t="s">
        <v>3409</v>
      </c>
      <c r="H2" s="3427">
        <v>113014.9</v>
      </c>
      <c r="I2" s="3427">
        <v>90411.88</v>
      </c>
      <c r="J2" s="3427" t="s">
        <v>3410</v>
      </c>
      <c r="K2" s="3427" t="s">
        <v>3411</v>
      </c>
      <c r="L2" s="3427" t="s">
        <v>3412</v>
      </c>
      <c r="M2" s="3427">
        <v>6780.89</v>
      </c>
      <c r="N2" s="3427">
        <v>40</v>
      </c>
      <c r="O2" s="3427">
        <v>750</v>
      </c>
      <c r="P2" s="3427">
        <v>0</v>
      </c>
      <c r="Q2" s="3427" t="s">
        <v>3413</v>
      </c>
      <c r="S2" s="3428">
        <f t="shared" ref="S2:S22" si="0">ROUND(M2*10000/H2,0)</f>
        <v>600</v>
      </c>
    </row>
    <row r="3" spans="1:19">
      <c r="A3" s="3208" t="s">
        <v>3059</v>
      </c>
      <c r="B3" s="3208" t="s">
        <v>3041</v>
      </c>
      <c r="C3" s="3208" t="s">
        <v>3407</v>
      </c>
      <c r="D3" s="3208" t="s">
        <v>3059</v>
      </c>
      <c r="E3" s="3208" t="s">
        <v>3043</v>
      </c>
      <c r="F3" s="3208" t="s">
        <v>3414</v>
      </c>
      <c r="G3" s="3208" t="s">
        <v>3415</v>
      </c>
      <c r="H3" s="3208">
        <v>34672.050000000003</v>
      </c>
      <c r="I3" s="3208">
        <v>138688.20000000001</v>
      </c>
      <c r="J3" s="3208" t="s">
        <v>3416</v>
      </c>
      <c r="K3" s="3208" t="s">
        <v>3063</v>
      </c>
      <c r="L3" s="3208" t="s">
        <v>3064</v>
      </c>
      <c r="M3" s="3208">
        <v>7801.22</v>
      </c>
      <c r="N3" s="3208">
        <v>150</v>
      </c>
      <c r="O3" s="3208">
        <v>562.5</v>
      </c>
      <c r="P3" s="3208">
        <v>0</v>
      </c>
      <c r="Q3" s="3208" t="s">
        <v>3417</v>
      </c>
      <c r="S3">
        <f t="shared" si="0"/>
        <v>2250</v>
      </c>
    </row>
    <row r="4" spans="1:19" s="3422" customFormat="1">
      <c r="A4" s="3421" t="s">
        <v>3418</v>
      </c>
      <c r="B4" s="3421" t="s">
        <v>3041</v>
      </c>
      <c r="C4" s="3421" t="s">
        <v>3407</v>
      </c>
      <c r="D4" s="3421" t="s">
        <v>3418</v>
      </c>
      <c r="E4" s="3421" t="s">
        <v>3251</v>
      </c>
      <c r="F4" s="3421" t="s">
        <v>3419</v>
      </c>
      <c r="G4" s="3421" t="s">
        <v>3420</v>
      </c>
      <c r="H4" s="3421">
        <v>11662.85</v>
      </c>
      <c r="I4" s="3421">
        <v>11662.85</v>
      </c>
      <c r="J4" s="3421" t="s">
        <v>3421</v>
      </c>
      <c r="K4" s="3421" t="s">
        <v>3422</v>
      </c>
      <c r="L4" s="3421" t="s">
        <v>3423</v>
      </c>
      <c r="M4" s="3421">
        <v>2396.71</v>
      </c>
      <c r="N4" s="3421">
        <v>137</v>
      </c>
      <c r="O4" s="3421">
        <v>2055</v>
      </c>
      <c r="P4" s="3421">
        <v>0</v>
      </c>
      <c r="Q4" s="3421" t="s">
        <v>3424</v>
      </c>
      <c r="S4" s="3422">
        <f t="shared" si="0"/>
        <v>2055</v>
      </c>
    </row>
    <row r="5" spans="1:19" s="3249" customFormat="1" ht="12.75" customHeight="1">
      <c r="A5" s="3248" t="s">
        <v>3425</v>
      </c>
      <c r="B5" s="3248" t="s">
        <v>3041</v>
      </c>
      <c r="C5" s="3248" t="s">
        <v>3407</v>
      </c>
      <c r="D5" s="3248" t="s">
        <v>3425</v>
      </c>
      <c r="E5" s="3248" t="s">
        <v>3251</v>
      </c>
      <c r="F5" s="3248" t="s">
        <v>3426</v>
      </c>
      <c r="G5" s="3248" t="s">
        <v>3427</v>
      </c>
      <c r="H5" s="3248">
        <v>83672.59</v>
      </c>
      <c r="I5" s="3248">
        <v>75305.33</v>
      </c>
      <c r="J5" s="3248" t="s">
        <v>3428</v>
      </c>
      <c r="K5" s="3248" t="s">
        <v>3429</v>
      </c>
      <c r="L5" s="3248" t="s">
        <v>3430</v>
      </c>
      <c r="M5" s="3248">
        <v>9538.68</v>
      </c>
      <c r="N5" s="3248">
        <v>76</v>
      </c>
      <c r="O5" s="3248">
        <v>1266.67</v>
      </c>
      <c r="P5" s="3248">
        <v>0</v>
      </c>
      <c r="Q5" s="3248" t="s">
        <v>3424</v>
      </c>
      <c r="S5" s="3249">
        <f t="shared" si="0"/>
        <v>1140</v>
      </c>
    </row>
    <row r="6" spans="1:19" s="3249" customFormat="1">
      <c r="A6" s="3248" t="s">
        <v>3425</v>
      </c>
      <c r="B6" s="3248" t="s">
        <v>3041</v>
      </c>
      <c r="C6" s="3248" t="s">
        <v>3407</v>
      </c>
      <c r="D6" s="3248" t="s">
        <v>3425</v>
      </c>
      <c r="E6" s="3248" t="s">
        <v>3251</v>
      </c>
      <c r="F6" s="3248" t="s">
        <v>3431</v>
      </c>
      <c r="G6" s="3248" t="s">
        <v>3427</v>
      </c>
      <c r="H6" s="3248">
        <v>79580.960000000006</v>
      </c>
      <c r="I6" s="3248">
        <v>71622.86</v>
      </c>
      <c r="J6" s="3248" t="s">
        <v>3428</v>
      </c>
      <c r="K6" s="3248" t="s">
        <v>3432</v>
      </c>
      <c r="L6" s="3248" t="s">
        <v>3430</v>
      </c>
      <c r="M6" s="3248">
        <v>9072.2199999999993</v>
      </c>
      <c r="N6" s="3248">
        <v>76</v>
      </c>
      <c r="O6" s="3248">
        <v>1266.67</v>
      </c>
      <c r="P6" s="3248">
        <v>0</v>
      </c>
      <c r="Q6" s="3248" t="s">
        <v>3424</v>
      </c>
      <c r="S6" s="3249">
        <f t="shared" si="0"/>
        <v>1140</v>
      </c>
    </row>
    <row r="7" spans="1:19" s="3426" customFormat="1">
      <c r="A7" s="3425" t="s">
        <v>3433</v>
      </c>
      <c r="B7" s="3425" t="s">
        <v>3041</v>
      </c>
      <c r="C7" s="3425" t="s">
        <v>3407</v>
      </c>
      <c r="D7" s="3425" t="s">
        <v>3433</v>
      </c>
      <c r="E7" s="3425" t="s">
        <v>3251</v>
      </c>
      <c r="F7" s="3425" t="s">
        <v>3434</v>
      </c>
      <c r="G7" s="3425" t="s">
        <v>3435</v>
      </c>
      <c r="H7" s="3425">
        <v>258161.9</v>
      </c>
      <c r="I7" s="3425">
        <v>464691.4</v>
      </c>
      <c r="J7" s="3425" t="s">
        <v>3436</v>
      </c>
      <c r="K7" s="3425" t="s">
        <v>3437</v>
      </c>
      <c r="L7" s="3425" t="s">
        <v>3117</v>
      </c>
      <c r="M7" s="3425">
        <v>12779.01</v>
      </c>
      <c r="N7" s="3425">
        <v>33</v>
      </c>
      <c r="O7" s="3425">
        <v>275</v>
      </c>
      <c r="P7" s="3425">
        <v>0</v>
      </c>
      <c r="Q7" s="3425" t="s">
        <v>3438</v>
      </c>
      <c r="S7" s="3426">
        <f t="shared" si="0"/>
        <v>495</v>
      </c>
    </row>
    <row r="8" spans="1:19" s="3426" customFormat="1">
      <c r="A8" s="3425" t="s">
        <v>3439</v>
      </c>
      <c r="B8" s="3425" t="s">
        <v>3041</v>
      </c>
      <c r="C8" s="3425" t="s">
        <v>3407</v>
      </c>
      <c r="D8" s="3425" t="s">
        <v>3439</v>
      </c>
      <c r="E8" s="3425" t="s">
        <v>3251</v>
      </c>
      <c r="F8" s="3425" t="s">
        <v>3440</v>
      </c>
      <c r="G8" s="3425" t="s">
        <v>3435</v>
      </c>
      <c r="H8" s="3425">
        <v>531755.4</v>
      </c>
      <c r="I8" s="3425">
        <v>212702.2</v>
      </c>
      <c r="J8" s="3425" t="s">
        <v>3441</v>
      </c>
      <c r="K8" s="3425" t="s">
        <v>3437</v>
      </c>
      <c r="L8" s="3425" t="s">
        <v>3117</v>
      </c>
      <c r="M8" s="3425">
        <v>22333.72</v>
      </c>
      <c r="N8" s="3425">
        <v>28</v>
      </c>
      <c r="O8" s="3425">
        <v>1050</v>
      </c>
      <c r="P8" s="3425">
        <v>0</v>
      </c>
      <c r="Q8" s="3425" t="s">
        <v>3438</v>
      </c>
      <c r="S8" s="3426">
        <f t="shared" si="0"/>
        <v>420</v>
      </c>
    </row>
    <row r="9" spans="1:19" s="3426" customFormat="1">
      <c r="A9" s="3425" t="s">
        <v>3442</v>
      </c>
      <c r="B9" s="3425" t="s">
        <v>3041</v>
      </c>
      <c r="C9" s="3425" t="s">
        <v>3407</v>
      </c>
      <c r="D9" s="3425" t="s">
        <v>3442</v>
      </c>
      <c r="E9" s="3425" t="s">
        <v>3251</v>
      </c>
      <c r="F9" s="3425" t="s">
        <v>3443</v>
      </c>
      <c r="G9" s="3425" t="s">
        <v>3444</v>
      </c>
      <c r="H9" s="3425">
        <v>53530.59</v>
      </c>
      <c r="I9" s="3425">
        <v>96355.06</v>
      </c>
      <c r="J9" s="3425" t="s">
        <v>3436</v>
      </c>
      <c r="K9" s="3425" t="s">
        <v>3437</v>
      </c>
      <c r="L9" s="3425" t="s">
        <v>3117</v>
      </c>
      <c r="M9" s="3425">
        <v>3854.19</v>
      </c>
      <c r="N9" s="3425">
        <v>48</v>
      </c>
      <c r="O9" s="3425">
        <v>400</v>
      </c>
      <c r="P9" s="3425">
        <v>0</v>
      </c>
      <c r="Q9" s="3425" t="s">
        <v>3438</v>
      </c>
      <c r="S9" s="3426">
        <f t="shared" si="0"/>
        <v>720</v>
      </c>
    </row>
    <row r="10" spans="1:19" s="3426" customFormat="1">
      <c r="A10" s="3425" t="s">
        <v>3445</v>
      </c>
      <c r="B10" s="3425" t="s">
        <v>3041</v>
      </c>
      <c r="C10" s="3425" t="s">
        <v>3407</v>
      </c>
      <c r="D10" s="3425" t="s">
        <v>3445</v>
      </c>
      <c r="E10" s="3425" t="s">
        <v>3251</v>
      </c>
      <c r="F10" s="3425" t="s">
        <v>3446</v>
      </c>
      <c r="G10" s="3425" t="s">
        <v>3447</v>
      </c>
      <c r="H10" s="3425">
        <v>186238.2</v>
      </c>
      <c r="I10" s="3425">
        <v>130366.7</v>
      </c>
      <c r="J10" s="3425" t="s">
        <v>3448</v>
      </c>
      <c r="K10" s="3425" t="s">
        <v>3437</v>
      </c>
      <c r="L10" s="3425" t="s">
        <v>3117</v>
      </c>
      <c r="M10" s="3425">
        <v>10056.86</v>
      </c>
      <c r="N10" s="3425">
        <v>36</v>
      </c>
      <c r="O10" s="3425">
        <v>771.42</v>
      </c>
      <c r="P10" s="3425">
        <v>0</v>
      </c>
      <c r="Q10" s="3425" t="s">
        <v>3438</v>
      </c>
      <c r="S10" s="3426">
        <f t="shared" si="0"/>
        <v>540</v>
      </c>
    </row>
    <row r="11" spans="1:19" s="3426" customFormat="1">
      <c r="A11" s="3425" t="s">
        <v>3111</v>
      </c>
      <c r="B11" s="3425" t="s">
        <v>3041</v>
      </c>
      <c r="C11" s="3425" t="s">
        <v>3407</v>
      </c>
      <c r="D11" s="3425" t="s">
        <v>3111</v>
      </c>
      <c r="E11" s="3425" t="s">
        <v>3043</v>
      </c>
      <c r="F11" s="3425" t="s">
        <v>3449</v>
      </c>
      <c r="G11" s="3425" t="s">
        <v>3444</v>
      </c>
      <c r="H11" s="3425">
        <v>6889.19</v>
      </c>
      <c r="I11" s="3425">
        <v>6889.19</v>
      </c>
      <c r="J11" s="3425" t="s">
        <v>3450</v>
      </c>
      <c r="K11" s="3425" t="s">
        <v>3116</v>
      </c>
      <c r="L11" s="3425" t="s">
        <v>3117</v>
      </c>
      <c r="M11" s="3425">
        <v>516.69000000000005</v>
      </c>
      <c r="N11" s="3425">
        <v>50</v>
      </c>
      <c r="O11" s="3425">
        <v>750</v>
      </c>
      <c r="P11" s="3425">
        <v>0</v>
      </c>
      <c r="Q11" s="3425" t="s">
        <v>3438</v>
      </c>
      <c r="S11" s="3426">
        <f t="shared" si="0"/>
        <v>750</v>
      </c>
    </row>
    <row r="12" spans="1:19" s="3426" customFormat="1">
      <c r="A12" s="3425" t="s">
        <v>3451</v>
      </c>
      <c r="B12" s="3425" t="s">
        <v>3041</v>
      </c>
      <c r="C12" s="3425" t="s">
        <v>3407</v>
      </c>
      <c r="D12" s="3425" t="s">
        <v>3451</v>
      </c>
      <c r="E12" s="3425" t="s">
        <v>3043</v>
      </c>
      <c r="F12" s="3425" t="s">
        <v>3452</v>
      </c>
      <c r="G12" s="3425" t="s">
        <v>3444</v>
      </c>
      <c r="H12" s="3425">
        <v>15836.9</v>
      </c>
      <c r="I12" s="3425">
        <v>15836.9</v>
      </c>
      <c r="J12" s="3425" t="s">
        <v>3450</v>
      </c>
      <c r="K12" s="3425" t="s">
        <v>3116</v>
      </c>
      <c r="L12" s="3425" t="s">
        <v>3117</v>
      </c>
      <c r="M12" s="3425">
        <v>926.46</v>
      </c>
      <c r="N12" s="3425">
        <v>39</v>
      </c>
      <c r="O12" s="3425">
        <v>585</v>
      </c>
      <c r="P12" s="3425">
        <v>0</v>
      </c>
      <c r="Q12" s="3425" t="s">
        <v>3438</v>
      </c>
      <c r="S12" s="3426">
        <f t="shared" si="0"/>
        <v>585</v>
      </c>
    </row>
    <row r="13" spans="1:19" s="3420" customFormat="1">
      <c r="A13" s="3419" t="s">
        <v>3453</v>
      </c>
      <c r="B13" s="3419" t="s">
        <v>3041</v>
      </c>
      <c r="C13" s="3419" t="s">
        <v>3407</v>
      </c>
      <c r="D13" s="3419" t="s">
        <v>3453</v>
      </c>
      <c r="E13" s="3419" t="s">
        <v>3251</v>
      </c>
      <c r="F13" s="3419" t="s">
        <v>3454</v>
      </c>
      <c r="G13" s="3419" t="s">
        <v>3435</v>
      </c>
      <c r="H13" s="3419">
        <v>29606.37</v>
      </c>
      <c r="I13" s="3419">
        <v>59212.74</v>
      </c>
      <c r="J13" s="3419" t="s">
        <v>3455</v>
      </c>
      <c r="K13" s="3419" t="s">
        <v>3456</v>
      </c>
      <c r="L13" s="3419" t="s">
        <v>3457</v>
      </c>
      <c r="M13" s="3419">
        <v>3108.67</v>
      </c>
      <c r="N13" s="3419">
        <v>70</v>
      </c>
      <c r="O13" s="3419">
        <v>525</v>
      </c>
      <c r="P13" s="3419">
        <v>0</v>
      </c>
      <c r="Q13" s="3419" t="s">
        <v>3424</v>
      </c>
      <c r="S13" s="3420">
        <f t="shared" si="0"/>
        <v>1050</v>
      </c>
    </row>
    <row r="14" spans="1:19" s="3420" customFormat="1">
      <c r="A14" s="3419" t="s">
        <v>3149</v>
      </c>
      <c r="B14" s="3419" t="s">
        <v>3041</v>
      </c>
      <c r="C14" s="3419" t="s">
        <v>3407</v>
      </c>
      <c r="D14" s="3419" t="s">
        <v>3149</v>
      </c>
      <c r="E14" s="3419" t="s">
        <v>3043</v>
      </c>
      <c r="F14" s="3419" t="s">
        <v>3458</v>
      </c>
      <c r="G14" s="3419" t="s">
        <v>3415</v>
      </c>
      <c r="H14" s="3419">
        <v>11366.89</v>
      </c>
      <c r="I14" s="3419">
        <v>22733.78</v>
      </c>
      <c r="J14" s="3419" t="s">
        <v>3455</v>
      </c>
      <c r="K14" s="3419" t="s">
        <v>3459</v>
      </c>
      <c r="L14" s="3419" t="s">
        <v>3460</v>
      </c>
      <c r="M14" s="3419">
        <v>1960.77</v>
      </c>
      <c r="N14" s="3419">
        <v>115</v>
      </c>
      <c r="O14" s="3419">
        <v>862.5</v>
      </c>
      <c r="P14" s="3419">
        <v>0</v>
      </c>
      <c r="Q14" s="3419" t="s">
        <v>3424</v>
      </c>
      <c r="S14" s="3420">
        <f t="shared" si="0"/>
        <v>1725</v>
      </c>
    </row>
    <row r="15" spans="1:19" s="3249" customFormat="1">
      <c r="A15" s="3248" t="s">
        <v>3461</v>
      </c>
      <c r="B15" s="3248" t="s">
        <v>3041</v>
      </c>
      <c r="C15" s="3248" t="s">
        <v>3407</v>
      </c>
      <c r="D15" s="3248" t="s">
        <v>3461</v>
      </c>
      <c r="E15" s="3248" t="s">
        <v>3251</v>
      </c>
      <c r="F15" s="3248" t="s">
        <v>3462</v>
      </c>
      <c r="G15" s="3248" t="s">
        <v>3415</v>
      </c>
      <c r="H15" s="3248">
        <v>136231</v>
      </c>
      <c r="I15" s="3248">
        <v>95361.73</v>
      </c>
      <c r="J15" s="3248" t="s">
        <v>3448</v>
      </c>
      <c r="K15" s="3248" t="s">
        <v>3463</v>
      </c>
      <c r="L15" s="3248" t="s">
        <v>3464</v>
      </c>
      <c r="M15" s="3248">
        <v>15734.69</v>
      </c>
      <c r="N15" s="3248">
        <v>77</v>
      </c>
      <c r="O15" s="3248">
        <v>1650</v>
      </c>
      <c r="P15" s="3248">
        <v>0</v>
      </c>
      <c r="Q15" s="3248" t="s">
        <v>3424</v>
      </c>
      <c r="S15" s="3249">
        <f t="shared" si="0"/>
        <v>1155</v>
      </c>
    </row>
    <row r="16" spans="1:19">
      <c r="A16" s="3208" t="s">
        <v>3465</v>
      </c>
      <c r="B16" s="3208" t="s">
        <v>3041</v>
      </c>
      <c r="C16" s="3208" t="s">
        <v>3407</v>
      </c>
      <c r="D16" s="3208" t="s">
        <v>3465</v>
      </c>
      <c r="E16" s="3208" t="s">
        <v>3251</v>
      </c>
      <c r="F16" s="3208" t="s">
        <v>3466</v>
      </c>
      <c r="G16" s="3208" t="s">
        <v>3415</v>
      </c>
      <c r="H16" s="3208">
        <v>41741.71</v>
      </c>
      <c r="I16" s="3208">
        <v>29219.200000000001</v>
      </c>
      <c r="J16" s="3208" t="s">
        <v>3448</v>
      </c>
      <c r="K16" s="3208" t="s">
        <v>3463</v>
      </c>
      <c r="L16" s="3208" t="s">
        <v>3464</v>
      </c>
      <c r="M16" s="3208">
        <v>4821.17</v>
      </c>
      <c r="N16" s="3208">
        <v>77</v>
      </c>
      <c r="O16" s="3208">
        <v>1650</v>
      </c>
      <c r="P16" s="3208">
        <v>0</v>
      </c>
      <c r="Q16" s="3208" t="s">
        <v>3424</v>
      </c>
      <c r="S16">
        <f t="shared" si="0"/>
        <v>1155</v>
      </c>
    </row>
    <row r="17" spans="1:19" s="3420" customFormat="1">
      <c r="A17" s="3419" t="s">
        <v>3467</v>
      </c>
      <c r="B17" s="3419" t="s">
        <v>3041</v>
      </c>
      <c r="C17" s="3419" t="s">
        <v>3407</v>
      </c>
      <c r="D17" s="3419" t="s">
        <v>3467</v>
      </c>
      <c r="E17" s="3419" t="s">
        <v>3043</v>
      </c>
      <c r="F17" s="3419" t="s">
        <v>3468</v>
      </c>
      <c r="G17" s="3419" t="s">
        <v>3415</v>
      </c>
      <c r="H17" s="3419">
        <v>5290.85</v>
      </c>
      <c r="I17" s="3419">
        <v>9523.5300000000007</v>
      </c>
      <c r="J17" s="3419" t="s">
        <v>3436</v>
      </c>
      <c r="K17" s="3419" t="s">
        <v>3469</v>
      </c>
      <c r="L17" s="3419" t="s">
        <v>3470</v>
      </c>
      <c r="M17" s="3419">
        <v>912.66</v>
      </c>
      <c r="N17" s="3419">
        <v>115</v>
      </c>
      <c r="O17" s="3419">
        <v>958.33</v>
      </c>
      <c r="P17" s="3419">
        <v>0</v>
      </c>
      <c r="Q17" s="3419" t="s">
        <v>3424</v>
      </c>
      <c r="S17" s="3420">
        <f t="shared" si="0"/>
        <v>1725</v>
      </c>
    </row>
    <row r="18" spans="1:19">
      <c r="A18" s="3208" t="s">
        <v>3471</v>
      </c>
      <c r="B18" s="3208" t="s">
        <v>3041</v>
      </c>
      <c r="C18" s="3208" t="s">
        <v>3407</v>
      </c>
      <c r="D18" s="3208" t="s">
        <v>3471</v>
      </c>
      <c r="E18" s="3208" t="s">
        <v>3043</v>
      </c>
      <c r="F18" s="3208" t="s">
        <v>3472</v>
      </c>
      <c r="G18" s="3208" t="s">
        <v>3444</v>
      </c>
      <c r="H18" s="3208">
        <v>3933.75</v>
      </c>
      <c r="I18" s="3208">
        <v>7867.5</v>
      </c>
      <c r="J18" s="3208" t="s">
        <v>3455</v>
      </c>
      <c r="K18" s="3208" t="s">
        <v>3473</v>
      </c>
      <c r="L18" s="3208" t="s">
        <v>3474</v>
      </c>
      <c r="M18" s="3208">
        <v>336.32</v>
      </c>
      <c r="N18" s="3208">
        <v>57</v>
      </c>
      <c r="O18" s="3208">
        <v>427.49</v>
      </c>
      <c r="P18" s="3208">
        <v>0</v>
      </c>
      <c r="Q18" s="3208" t="s">
        <v>3438</v>
      </c>
      <c r="S18">
        <f t="shared" si="0"/>
        <v>855</v>
      </c>
    </row>
    <row r="19" spans="1:19">
      <c r="A19" s="3208" t="s">
        <v>3213</v>
      </c>
      <c r="B19" s="3208" t="s">
        <v>3041</v>
      </c>
      <c r="C19" s="3208" t="s">
        <v>3407</v>
      </c>
      <c r="D19" s="3208" t="s">
        <v>3213</v>
      </c>
      <c r="E19" s="3208" t="s">
        <v>3043</v>
      </c>
      <c r="F19" s="3208" t="s">
        <v>3475</v>
      </c>
      <c r="G19" s="3208" t="s">
        <v>3415</v>
      </c>
      <c r="H19" s="3208">
        <v>14157.33</v>
      </c>
      <c r="I19" s="3208">
        <v>16988.8</v>
      </c>
      <c r="J19" s="3208" t="s">
        <v>3476</v>
      </c>
      <c r="K19" s="3208" t="s">
        <v>3209</v>
      </c>
      <c r="L19" s="3208" t="s">
        <v>3117</v>
      </c>
      <c r="M19" s="3208">
        <v>870.67</v>
      </c>
      <c r="N19" s="3208">
        <v>41</v>
      </c>
      <c r="O19" s="3208">
        <v>512.5</v>
      </c>
      <c r="P19" s="3208">
        <v>0</v>
      </c>
      <c r="Q19" s="3208" t="s">
        <v>3477</v>
      </c>
      <c r="S19">
        <f t="shared" si="0"/>
        <v>615</v>
      </c>
    </row>
    <row r="20" spans="1:19" s="3249" customFormat="1">
      <c r="A20" s="3248" t="s">
        <v>3478</v>
      </c>
      <c r="B20" s="3248" t="s">
        <v>3041</v>
      </c>
      <c r="C20" s="3248" t="s">
        <v>3407</v>
      </c>
      <c r="D20" s="3248" t="s">
        <v>3478</v>
      </c>
      <c r="E20" s="3248" t="s">
        <v>3251</v>
      </c>
      <c r="F20" s="3248" t="s">
        <v>3479</v>
      </c>
      <c r="G20" s="3248" t="s">
        <v>3435</v>
      </c>
      <c r="H20" s="3248">
        <v>31945.360000000001</v>
      </c>
      <c r="I20" s="3248">
        <v>15972.68</v>
      </c>
      <c r="J20" s="3248" t="s">
        <v>3480</v>
      </c>
      <c r="K20" s="3248" t="s">
        <v>3481</v>
      </c>
      <c r="L20" s="3248" t="s">
        <v>3264</v>
      </c>
      <c r="M20" s="3248">
        <v>3210.51</v>
      </c>
      <c r="N20" s="3248">
        <v>67</v>
      </c>
      <c r="O20" s="3248">
        <v>2010</v>
      </c>
      <c r="P20" s="3248">
        <v>0</v>
      </c>
      <c r="Q20" s="3248" t="s">
        <v>3424</v>
      </c>
      <c r="S20" s="3249">
        <f t="shared" si="0"/>
        <v>1005</v>
      </c>
    </row>
    <row r="21" spans="1:19">
      <c r="A21" s="3208" t="s">
        <v>3478</v>
      </c>
      <c r="B21" s="3208" t="s">
        <v>3041</v>
      </c>
      <c r="C21" s="3208" t="s">
        <v>3407</v>
      </c>
      <c r="D21" s="3208" t="s">
        <v>3478</v>
      </c>
      <c r="E21" s="3208" t="s">
        <v>3251</v>
      </c>
      <c r="F21" s="3208" t="s">
        <v>3482</v>
      </c>
      <c r="G21" s="3208" t="s">
        <v>3447</v>
      </c>
      <c r="H21" s="3208">
        <v>134144</v>
      </c>
      <c r="I21" s="3208">
        <v>53657.59</v>
      </c>
      <c r="J21" s="3208" t="s">
        <v>3441</v>
      </c>
      <c r="K21" s="3208" t="s">
        <v>3481</v>
      </c>
      <c r="L21" s="3208" t="s">
        <v>3264</v>
      </c>
      <c r="M21" s="3208">
        <v>13481.46</v>
      </c>
      <c r="N21" s="3208">
        <v>67</v>
      </c>
      <c r="O21" s="3208">
        <v>2512.5</v>
      </c>
      <c r="P21" s="3208">
        <v>0</v>
      </c>
      <c r="Q21" s="3208" t="s">
        <v>3424</v>
      </c>
      <c r="S21">
        <f t="shared" si="0"/>
        <v>1005</v>
      </c>
    </row>
    <row r="22" spans="1:19">
      <c r="A22" s="3208" t="s">
        <v>3478</v>
      </c>
      <c r="B22" s="3208" t="s">
        <v>3041</v>
      </c>
      <c r="C22" s="3208" t="s">
        <v>3407</v>
      </c>
      <c r="D22" s="3208" t="s">
        <v>3478</v>
      </c>
      <c r="E22" s="3208" t="s">
        <v>3251</v>
      </c>
      <c r="F22" s="3208" t="s">
        <v>3483</v>
      </c>
      <c r="G22" s="3208" t="s">
        <v>3435</v>
      </c>
      <c r="H22" s="3208">
        <v>134143.97</v>
      </c>
      <c r="I22" s="3208">
        <v>53657.59</v>
      </c>
      <c r="J22" s="3208" t="s">
        <v>3441</v>
      </c>
      <c r="K22" s="3208" t="s">
        <v>3481</v>
      </c>
      <c r="L22" s="3208" t="s">
        <v>3264</v>
      </c>
      <c r="M22" s="3208">
        <v>13481.46</v>
      </c>
      <c r="N22" s="3208">
        <v>67</v>
      </c>
      <c r="O22" s="3208">
        <v>2512.5</v>
      </c>
      <c r="P22" s="3208" t="s">
        <v>2817</v>
      </c>
      <c r="Q22" s="3208" t="s">
        <v>3424</v>
      </c>
      <c r="S22">
        <f t="shared" si="0"/>
        <v>1005</v>
      </c>
    </row>
  </sheetData>
  <phoneticPr fontId="23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56.25">
      <c r="A7" s="1793" t="s">
        <v>2746</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2931</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都国用（2016）第7356号]证载土地终止日期为住宅2082年3月2日、商业2052年3月2日车库2062年3月2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3.5"/>
  <sheetData/>
  <phoneticPr fontId="2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M33" sqref="M33"/>
    </sheetView>
  </sheetViews>
  <sheetFormatPr defaultRowHeight="13.5"/>
  <sheetData>
    <row r="1" spans="1:5">
      <c r="A1" s="3195" t="s">
        <v>2970</v>
      </c>
      <c r="B1" s="4231" t="s">
        <v>2971</v>
      </c>
      <c r="C1" s="4231"/>
      <c r="D1" s="4231"/>
      <c r="E1" s="4231"/>
    </row>
    <row r="2" spans="1:5" ht="14.25" thickBot="1">
      <c r="B2" s="3196" t="s">
        <v>2972</v>
      </c>
      <c r="C2" s="3197" t="s">
        <v>2973</v>
      </c>
      <c r="D2" s="3197" t="s">
        <v>2974</v>
      </c>
      <c r="E2" s="3197" t="s">
        <v>2975</v>
      </c>
    </row>
    <row r="3" spans="1:5">
      <c r="B3" s="3198">
        <v>2017.1</v>
      </c>
      <c r="C3" s="3200">
        <v>8049</v>
      </c>
      <c r="D3" s="3200">
        <v>0.83</v>
      </c>
      <c r="E3" s="3199"/>
    </row>
    <row r="4" spans="1:5">
      <c r="B4" s="3201">
        <v>2017.2</v>
      </c>
      <c r="C4" s="3203">
        <v>8393</v>
      </c>
      <c r="D4" s="3203">
        <v>4.2699999999999996</v>
      </c>
      <c r="E4" s="3202"/>
    </row>
    <row r="5" spans="1:5">
      <c r="B5" s="3198">
        <v>2017.3</v>
      </c>
      <c r="C5" s="3200">
        <v>8610</v>
      </c>
      <c r="D5" s="3200">
        <v>2.59</v>
      </c>
      <c r="E5" s="3199"/>
    </row>
    <row r="6" spans="1:5">
      <c r="B6" s="3201">
        <v>2017.4</v>
      </c>
      <c r="C6" s="3203">
        <v>8940</v>
      </c>
      <c r="D6" s="3203">
        <v>3.83</v>
      </c>
      <c r="E6" s="3202"/>
    </row>
    <row r="7" spans="1:5" ht="14.25">
      <c r="B7" s="3204">
        <v>2018.1</v>
      </c>
      <c r="C7" s="3205">
        <v>9144</v>
      </c>
      <c r="D7" s="3205">
        <v>2.2799999999999998</v>
      </c>
    </row>
    <row r="8" spans="1:5">
      <c r="A8" s="3195" t="s">
        <v>2977</v>
      </c>
      <c r="B8" s="4231" t="s">
        <v>2971</v>
      </c>
      <c r="C8" s="4231"/>
      <c r="D8" s="4231"/>
      <c r="E8" s="4231"/>
    </row>
    <row r="9" spans="1:5" ht="14.25" thickBot="1">
      <c r="B9" s="3196" t="s">
        <v>2972</v>
      </c>
      <c r="C9" s="3197" t="s">
        <v>2973</v>
      </c>
      <c r="D9" s="3197" t="s">
        <v>2974</v>
      </c>
      <c r="E9" s="3197" t="s">
        <v>2975</v>
      </c>
    </row>
    <row r="10" spans="1:5">
      <c r="B10" s="3198">
        <v>2017.1</v>
      </c>
      <c r="C10" s="3200">
        <v>10866</v>
      </c>
      <c r="D10" s="3200">
        <v>-0.36</v>
      </c>
      <c r="E10" s="3199"/>
    </row>
    <row r="11" spans="1:5">
      <c r="B11" s="3201">
        <v>2017.2</v>
      </c>
      <c r="C11" s="3203">
        <v>10913</v>
      </c>
      <c r="D11" s="3203">
        <v>0.43</v>
      </c>
      <c r="E11" s="3202"/>
    </row>
    <row r="12" spans="1:5">
      <c r="B12" s="3198">
        <v>2017.3</v>
      </c>
      <c r="C12" s="3200">
        <v>10901</v>
      </c>
      <c r="D12" s="3200">
        <v>-0.11</v>
      </c>
      <c r="E12" s="3199"/>
    </row>
    <row r="13" spans="1:5">
      <c r="B13" s="3201">
        <v>2017.4</v>
      </c>
      <c r="C13" s="3203">
        <v>11054</v>
      </c>
      <c r="D13" s="3203">
        <v>1.4</v>
      </c>
      <c r="E13" s="3202"/>
    </row>
    <row r="14" spans="1:5" ht="14.25">
      <c r="B14" s="3204">
        <v>2018.1</v>
      </c>
      <c r="C14" s="3205">
        <v>11277</v>
      </c>
      <c r="D14" s="3205">
        <v>2.02</v>
      </c>
    </row>
  </sheetData>
  <mergeCells count="2">
    <mergeCell ref="B1:E1"/>
    <mergeCell ref="B8:E8"/>
  </mergeCells>
  <phoneticPr fontId="2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11</v>
      </c>
    </row>
    <row r="2" spans="1:31" s="2039" customFormat="1" ht="18" customHeight="1">
      <c r="A2" s="2099" t="s">
        <v>467</v>
      </c>
      <c r="B2" s="2103">
        <f ca="1">C36</f>
        <v>175512</v>
      </c>
      <c r="C2" s="2102"/>
      <c r="D2" s="2102"/>
      <c r="E2" s="2102"/>
      <c r="F2" s="2102"/>
      <c r="G2" s="2102"/>
      <c r="H2" s="2102"/>
      <c r="I2" s="2102"/>
      <c r="J2" s="2102"/>
      <c r="K2" s="2102"/>
    </row>
    <row r="3" spans="1:31" s="2039" customFormat="1" ht="18" customHeight="1">
      <c r="A3" s="2104" t="s">
        <v>1684</v>
      </c>
      <c r="B3" s="2105">
        <f ca="1">ROUND(B2*10000/IF(B1="",'数据-汇总表'!E3,INDIRECT("'数据-取费表'!K"&amp;$K$1)),0)</f>
        <v>3927</v>
      </c>
      <c r="C3" s="2102"/>
      <c r="D3" s="2102"/>
      <c r="E3" s="2102"/>
      <c r="F3" s="2102"/>
      <c r="G3" s="2102"/>
      <c r="H3" s="2102"/>
      <c r="I3" s="2102"/>
      <c r="J3" s="2102"/>
      <c r="K3" s="2102"/>
    </row>
    <row r="4" spans="1:31" s="2039" customFormat="1" ht="18" customHeight="1">
      <c r="A4" s="424" t="s">
        <v>468</v>
      </c>
      <c r="B4" s="425">
        <f ca="1">ROUND(B2*10000/IF(B1="",'数据-汇总表'!D3,INDIRECT("'数据-取费表'!R"&amp;$K$1)),0)</f>
        <v>4279</v>
      </c>
      <c r="C4" s="426"/>
      <c r="D4" s="420"/>
      <c r="E4" s="420"/>
      <c r="F4" s="420"/>
      <c r="G4" s="420"/>
      <c r="H4" s="420"/>
      <c r="I4" s="420"/>
      <c r="J4" s="420"/>
      <c r="K4" s="420"/>
    </row>
    <row r="5" spans="1:31" s="2039" customFormat="1" ht="18" customHeight="1" thickBot="1">
      <c r="A5" s="427"/>
      <c r="B5" s="428">
        <f ca="1">ROUND(B2/(IF(B1="",'数据-汇总表'!D3,INDIRECT("'数据-取费表'!R"&amp;$K$1))/666.67),0)</f>
        <v>285</v>
      </c>
      <c r="C5" s="429" t="s">
        <v>469</v>
      </c>
      <c r="D5" s="420"/>
      <c r="E5" s="420"/>
      <c r="F5" s="420"/>
      <c r="G5" s="420"/>
      <c r="H5" s="420"/>
      <c r="I5" s="420"/>
      <c r="J5" s="420"/>
      <c r="K5" s="420"/>
    </row>
    <row r="6" spans="1:31" s="2109" customFormat="1" ht="16.5" customHeight="1">
      <c r="A6" s="2850" t="s">
        <v>1842</v>
      </c>
      <c r="B6" s="2851"/>
      <c r="C6" s="2852">
        <f ca="1">SUM(C10:K10)</f>
        <v>446862</v>
      </c>
      <c r="D6" s="2851"/>
      <c r="E6" s="2851"/>
      <c r="F6" s="2851"/>
      <c r="G6" s="2851"/>
      <c r="H6" s="2851"/>
      <c r="I6" s="2851"/>
      <c r="J6" s="2851"/>
      <c r="K6" s="2853"/>
    </row>
    <row r="7" spans="1:31" s="2111" customFormat="1" ht="15">
      <c r="A7" s="2854" t="s">
        <v>470</v>
      </c>
      <c r="B7" s="2855" t="s">
        <v>471</v>
      </c>
      <c r="C7" s="434" t="s">
        <v>3492</v>
      </c>
      <c r="D7" s="434" t="s">
        <v>3646</v>
      </c>
      <c r="E7" s="434" t="s">
        <v>2976</v>
      </c>
      <c r="F7" s="434" t="s">
        <v>922</v>
      </c>
      <c r="G7" s="434" t="s">
        <v>35</v>
      </c>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6">
        <f ca="1">'不动产收益法（酒店）'!B3</f>
        <v>18430</v>
      </c>
      <c r="D8" s="2856">
        <f ca="1">'不动产收益法（公寓）'!B3</f>
        <v>11069</v>
      </c>
      <c r="E8" s="2856">
        <f ca="1">'不动产收益法（配套商业）'!B3</f>
        <v>13734</v>
      </c>
      <c r="F8" s="2856">
        <f>'不动产比较法-住宅 (联排)'!B3</f>
        <v>11964</v>
      </c>
      <c r="G8" s="2856">
        <f ca="1">'不动产收益法（地下车位）'!B3</f>
        <v>2764</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46645.67</v>
      </c>
      <c r="D9" s="439">
        <f>SUMIF('数据-汇总表'!$C19:$C33,'剩余法-待开发'!D7,'数据-汇总表'!$E19:$E33)</f>
        <v>121226.54</v>
      </c>
      <c r="E9" s="439">
        <f>SUMIF('数据-汇总表'!$C19:$C33,'剩余法-待开发'!E7,'数据-汇总表'!$E19:$E33)</f>
        <v>15000.31</v>
      </c>
      <c r="F9" s="439">
        <f>SUMIF('数据-汇总表'!$C19:$C33,'剩余法-待开发'!F7,'数据-汇总表'!$E19:$E33)</f>
        <v>152691.87</v>
      </c>
      <c r="G9" s="439">
        <f>SUMIF('数据-汇总表'!$C19:$C33,'剩余法-待开发'!G7,'数据-汇总表'!$E19:$E33)</f>
        <v>84751.42</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49">
        <f ca="1">'不动产收益法（酒店）'!B2</f>
        <v>85968</v>
      </c>
      <c r="D10" s="3049">
        <f ca="1">'不动产收益法（公寓）'!B2</f>
        <v>134186</v>
      </c>
      <c r="E10" s="3049">
        <f ca="1">'不动产收益法（配套商业）'!B2</f>
        <v>20602</v>
      </c>
      <c r="F10" s="2859">
        <f>'不动产比较法-住宅 (联排)'!B2</f>
        <v>182681</v>
      </c>
      <c r="G10" s="2859">
        <f ca="1">'不动产收益法（地下车位）'!B2</f>
        <v>23425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8">
        <f ca="1">IF(B1="",'数据-取费表'!P16,INDIRECT("'数据-取费表'!p"&amp;$K$1)+INDIRECT("'数据-取费表'!t"&amp;$K$1))</f>
        <v>121795</v>
      </c>
      <c r="D13" s="2866"/>
      <c r="E13" s="2867"/>
      <c r="F13" s="2868"/>
      <c r="G13" s="2834"/>
      <c r="H13" s="2835"/>
      <c r="I13" s="2835"/>
      <c r="J13" s="2835"/>
      <c r="K13" s="2836"/>
    </row>
    <row r="14" spans="1:31" s="2114" customFormat="1" ht="13.5" customHeight="1">
      <c r="A14" s="2864" t="s">
        <v>1849</v>
      </c>
      <c r="B14" s="2865" t="s">
        <v>480</v>
      </c>
      <c r="C14" s="53">
        <f ca="1">ROUND(C13*F14,0)</f>
        <v>3654</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1374</v>
      </c>
      <c r="D15" s="2866"/>
      <c r="E15" s="2867"/>
      <c r="F15" s="2869">
        <f>'数据-取费表'!B34</f>
        <v>0.05</v>
      </c>
      <c r="G15" s="2834" t="s">
        <v>483</v>
      </c>
      <c r="H15" s="2835"/>
      <c r="I15" s="2835"/>
      <c r="J15" s="2835"/>
      <c r="K15" s="2836"/>
    </row>
    <row r="16" spans="1:31" s="2115" customFormat="1" ht="13.5" customHeight="1">
      <c r="A16" s="2864" t="s">
        <v>1851</v>
      </c>
      <c r="B16" s="2865" t="s">
        <v>484</v>
      </c>
      <c r="C16" s="53">
        <f ca="1">ROUND(D16*E16/10000,0)</f>
        <v>8939</v>
      </c>
      <c r="D16" s="2866">
        <f ca="1">IF(B1="",'数据-汇总表'!E3,INDIRECT("'数据-取费表'!K"&amp;$K$1)+INDIRECT("'数据-取费表'!S"&amp;$K$1))</f>
        <v>446955.26</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1827</v>
      </c>
      <c r="D17" s="473"/>
      <c r="E17" s="2870"/>
      <c r="F17" s="2871">
        <f>'数据-取费表'!B36</f>
        <v>1.4999999999999999E-2</v>
      </c>
      <c r="G17" s="259" t="s">
        <v>486</v>
      </c>
      <c r="H17" s="2837"/>
      <c r="I17" s="2837"/>
      <c r="J17" s="2837"/>
      <c r="K17" s="277"/>
    </row>
    <row r="18" spans="1:14" s="2114" customFormat="1" ht="13.5" customHeight="1">
      <c r="A18" s="2872" t="s">
        <v>1853</v>
      </c>
      <c r="B18" s="2873" t="s">
        <v>487</v>
      </c>
      <c r="C18" s="2874">
        <f ca="1">SUM(C13:C17)</f>
        <v>137589</v>
      </c>
      <c r="D18" s="2875"/>
      <c r="E18" s="466"/>
      <c r="F18" s="466"/>
      <c r="G18" s="2838" t="s">
        <v>2430</v>
      </c>
      <c r="H18" s="2839"/>
      <c r="I18" s="2839"/>
      <c r="J18" s="2839"/>
      <c r="K18" s="2840"/>
    </row>
    <row r="19" spans="1:14" s="2114" customFormat="1" ht="13.5" customHeight="1">
      <c r="A19" s="2872" t="s">
        <v>1854</v>
      </c>
      <c r="B19" s="2873" t="s">
        <v>488</v>
      </c>
      <c r="C19" s="2830">
        <f ca="1">ROUND(D19*E19/10000,0)</f>
        <v>0</v>
      </c>
      <c r="D19" s="2876">
        <f ca="1">D16</f>
        <v>446955.26</v>
      </c>
      <c r="E19" s="2830">
        <f>'数据-取费表'!B32</f>
        <v>0</v>
      </c>
      <c r="F19" s="466"/>
      <c r="G19" s="2834" t="s">
        <v>489</v>
      </c>
      <c r="H19" s="2835"/>
      <c r="I19" s="2839"/>
      <c r="J19" s="2839"/>
      <c r="K19" s="2840"/>
    </row>
    <row r="20" spans="1:14" s="2114" customFormat="1" ht="13.5" customHeight="1">
      <c r="A20" s="2872" t="s">
        <v>1855</v>
      </c>
      <c r="B20" s="2873" t="s">
        <v>490</v>
      </c>
      <c r="C20" s="2830">
        <f ca="1">C21+C22-IF(B1="",'数据-取费表'!B29,IF(G20="已全部缴纳",C21+C22,H20))</f>
        <v>5363</v>
      </c>
      <c r="D20" s="2876"/>
      <c r="E20" s="2830"/>
      <c r="F20" s="2877"/>
      <c r="G20" s="3108"/>
      <c r="H20" s="2832"/>
      <c r="I20" s="2833" t="s">
        <v>2650</v>
      </c>
      <c r="J20" s="2839"/>
      <c r="K20" s="2840"/>
    </row>
    <row r="21" spans="1:14" s="2114" customFormat="1" ht="13.5" customHeight="1">
      <c r="A21" s="2864" t="s">
        <v>1856</v>
      </c>
      <c r="B21" s="2865" t="s">
        <v>491</v>
      </c>
      <c r="C21" s="53">
        <f ca="1">ROUND(D21*E21/10000,0)</f>
        <v>1832</v>
      </c>
      <c r="D21" s="2866">
        <f ca="1">IF(B1="",'数据-汇总表'!E5,IF(INDIRECT("'数据-取费表'!c"&amp;$K$1)="住宅",INDIRECT("'数据-取费表'!k"&amp;$K$1),0))</f>
        <v>152691.87</v>
      </c>
      <c r="E21" s="53">
        <f>'数据-取费表'!B27</f>
        <v>120</v>
      </c>
      <c r="F21" s="2869"/>
      <c r="G21" s="26"/>
      <c r="H21" s="51"/>
      <c r="I21" s="51"/>
      <c r="J21" s="51"/>
      <c r="K21" s="2841"/>
    </row>
    <row r="22" spans="1:14" s="2114" customFormat="1" ht="13.5" customHeight="1">
      <c r="A22" s="2864" t="s">
        <v>1857</v>
      </c>
      <c r="B22" s="2865" t="s">
        <v>492</v>
      </c>
      <c r="C22" s="53">
        <f ca="1">ROUND(D22*E22/10000,0)</f>
        <v>3531</v>
      </c>
      <c r="D22" s="2866">
        <f ca="1">IF(B1="",'数据-汇总表'!E6,IF(INDIRECT("'数据-取费表'!c"&amp;$K$1)="住宅",INDIRECT("'数据-取费表'!s"&amp;$K$1),INDIRECT("'数据-取费表'!k"&amp;$K$1)+INDIRECT("'数据-取费表'!s"&amp;$K$1)))</f>
        <v>294263.39</v>
      </c>
      <c r="E22" s="53">
        <f>'数据-取费表'!B28</f>
        <v>120</v>
      </c>
      <c r="F22" s="2869"/>
      <c r="G22" s="26"/>
      <c r="H22" s="51"/>
      <c r="I22" s="51"/>
      <c r="J22" s="51"/>
      <c r="K22" s="2841"/>
    </row>
    <row r="23" spans="1:14" s="2114" customFormat="1" ht="13.5" customHeight="1">
      <c r="A23" s="2872" t="s">
        <v>1858</v>
      </c>
      <c r="B23" s="3055" t="s">
        <v>2833</v>
      </c>
      <c r="C23" s="2874">
        <f ca="1">ROUND((C18+C19+C20)*F23,0)</f>
        <v>2144</v>
      </c>
      <c r="D23" s="466"/>
      <c r="E23" s="466"/>
      <c r="F23" s="2878">
        <f>'数据-取费表'!B37</f>
        <v>1.4999999999999999E-2</v>
      </c>
      <c r="G23" s="2834" t="s">
        <v>2431</v>
      </c>
      <c r="H23" s="2835"/>
      <c r="I23" s="2835"/>
      <c r="J23" s="2835"/>
      <c r="K23" s="2836"/>
      <c r="L23" s="2116"/>
      <c r="M23" s="2116"/>
      <c r="N23" s="2116"/>
    </row>
    <row r="24" spans="1:14" s="2114" customFormat="1" ht="13.5" customHeight="1">
      <c r="A24" s="2872" t="s">
        <v>1859</v>
      </c>
      <c r="B24" s="3055" t="s">
        <v>2836</v>
      </c>
      <c r="C24" s="2874">
        <f ca="1">ROUND(C6*F24,0)</f>
        <v>8937</v>
      </c>
      <c r="D24" s="473"/>
      <c r="E24" s="471"/>
      <c r="F24" s="2878">
        <f>'数据-取费表'!B38</f>
        <v>0.02</v>
      </c>
      <c r="G24" s="2843" t="s">
        <v>499</v>
      </c>
      <c r="H24" s="2837"/>
      <c r="I24" s="2837"/>
      <c r="J24" s="2837"/>
      <c r="K24" s="277"/>
      <c r="L24" s="2116"/>
      <c r="M24" s="2116"/>
      <c r="N24" s="2116"/>
    </row>
    <row r="25" spans="1:14" s="2117" customFormat="1" ht="13.5" customHeight="1">
      <c r="A25" s="2872" t="s">
        <v>1860</v>
      </c>
      <c r="B25" s="3055" t="s">
        <v>2834</v>
      </c>
      <c r="C25" s="465">
        <f>ROUND(F25/(1+'数据-取费表'!C42),4)</f>
        <v>2.9000000000000001E-2</v>
      </c>
      <c r="D25" s="460" t="s">
        <v>2828</v>
      </c>
      <c r="E25" s="467"/>
      <c r="F25" s="2878">
        <f>'数据-取费表'!B48+'数据-取费表'!B49</f>
        <v>3.0499999999999999E-2</v>
      </c>
      <c r="G25" s="2842" t="s">
        <v>2291</v>
      </c>
      <c r="H25" s="2835"/>
      <c r="I25" s="2835"/>
      <c r="J25" s="2835"/>
      <c r="K25" s="2836"/>
    </row>
    <row r="26" spans="1:14" s="2116" customFormat="1" ht="13.5" customHeight="1">
      <c r="A26" s="2872" t="s">
        <v>1861</v>
      </c>
      <c r="B26" s="3056" t="s">
        <v>2835</v>
      </c>
      <c r="C26" s="2879">
        <f ca="1">C28</f>
        <v>13031</v>
      </c>
      <c r="D26" s="465">
        <f ca="1">C27</f>
        <v>0.18149999999999999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496</v>
      </c>
      <c r="C27" s="2881">
        <f ca="1">ROUND(IF('数据-取费表'!B22&lt;=1,(1+C25)*F26*'数据-取费表'!B24,(1+C25)*(POWER((1+F26),'数据-取费表'!B24)-1)),4)</f>
        <v>0.18149999999999999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1857</v>
      </c>
      <c r="B28" s="2880" t="s">
        <v>2837</v>
      </c>
      <c r="C28" s="2882">
        <f ca="1">ROUND(IF('数据-取费表'!B22&lt;=1,(C18+C19+C20+C23+C24)*F26*'数据-取费表'!B24/2,(C18+C19+C20+C23+C24)*(POWER((1+F26),'数据-取费表'!B24/2)-1)),0)</f>
        <v>13031</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1862</v>
      </c>
      <c r="B29" s="2873" t="s">
        <v>497</v>
      </c>
      <c r="C29" s="2874">
        <f ca="1">ROUND(C6*F29/(1+'数据-取费表'!C42),0)</f>
        <v>23833</v>
      </c>
      <c r="D29" s="466"/>
      <c r="E29" s="466"/>
      <c r="F29" s="3057">
        <f>'数据-取费表'!B41</f>
        <v>5.6000000000000001E-2</v>
      </c>
      <c r="G29" s="2843" t="s">
        <v>498</v>
      </c>
      <c r="H29" s="2835"/>
      <c r="I29" s="2835"/>
      <c r="J29" s="2835"/>
      <c r="K29" s="2836"/>
    </row>
    <row r="30" spans="1:14" s="2119" customFormat="1" ht="13.5" customHeight="1">
      <c r="A30" s="1632" t="s">
        <v>1863</v>
      </c>
      <c r="B30" s="2884" t="s">
        <v>500</v>
      </c>
      <c r="C30" s="2879">
        <f ca="1">C31</f>
        <v>190897</v>
      </c>
      <c r="D30" s="475">
        <f ca="1">C32</f>
        <v>0.21049999999999999</v>
      </c>
      <c r="E30" s="467" t="s">
        <v>495</v>
      </c>
      <c r="F30" s="469"/>
      <c r="G30" s="2842" t="s">
        <v>2962</v>
      </c>
      <c r="H30" s="2835"/>
      <c r="I30" s="2835"/>
      <c r="J30" s="2835"/>
      <c r="K30" s="2836"/>
    </row>
    <row r="31" spans="1:14" s="2118" customFormat="1" ht="13.5" customHeight="1">
      <c r="A31" s="801" t="s">
        <v>1856</v>
      </c>
      <c r="B31" s="2880"/>
      <c r="C31" s="448">
        <f ca="1">C18+C19+C20+C23+C24+C26+C29</f>
        <v>190897</v>
      </c>
      <c r="D31" s="470"/>
      <c r="E31" s="471"/>
      <c r="F31" s="472"/>
      <c r="G31" s="259"/>
      <c r="H31" s="2837"/>
      <c r="I31" s="2837"/>
      <c r="J31" s="2837"/>
      <c r="K31" s="277"/>
    </row>
    <row r="32" spans="1:14" s="2118" customFormat="1" ht="13.5" customHeight="1">
      <c r="A32" s="801" t="s">
        <v>1857</v>
      </c>
      <c r="B32" s="2880"/>
      <c r="C32" s="53">
        <f ca="1">ROUND(C25+D26,4)</f>
        <v>0.21049999999999999</v>
      </c>
      <c r="D32" s="470"/>
      <c r="E32" s="471"/>
      <c r="F32" s="472"/>
      <c r="G32" s="259"/>
      <c r="H32" s="2837"/>
      <c r="I32" s="2837"/>
      <c r="J32" s="2837"/>
      <c r="K32" s="277"/>
    </row>
    <row r="33" spans="1:11" s="2120" customFormat="1" ht="13.5" customHeight="1">
      <c r="A33" s="3054" t="s">
        <v>2832</v>
      </c>
      <c r="B33" s="3052" t="s">
        <v>2830</v>
      </c>
      <c r="C33" s="476">
        <f ca="1">C35</f>
        <v>20024</v>
      </c>
      <c r="D33" s="465">
        <f ca="1">C34</f>
        <v>0.1338</v>
      </c>
      <c r="E33" s="467" t="s">
        <v>495</v>
      </c>
      <c r="F33" s="477">
        <f ca="1">IF(B1="",'数据-取费表'!Q16,INDIRECT("'数据-取费表'!q"&amp;$K$1))</f>
        <v>0.13</v>
      </c>
      <c r="G33" s="2838"/>
      <c r="H33" s="2839"/>
      <c r="I33" s="2839"/>
      <c r="J33" s="2839"/>
      <c r="K33" s="2840"/>
    </row>
    <row r="34" spans="1:11" s="2121" customFormat="1" ht="13.5" customHeight="1">
      <c r="A34" s="373" t="s">
        <v>1856</v>
      </c>
      <c r="B34" s="2885" t="s">
        <v>501</v>
      </c>
      <c r="C34" s="470">
        <f ca="1">ROUND((1+C25)*F33,4)</f>
        <v>0.1338</v>
      </c>
      <c r="D34" s="470"/>
      <c r="E34" s="471"/>
      <c r="F34" s="478"/>
      <c r="G34" s="259" t="s">
        <v>2292</v>
      </c>
      <c r="H34" s="2837"/>
      <c r="I34" s="2837"/>
      <c r="J34" s="2837"/>
      <c r="K34" s="277"/>
    </row>
    <row r="35" spans="1:11" s="2121" customFormat="1" ht="13.5" customHeight="1" thickBot="1">
      <c r="A35" s="1633" t="s">
        <v>1857</v>
      </c>
      <c r="B35" s="3053" t="s">
        <v>2838</v>
      </c>
      <c r="C35" s="1625">
        <f ca="1">ROUND((C18+C19+C20+C23+C24)*F33,0)</f>
        <v>20024</v>
      </c>
      <c r="D35" s="1626"/>
      <c r="E35" s="2886"/>
      <c r="F35" s="1627"/>
      <c r="G35" s="2844"/>
      <c r="H35" s="2845"/>
      <c r="I35" s="2845"/>
      <c r="J35" s="2845"/>
      <c r="K35" s="2846"/>
    </row>
    <row r="36" spans="1:11" s="2083" customFormat="1" ht="13.5" customHeight="1" thickBot="1">
      <c r="A36" s="282" t="s">
        <v>1844</v>
      </c>
      <c r="B36" s="2848"/>
      <c r="C36" s="2887">
        <f ca="1">ROUND((C6-C30-C33)/(1+D30+D33),0)</f>
        <v>175512</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7" sqref="I37"/>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11</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2651</v>
      </c>
      <c r="B6" s="431"/>
      <c r="C6" s="1620">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121795</v>
      </c>
      <c r="D13" s="449"/>
      <c r="E13" s="363"/>
      <c r="F13" s="450"/>
      <c r="G13" s="442"/>
      <c r="H13" s="445"/>
      <c r="I13" s="445"/>
      <c r="J13" s="445"/>
      <c r="K13" s="446"/>
    </row>
    <row r="14" spans="1:41" s="2114" customFormat="1" ht="13.5" customHeight="1">
      <c r="A14" s="1630" t="s">
        <v>1849</v>
      </c>
      <c r="B14" s="447" t="s">
        <v>480</v>
      </c>
      <c r="C14" s="53">
        <f ca="1">ROUND(C13*F14,0)</f>
        <v>3654</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1374</v>
      </c>
      <c r="D15" s="449"/>
      <c r="E15" s="363"/>
      <c r="F15" s="451">
        <f>'数据-取费表'!B34</f>
        <v>0.05</v>
      </c>
      <c r="G15" s="442" t="s">
        <v>502</v>
      </c>
      <c r="H15" s="445"/>
      <c r="I15" s="445"/>
      <c r="J15" s="445"/>
      <c r="K15" s="446"/>
    </row>
    <row r="16" spans="1:41" s="2115" customFormat="1" ht="13.5" customHeight="1">
      <c r="A16" s="1630" t="s">
        <v>1851</v>
      </c>
      <c r="B16" s="447" t="s">
        <v>484</v>
      </c>
      <c r="C16" s="53">
        <f ca="1">ROUND(D16*E16/10000,0)</f>
        <v>8939</v>
      </c>
      <c r="D16" s="449">
        <f ca="1">IF(B1="",'数据-汇总表'!E3,INDIRECT("'数据-取费表'!K"&amp;$K$1)+INDIRECT("'数据-取费表'!S"&amp;$K$1))</f>
        <v>446955.26</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1827</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137589</v>
      </c>
      <c r="D18" s="459"/>
      <c r="E18" s="460"/>
      <c r="F18" s="460"/>
      <c r="G18" s="1325" t="s">
        <v>2432</v>
      </c>
      <c r="H18" s="445"/>
      <c r="I18" s="445"/>
      <c r="J18" s="445"/>
      <c r="K18" s="446"/>
    </row>
    <row r="19" spans="1:14" s="2117" customFormat="1" ht="13.5" customHeight="1">
      <c r="A19" s="1631" t="s">
        <v>1854</v>
      </c>
      <c r="B19" s="457" t="s">
        <v>493</v>
      </c>
      <c r="C19" s="458">
        <f ca="1">ROUND(C18*F19,0)</f>
        <v>2064</v>
      </c>
      <c r="D19" s="460"/>
      <c r="E19" s="460"/>
      <c r="F19" s="464">
        <f>'数据-取费表'!B37</f>
        <v>1.4999999999999999E-2</v>
      </c>
      <c r="G19" s="442" t="s">
        <v>503</v>
      </c>
      <c r="H19" s="445"/>
      <c r="I19" s="445"/>
      <c r="J19" s="445"/>
      <c r="K19" s="446"/>
      <c r="L19" s="2119"/>
      <c r="M19" s="2119"/>
      <c r="N19" s="2119"/>
    </row>
    <row r="20" spans="1:14" s="2117" customFormat="1" ht="13.5" customHeight="1">
      <c r="A20" s="1631" t="s">
        <v>1855</v>
      </c>
      <c r="B20" s="457" t="s">
        <v>504</v>
      </c>
      <c r="C20" s="3050">
        <f>F20</f>
        <v>0.02</v>
      </c>
      <c r="D20" s="467" t="s">
        <v>505</v>
      </c>
      <c r="E20" s="467"/>
      <c r="F20" s="484">
        <f>'数据-取费表'!B38</f>
        <v>0.02</v>
      </c>
      <c r="G20" s="1325" t="s">
        <v>506</v>
      </c>
      <c r="H20" s="445"/>
      <c r="I20" s="445"/>
      <c r="J20" s="445"/>
      <c r="K20" s="446"/>
      <c r="L20" s="2119"/>
      <c r="M20" s="2119"/>
      <c r="N20" s="2119"/>
    </row>
    <row r="21" spans="1:14" s="2119" customFormat="1" ht="13.5" customHeight="1">
      <c r="A21" s="1631" t="s">
        <v>1858</v>
      </c>
      <c r="B21" s="459" t="s">
        <v>494</v>
      </c>
      <c r="C21" s="468">
        <f ca="1">C22</f>
        <v>11815</v>
      </c>
      <c r="D21" s="465">
        <f ca="1">C23</f>
        <v>1.6999999999999999E-3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2454</v>
      </c>
    </row>
    <row r="22" spans="1:14" s="2118" customFormat="1" ht="13.5" customHeight="1">
      <c r="A22" s="1630" t="s">
        <v>1848</v>
      </c>
      <c r="B22" s="1326" t="s">
        <v>2435</v>
      </c>
      <c r="C22" s="485">
        <f ca="1">ROUND(IF('数据-取费表'!B22&lt;=1,(C18+C19)*F21*'数据-取费表'!B20/2,(C18+C19)*(POWER((1+F21),'数据-取费表'!B20/2)-1)),0)</f>
        <v>11815</v>
      </c>
      <c r="D22" s="470"/>
      <c r="E22" s="471"/>
      <c r="F22" s="472"/>
      <c r="G22" s="2589" t="str">
        <f>IF('数据-取费表'!B22&lt;=1,"((1)+(2))×年利率×建设期÷2","((1)+(2))×((1+年利率)^(建设期÷2)-1)")</f>
        <v>((1)+(2))×((1+年利率)^(建设期÷2)-1)</v>
      </c>
      <c r="H22" s="455"/>
      <c r="I22" s="455"/>
      <c r="J22" s="455"/>
      <c r="K22" s="456"/>
    </row>
    <row r="23" spans="1:14" s="2118" customFormat="1" ht="13.5" customHeight="1">
      <c r="A23" s="1630" t="s">
        <v>1849</v>
      </c>
      <c r="B23" s="1326" t="s">
        <v>508</v>
      </c>
      <c r="C23" s="486">
        <f ca="1">ROUND(IF('数据-取费表'!B22&lt;=1,F20*F21*'数据-取费表'!B20/2,F20*(POWER((1+F21),'数据-取费表'!B20/2)-1)),4)</f>
        <v>1.6999999999999999E-3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52" t="s">
        <v>2831</v>
      </c>
      <c r="C24" s="476">
        <f ca="1">C25</f>
        <v>18155</v>
      </c>
      <c r="D24" s="487">
        <f ca="1">C26</f>
        <v>2.5999999999999999E-3</v>
      </c>
      <c r="E24" s="467" t="s">
        <v>507</v>
      </c>
      <c r="F24" s="477">
        <f ca="1">IF(B1="",'数据-取费表'!Q16,INDIRECT("'数据-取费表'!q"&amp;$K$1))</f>
        <v>0.13</v>
      </c>
      <c r="G24" s="442"/>
      <c r="H24" s="445"/>
      <c r="I24" s="445"/>
      <c r="J24" s="445"/>
      <c r="K24" s="446"/>
    </row>
    <row r="25" spans="1:14" s="2118" customFormat="1" ht="13.5" customHeight="1">
      <c r="A25" s="1630" t="s">
        <v>1848</v>
      </c>
      <c r="B25" s="1326" t="s">
        <v>2436</v>
      </c>
      <c r="C25" s="488">
        <f ca="1">ROUND((C18+C19)*F24,0)</f>
        <v>18155</v>
      </c>
      <c r="D25" s="470"/>
      <c r="E25" s="471"/>
      <c r="F25" s="478"/>
      <c r="G25" s="1324" t="s">
        <v>2433</v>
      </c>
      <c r="H25" s="455"/>
      <c r="I25" s="455"/>
      <c r="J25" s="455"/>
      <c r="K25" s="456"/>
    </row>
    <row r="26" spans="1:14" s="2118" customFormat="1" ht="13.5" customHeight="1">
      <c r="A26" s="1630" t="s">
        <v>1849</v>
      </c>
      <c r="B26" s="1326" t="s">
        <v>509</v>
      </c>
      <c r="C26" s="489">
        <f ca="1">ROUND(F20*F24,4)</f>
        <v>2.5999999999999999E-3</v>
      </c>
      <c r="D26" s="470"/>
      <c r="E26" s="479"/>
      <c r="F26" s="478"/>
      <c r="G26" s="1324" t="s">
        <v>510</v>
      </c>
      <c r="H26" s="455"/>
      <c r="I26" s="455"/>
      <c r="J26" s="455"/>
      <c r="K26" s="456"/>
    </row>
    <row r="27" spans="1:14" s="2118" customFormat="1" ht="13.5" customHeight="1">
      <c r="A27" s="1634" t="s">
        <v>1867</v>
      </c>
      <c r="B27" s="457" t="s">
        <v>511</v>
      </c>
      <c r="C27" s="3051">
        <f>ROUND(F27/(1+'数据-取费表'!C42),4)</f>
        <v>5.33E-2</v>
      </c>
      <c r="D27" s="460" t="s">
        <v>2829</v>
      </c>
      <c r="E27" s="460"/>
      <c r="F27" s="464">
        <f>'数据-取费表'!B41</f>
        <v>5.6000000000000001E-2</v>
      </c>
      <c r="G27" s="1958" t="s">
        <v>2293</v>
      </c>
      <c r="H27" s="445"/>
      <c r="I27" s="445"/>
      <c r="J27" s="445"/>
      <c r="K27" s="446"/>
    </row>
    <row r="28" spans="1:14" s="2119" customFormat="1" ht="13.5" customHeight="1">
      <c r="A28" s="1634" t="s">
        <v>1868</v>
      </c>
      <c r="B28" s="474" t="s">
        <v>512</v>
      </c>
      <c r="C28" s="468">
        <f ca="1">ROUND((C18+C19+C21+C24)/(1-C20-D21-D24-C27),0)</f>
        <v>183893</v>
      </c>
      <c r="D28" s="475"/>
      <c r="E28" s="467"/>
      <c r="F28" s="469"/>
      <c r="G28" s="1325" t="s">
        <v>2434</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504" t="s">
        <v>1865</v>
      </c>
      <c r="B31" s="1328"/>
      <c r="C31" s="498">
        <f>ROUND(C6*F31/(1+'数据-取费表'!C42),0)</f>
        <v>0</v>
      </c>
      <c r="D31" s="1329"/>
      <c r="E31" s="1329"/>
      <c r="F31" s="499">
        <f>'数据-取费表'!B41</f>
        <v>5.6000000000000001E-2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2963</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7" sqref="I37"/>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c r="A3" s="1378"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5">
      <c r="A6" s="510" t="s">
        <v>521</v>
      </c>
      <c r="B6" s="511"/>
      <c r="C6" s="4212" t="s">
        <v>522</v>
      </c>
      <c r="D6" s="4213"/>
      <c r="E6" s="4237" t="s">
        <v>523</v>
      </c>
      <c r="F6" s="4238"/>
      <c r="G6" s="4212" t="s">
        <v>524</v>
      </c>
      <c r="H6" s="4213"/>
      <c r="I6" s="4212" t="s">
        <v>525</v>
      </c>
      <c r="J6" s="4213"/>
      <c r="K6" s="512" t="s">
        <v>526</v>
      </c>
      <c r="L6" s="2131"/>
      <c r="M6" s="2132"/>
      <c r="N6" s="2132"/>
      <c r="O6" s="2132"/>
      <c r="P6" s="4214" t="s">
        <v>527</v>
      </c>
      <c r="Q6" s="4215"/>
      <c r="R6" s="4200" t="s">
        <v>523</v>
      </c>
      <c r="S6" s="4201"/>
      <c r="T6" s="4200" t="s">
        <v>524</v>
      </c>
      <c r="U6" s="4201"/>
      <c r="V6" s="4220" t="s">
        <v>525</v>
      </c>
      <c r="W6" s="4220"/>
      <c r="X6" s="1564"/>
      <c r="Y6" s="4200" t="s">
        <v>527</v>
      </c>
      <c r="Z6" s="4201"/>
      <c r="AA6" s="4195" t="s">
        <v>523</v>
      </c>
      <c r="AB6" s="4196" t="s">
        <v>524</v>
      </c>
      <c r="AC6" s="4195" t="s">
        <v>525</v>
      </c>
    </row>
    <row r="7" spans="1:29" ht="15">
      <c r="A7" s="513"/>
      <c r="B7" s="514"/>
      <c r="C7" s="4223" t="s">
        <v>2917</v>
      </c>
      <c r="D7" s="4224"/>
      <c r="E7" s="4239" t="s">
        <v>2918</v>
      </c>
      <c r="F7" s="4240"/>
      <c r="G7" s="4223" t="s">
        <v>2919</v>
      </c>
      <c r="H7" s="4224"/>
      <c r="I7" s="4223" t="s">
        <v>2920</v>
      </c>
      <c r="J7" s="4224"/>
      <c r="K7" s="512"/>
      <c r="L7" s="2131"/>
      <c r="M7" s="2132"/>
      <c r="N7" s="2132"/>
      <c r="O7" s="2132"/>
      <c r="P7" s="4216"/>
      <c r="Q7" s="4217"/>
      <c r="R7" s="4202"/>
      <c r="S7" s="4203"/>
      <c r="T7" s="4202"/>
      <c r="U7" s="4203"/>
      <c r="V7" s="4220"/>
      <c r="W7" s="4220"/>
      <c r="X7" s="1564"/>
      <c r="Y7" s="4202"/>
      <c r="Z7" s="4203"/>
      <c r="AA7" s="4196"/>
      <c r="AB7" s="4196"/>
      <c r="AC7" s="4196"/>
    </row>
    <row r="8" spans="1:29" ht="15.75" thickBot="1">
      <c r="A8" s="515"/>
      <c r="B8" s="516"/>
      <c r="C8" s="4221" t="s">
        <v>2921</v>
      </c>
      <c r="D8" s="4222"/>
      <c r="E8" s="4241" t="s">
        <v>2921</v>
      </c>
      <c r="F8" s="4242"/>
      <c r="G8" s="4221" t="s">
        <v>2921</v>
      </c>
      <c r="H8" s="4222"/>
      <c r="I8" s="4221" t="s">
        <v>2921</v>
      </c>
      <c r="J8" s="4222"/>
      <c r="K8" s="512" t="s">
        <v>528</v>
      </c>
      <c r="L8" s="2131"/>
      <c r="M8" s="2132"/>
      <c r="N8" s="2132"/>
      <c r="O8" s="2132"/>
      <c r="P8" s="4218"/>
      <c r="Q8" s="4219"/>
      <c r="R8" s="4202"/>
      <c r="S8" s="4203"/>
      <c r="T8" s="4204"/>
      <c r="U8" s="4205"/>
      <c r="V8" s="4220"/>
      <c r="W8" s="4220"/>
      <c r="X8" s="1564"/>
      <c r="Y8" s="4204"/>
      <c r="Z8" s="4205"/>
      <c r="AA8" s="4197"/>
      <c r="AB8" s="4197"/>
      <c r="AC8" s="4197"/>
    </row>
    <row r="9" spans="1:29" s="1218" customFormat="1" ht="15.75" thickBot="1">
      <c r="A9" s="2934"/>
      <c r="B9" s="2941" t="s">
        <v>529</v>
      </c>
      <c r="C9" s="517">
        <f>'数据-取费表'!B2</f>
        <v>43251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4198" t="s">
        <v>530</v>
      </c>
      <c r="Q9" s="4207"/>
      <c r="R9" s="1565" t="s">
        <v>8</v>
      </c>
      <c r="S9" s="1566">
        <f t="shared" ref="S9:S17" si="0">F9</f>
        <v>0</v>
      </c>
      <c r="T9" s="1565" t="s">
        <v>8</v>
      </c>
      <c r="U9" s="1566">
        <f t="shared" ref="U9:U17" si="1">H9</f>
        <v>0</v>
      </c>
      <c r="V9" s="1565" t="s">
        <v>8</v>
      </c>
      <c r="W9" s="1566">
        <f t="shared" ref="W9:W17" si="2">J9</f>
        <v>0</v>
      </c>
      <c r="X9" s="1567"/>
      <c r="Y9" s="4198" t="s">
        <v>530</v>
      </c>
      <c r="Z9" s="4199"/>
      <c r="AA9" s="1568" t="e">
        <f>D9/F9</f>
        <v>#DIV/0!</v>
      </c>
      <c r="AB9" s="1568" t="e">
        <f>D9/H9</f>
        <v>#DIV/0!</v>
      </c>
      <c r="AC9" s="1568"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4198" t="s">
        <v>533</v>
      </c>
      <c r="Q10" s="4199"/>
      <c r="R10" s="1565" t="s">
        <v>8</v>
      </c>
      <c r="S10" s="1566">
        <f t="shared" si="0"/>
        <v>0</v>
      </c>
      <c r="T10" s="1565" t="s">
        <v>8</v>
      </c>
      <c r="U10" s="1566">
        <f t="shared" si="1"/>
        <v>0</v>
      </c>
      <c r="V10" s="1565" t="s">
        <v>8</v>
      </c>
      <c r="W10" s="1566">
        <f t="shared" si="2"/>
        <v>0</v>
      </c>
      <c r="X10" s="1567"/>
      <c r="Y10" s="4198" t="s">
        <v>533</v>
      </c>
      <c r="Z10" s="4199"/>
      <c r="AA10" s="1568" t="e">
        <f t="shared" ref="AA10:AA42" si="3">D10/F10</f>
        <v>#DIV/0!</v>
      </c>
      <c r="AB10" s="1568" t="e">
        <f t="shared" ref="AB10:AB42" si="4">D10/H10</f>
        <v>#DIV/0!</v>
      </c>
      <c r="AC10" s="1568" t="e">
        <f t="shared" ref="AC10:AC42" si="5">D10/J10</f>
        <v>#DIV/0!</v>
      </c>
    </row>
    <row r="11" spans="1:29" s="1218" customFormat="1" ht="15">
      <c r="A11" s="2936"/>
      <c r="B11" s="2943" t="s">
        <v>2755</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4206" t="s">
        <v>535</v>
      </c>
      <c r="Q11" s="1149" t="str">
        <f t="shared" ref="Q11:Q17" si="6">B11</f>
        <v>用途</v>
      </c>
      <c r="R11" s="1565" t="s">
        <v>8</v>
      </c>
      <c r="S11" s="1566">
        <f t="shared" si="0"/>
        <v>100</v>
      </c>
      <c r="T11" s="1565" t="s">
        <v>8</v>
      </c>
      <c r="U11" s="1566">
        <f t="shared" si="1"/>
        <v>100</v>
      </c>
      <c r="V11" s="1565" t="s">
        <v>8</v>
      </c>
      <c r="W11" s="1566">
        <f t="shared" si="2"/>
        <v>100</v>
      </c>
      <c r="X11" s="1567"/>
      <c r="Y11" s="4121" t="s">
        <v>536</v>
      </c>
      <c r="Z11" s="1148" t="str">
        <f t="shared" ref="Z11:Z17" si="7">Q11</f>
        <v>用途</v>
      </c>
      <c r="AA11" s="1568">
        <f t="shared" si="3"/>
        <v>1</v>
      </c>
      <c r="AB11" s="1568">
        <f t="shared" si="4"/>
        <v>1</v>
      </c>
      <c r="AC11" s="1568">
        <f t="shared" si="5"/>
        <v>1</v>
      </c>
    </row>
    <row r="12" spans="1:29" s="1336" customFormat="1" ht="27">
      <c r="A12" s="2937"/>
      <c r="B12" s="2942" t="s">
        <v>2756</v>
      </c>
      <c r="C12" s="526"/>
      <c r="D12" s="253">
        <v>100</v>
      </c>
      <c r="E12" s="526"/>
      <c r="F12" s="253">
        <f>ROUND(100/'数据-取费表'!G16,0)</f>
        <v>104</v>
      </c>
      <c r="G12" s="526"/>
      <c r="H12" s="253">
        <f>ROUND(100/'数据-取费表'!G16,0)</f>
        <v>104</v>
      </c>
      <c r="I12" s="526"/>
      <c r="J12" s="253">
        <f>ROUND(100/'数据-取费表'!G16,0)</f>
        <v>104</v>
      </c>
      <c r="K12" s="529"/>
      <c r="L12" s="2136"/>
      <c r="M12" s="2176"/>
      <c r="N12" s="2176"/>
      <c r="O12" s="2137"/>
      <c r="P12" s="4206"/>
      <c r="Q12" s="1149" t="str">
        <f t="shared" si="6"/>
        <v>土地使用年限（年）</v>
      </c>
      <c r="R12" s="1565" t="s">
        <v>8</v>
      </c>
      <c r="S12" s="1566">
        <f t="shared" si="0"/>
        <v>104</v>
      </c>
      <c r="T12" s="1565" t="s">
        <v>8</v>
      </c>
      <c r="U12" s="1566">
        <f t="shared" si="1"/>
        <v>104</v>
      </c>
      <c r="V12" s="1565" t="s">
        <v>8</v>
      </c>
      <c r="W12" s="1566">
        <f t="shared" si="2"/>
        <v>104</v>
      </c>
      <c r="X12" s="1567"/>
      <c r="Y12" s="4121"/>
      <c r="Z12" s="1148" t="str">
        <f t="shared" si="7"/>
        <v>土地使用年限（年）</v>
      </c>
      <c r="AA12" s="1568">
        <f t="shared" si="3"/>
        <v>0.96153846153846156</v>
      </c>
      <c r="AB12" s="1568">
        <f t="shared" si="4"/>
        <v>0.96153846153846156</v>
      </c>
      <c r="AC12" s="1568">
        <f t="shared" si="5"/>
        <v>0.96153846153846156</v>
      </c>
    </row>
    <row r="13" spans="1:29" ht="15">
      <c r="A13" s="2938"/>
      <c r="B13" s="2942"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4206"/>
      <c r="Q13" s="1149" t="str">
        <f t="shared" si="6"/>
        <v>容积率</v>
      </c>
      <c r="R13" s="1565" t="s">
        <v>8</v>
      </c>
      <c r="S13" s="1566" t="e">
        <f t="shared" si="0"/>
        <v>#N/A</v>
      </c>
      <c r="T13" s="1565" t="s">
        <v>8</v>
      </c>
      <c r="U13" s="1566" t="e">
        <f t="shared" si="1"/>
        <v>#N/A</v>
      </c>
      <c r="V13" s="1565" t="s">
        <v>8</v>
      </c>
      <c r="W13" s="1566" t="e">
        <f t="shared" si="2"/>
        <v>#N/A</v>
      </c>
      <c r="X13" s="1567"/>
      <c r="Y13" s="4121"/>
      <c r="Z13" s="1148" t="str">
        <f t="shared" si="7"/>
        <v>容积率</v>
      </c>
      <c r="AA13" s="1568" t="e">
        <f t="shared" si="3"/>
        <v>#N/A</v>
      </c>
      <c r="AB13" s="1568" t="e">
        <f t="shared" si="4"/>
        <v>#N/A</v>
      </c>
      <c r="AC13" s="1568"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4206"/>
      <c r="Q14" s="1149">
        <f t="shared" si="6"/>
        <v>111</v>
      </c>
      <c r="R14" s="1565" t="s">
        <v>8</v>
      </c>
      <c r="S14" s="1566">
        <f t="shared" si="0"/>
        <v>100</v>
      </c>
      <c r="T14" s="1565" t="s">
        <v>8</v>
      </c>
      <c r="U14" s="1566">
        <f t="shared" si="1"/>
        <v>100</v>
      </c>
      <c r="V14" s="1565" t="s">
        <v>8</v>
      </c>
      <c r="W14" s="1566">
        <f t="shared" si="2"/>
        <v>100</v>
      </c>
      <c r="X14" s="1567"/>
      <c r="Y14" s="4121"/>
      <c r="Z14" s="1148">
        <f t="shared" si="7"/>
        <v>111</v>
      </c>
      <c r="AA14" s="1568">
        <f>D14/F14</f>
        <v>1</v>
      </c>
      <c r="AB14" s="1568">
        <f>D14/H14</f>
        <v>1</v>
      </c>
      <c r="AC14" s="1568">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4206"/>
      <c r="Q15" s="1149">
        <f t="shared" si="6"/>
        <v>111</v>
      </c>
      <c r="R15" s="1565" t="s">
        <v>8</v>
      </c>
      <c r="S15" s="1566">
        <f t="shared" si="0"/>
        <v>100</v>
      </c>
      <c r="T15" s="1565" t="s">
        <v>8</v>
      </c>
      <c r="U15" s="1566">
        <f t="shared" si="1"/>
        <v>100</v>
      </c>
      <c r="V15" s="1565" t="s">
        <v>8</v>
      </c>
      <c r="W15" s="1566">
        <f t="shared" si="2"/>
        <v>100</v>
      </c>
      <c r="X15" s="1567"/>
      <c r="Y15" s="4121"/>
      <c r="Z15" s="1148">
        <f t="shared" si="7"/>
        <v>111</v>
      </c>
      <c r="AA15" s="1568">
        <f t="shared" si="3"/>
        <v>1</v>
      </c>
      <c r="AB15" s="1568">
        <f t="shared" si="4"/>
        <v>1</v>
      </c>
      <c r="AC15" s="1568">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4206"/>
      <c r="Q16" s="1149">
        <f t="shared" si="6"/>
        <v>111</v>
      </c>
      <c r="R16" s="1565" t="s">
        <v>8</v>
      </c>
      <c r="S16" s="1566">
        <f t="shared" si="0"/>
        <v>100</v>
      </c>
      <c r="T16" s="1565" t="s">
        <v>8</v>
      </c>
      <c r="U16" s="1566">
        <f t="shared" si="1"/>
        <v>100</v>
      </c>
      <c r="V16" s="1565" t="s">
        <v>8</v>
      </c>
      <c r="W16" s="1566">
        <f t="shared" si="2"/>
        <v>100</v>
      </c>
      <c r="X16" s="1567"/>
      <c r="Y16" s="4121"/>
      <c r="Z16" s="1148">
        <f t="shared" si="7"/>
        <v>111</v>
      </c>
      <c r="AA16" s="1568">
        <f t="shared" si="3"/>
        <v>1</v>
      </c>
      <c r="AB16" s="1568">
        <f t="shared" si="4"/>
        <v>1</v>
      </c>
      <c r="AC16" s="1568">
        <f t="shared" si="5"/>
        <v>1</v>
      </c>
    </row>
    <row r="17" spans="1:29" ht="15">
      <c r="A17" s="2932" t="s">
        <v>2753</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4208" t="s">
        <v>540</v>
      </c>
      <c r="Q17" s="1569" t="str">
        <f t="shared" si="6"/>
        <v>产业集聚程度</v>
      </c>
      <c r="R17" s="1570" t="s">
        <v>8</v>
      </c>
      <c r="S17" s="1571">
        <f t="shared" si="0"/>
        <v>100</v>
      </c>
      <c r="T17" s="1570" t="s">
        <v>8</v>
      </c>
      <c r="U17" s="1571">
        <f t="shared" si="1"/>
        <v>100</v>
      </c>
      <c r="V17" s="1570" t="s">
        <v>8</v>
      </c>
      <c r="W17" s="1571">
        <f t="shared" si="2"/>
        <v>100</v>
      </c>
      <c r="X17" s="1564"/>
      <c r="Y17" s="4208"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4209"/>
      <c r="Q18" s="1569"/>
      <c r="R18" s="1570"/>
      <c r="S18" s="1571"/>
      <c r="T18" s="1570"/>
      <c r="U18" s="1571"/>
      <c r="V18" s="1570"/>
      <c r="W18" s="1571"/>
      <c r="X18" s="1564"/>
      <c r="Y18" s="4209"/>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4209"/>
      <c r="Q19" s="1569" t="str">
        <f>B19</f>
        <v>交通便捷度</v>
      </c>
      <c r="R19" s="1570" t="s">
        <v>8</v>
      </c>
      <c r="S19" s="1571">
        <f>F19</f>
        <v>100</v>
      </c>
      <c r="T19" s="1570" t="s">
        <v>8</v>
      </c>
      <c r="U19" s="1571">
        <f>H19</f>
        <v>100</v>
      </c>
      <c r="V19" s="1570" t="s">
        <v>8</v>
      </c>
      <c r="W19" s="1571">
        <f>J19</f>
        <v>100</v>
      </c>
      <c r="X19" s="1564"/>
      <c r="Y19" s="4209"/>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4209"/>
      <c r="Q20" s="1569"/>
      <c r="R20" s="1570"/>
      <c r="S20" s="1571"/>
      <c r="T20" s="1570"/>
      <c r="U20" s="1571"/>
      <c r="V20" s="1570"/>
      <c r="W20" s="1571"/>
      <c r="X20" s="1564"/>
      <c r="Y20" s="4209"/>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4209"/>
      <c r="Q21" s="1569" t="str">
        <f t="shared" ref="Q21:Q35" si="8">B21</f>
        <v>区域土地利用方向</v>
      </c>
      <c r="R21" s="1570" t="s">
        <v>8</v>
      </c>
      <c r="S21" s="1571">
        <f>F21</f>
        <v>100</v>
      </c>
      <c r="T21" s="1570" t="s">
        <v>8</v>
      </c>
      <c r="U21" s="1571">
        <f>H21</f>
        <v>100</v>
      </c>
      <c r="V21" s="1570" t="s">
        <v>8</v>
      </c>
      <c r="W21" s="1571">
        <f>J21</f>
        <v>100</v>
      </c>
      <c r="X21" s="1564"/>
      <c r="Y21" s="4209"/>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40"/>
      <c r="M22" s="2132"/>
      <c r="N22" s="2132"/>
      <c r="O22" s="2139"/>
      <c r="P22" s="4209"/>
      <c r="Q22" s="1569"/>
      <c r="R22" s="1570"/>
      <c r="S22" s="1571"/>
      <c r="T22" s="1570"/>
      <c r="U22" s="1571"/>
      <c r="V22" s="1570"/>
      <c r="W22" s="1571"/>
      <c r="X22" s="1564"/>
      <c r="Y22" s="4209"/>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4209"/>
      <c r="Q23" s="1569" t="str">
        <f t="shared" si="8"/>
        <v>环境状况</v>
      </c>
      <c r="R23" s="1570" t="s">
        <v>8</v>
      </c>
      <c r="S23" s="1571">
        <f>F23</f>
        <v>100</v>
      </c>
      <c r="T23" s="1570" t="s">
        <v>8</v>
      </c>
      <c r="U23" s="1571">
        <f>H23</f>
        <v>100</v>
      </c>
      <c r="V23" s="1570" t="s">
        <v>8</v>
      </c>
      <c r="W23" s="1571">
        <f>J23</f>
        <v>100</v>
      </c>
      <c r="X23" s="1564"/>
      <c r="Y23" s="4209"/>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4209"/>
      <c r="Q24" s="1569"/>
      <c r="R24" s="1570"/>
      <c r="S24" s="1571"/>
      <c r="T24" s="1570"/>
      <c r="U24" s="1571"/>
      <c r="V24" s="1570"/>
      <c r="W24" s="1571"/>
      <c r="X24" s="1564"/>
      <c r="Y24" s="4209"/>
      <c r="Z24" s="1572"/>
      <c r="AA24" s="1573">
        <v>1</v>
      </c>
      <c r="AB24" s="1573">
        <v>1</v>
      </c>
      <c r="AC24" s="1573">
        <v>1</v>
      </c>
    </row>
    <row r="25" spans="1:29" s="1218" customFormat="1" ht="15">
      <c r="A25" s="575"/>
      <c r="B25" s="2615" t="s">
        <v>2548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4209"/>
      <c r="Q25" s="1149" t="str">
        <f t="shared" si="8"/>
        <v>公共配套设施</v>
      </c>
      <c r="R25" s="1565" t="s">
        <v>8</v>
      </c>
      <c r="S25" s="1566">
        <f>F25</f>
        <v>100</v>
      </c>
      <c r="T25" s="1565" t="s">
        <v>8</v>
      </c>
      <c r="U25" s="1566">
        <f>H25</f>
        <v>100</v>
      </c>
      <c r="V25" s="1565" t="s">
        <v>8</v>
      </c>
      <c r="W25" s="1566">
        <f>J25</f>
        <v>100</v>
      </c>
      <c r="X25" s="1567"/>
      <c r="Y25" s="4209"/>
      <c r="Z25" s="1148" t="str">
        <f>Q25</f>
        <v>公共配套设施</v>
      </c>
      <c r="AA25" s="1573">
        <f>D25/F25</f>
        <v>1</v>
      </c>
      <c r="AB25" s="1573">
        <f>D25/H25</f>
        <v>1</v>
      </c>
      <c r="AC25" s="1573">
        <f>D25/J25</f>
        <v>1</v>
      </c>
    </row>
    <row r="26" spans="1:29" s="1218" customFormat="1" ht="15">
      <c r="A26" s="575"/>
      <c r="B26" s="593"/>
      <c r="C26" s="2614"/>
      <c r="D26" s="553"/>
      <c r="E26" s="552"/>
      <c r="F26" s="553"/>
      <c r="G26" s="552"/>
      <c r="H26" s="553"/>
      <c r="I26" s="574"/>
      <c r="J26" s="553"/>
      <c r="K26" s="529"/>
      <c r="L26" s="2133"/>
      <c r="M26" s="2134"/>
      <c r="N26" s="2134"/>
      <c r="O26" s="2135"/>
      <c r="P26" s="4209"/>
      <c r="Q26" s="1149"/>
      <c r="R26" s="1565"/>
      <c r="S26" s="1566"/>
      <c r="T26" s="1565"/>
      <c r="U26" s="1566"/>
      <c r="V26" s="1565"/>
      <c r="W26" s="1566"/>
      <c r="X26" s="1567"/>
      <c r="Y26" s="4209"/>
      <c r="Z26" s="1148"/>
      <c r="AA26" s="1568">
        <v>1</v>
      </c>
      <c r="AB26" s="1568">
        <v>1</v>
      </c>
      <c r="AC26" s="1568">
        <v>1</v>
      </c>
    </row>
    <row r="27" spans="1:29" s="1218" customFormat="1" ht="15">
      <c r="A27" s="575"/>
      <c r="B27" s="2615" t="s">
        <v>2549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4209"/>
      <c r="Q27" s="2600" t="str">
        <f t="shared" ref="Q27" si="9">B27</f>
        <v>基础设施水平</v>
      </c>
      <c r="R27" s="1565" t="s">
        <v>8</v>
      </c>
      <c r="S27" s="1566">
        <f>F27</f>
        <v>100</v>
      </c>
      <c r="T27" s="1565" t="s">
        <v>8</v>
      </c>
      <c r="U27" s="1566">
        <f>H27</f>
        <v>100</v>
      </c>
      <c r="V27" s="1565" t="s">
        <v>8</v>
      </c>
      <c r="W27" s="1566">
        <f>J27</f>
        <v>100</v>
      </c>
      <c r="X27" s="1567"/>
      <c r="Y27" s="4209"/>
      <c r="Z27" s="2597" t="str">
        <f>Q27</f>
        <v>基础设施水平</v>
      </c>
      <c r="AA27" s="1573">
        <f>D27/F27</f>
        <v>1</v>
      </c>
      <c r="AB27" s="1573">
        <f>D27/H27</f>
        <v>1</v>
      </c>
      <c r="AC27" s="1573">
        <f>D27/J27</f>
        <v>1</v>
      </c>
    </row>
    <row r="28" spans="1:29" s="1218" customFormat="1" ht="15">
      <c r="A28" s="575"/>
      <c r="B28" s="593"/>
      <c r="C28" s="2614"/>
      <c r="D28" s="553"/>
      <c r="E28" s="577"/>
      <c r="F28" s="553"/>
      <c r="G28" s="577"/>
      <c r="H28" s="553"/>
      <c r="I28" s="577"/>
      <c r="J28" s="553"/>
      <c r="K28" s="529"/>
      <c r="L28" s="2133"/>
      <c r="M28" s="2134"/>
      <c r="N28" s="2134"/>
      <c r="O28" s="2135"/>
      <c r="P28" s="4209"/>
      <c r="Q28" s="2600"/>
      <c r="R28" s="1565"/>
      <c r="S28" s="1566"/>
      <c r="T28" s="1565"/>
      <c r="U28" s="1566"/>
      <c r="V28" s="1565"/>
      <c r="W28" s="1566"/>
      <c r="X28" s="1567"/>
      <c r="Y28" s="4209"/>
      <c r="Z28" s="2597"/>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4209"/>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4209"/>
      <c r="Z29" s="1572" t="str">
        <f t="shared" ref="Z29:Z42" si="13">Q29</f>
        <v>临街状况</v>
      </c>
      <c r="AA29" s="1573">
        <f t="shared" si="3"/>
        <v>1</v>
      </c>
      <c r="AB29" s="1573">
        <f t="shared" si="4"/>
        <v>1</v>
      </c>
      <c r="AC29" s="1573">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4209"/>
      <c r="Q30" s="1569" t="str">
        <f t="shared" si="8"/>
        <v>毗邻道路的类型与等级</v>
      </c>
      <c r="R30" s="1570" t="s">
        <v>8</v>
      </c>
      <c r="S30" s="1571">
        <f t="shared" si="10"/>
        <v>100</v>
      </c>
      <c r="T30" s="1570" t="s">
        <v>8</v>
      </c>
      <c r="U30" s="1571">
        <f t="shared" si="11"/>
        <v>100</v>
      </c>
      <c r="V30" s="1570" t="s">
        <v>8</v>
      </c>
      <c r="W30" s="1571">
        <f t="shared" si="12"/>
        <v>100</v>
      </c>
      <c r="X30" s="1564"/>
      <c r="Y30" s="4209"/>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4209"/>
      <c r="Q31" s="1569"/>
      <c r="R31" s="1570"/>
      <c r="S31" s="1571"/>
      <c r="T31" s="1570"/>
      <c r="U31" s="1571"/>
      <c r="V31" s="1570"/>
      <c r="W31" s="1571"/>
      <c r="X31" s="1564"/>
      <c r="Y31" s="4209"/>
      <c r="Z31" s="1572"/>
      <c r="AA31" s="1573">
        <v>1</v>
      </c>
      <c r="AB31" s="1573">
        <v>1</v>
      </c>
      <c r="AC31" s="1573">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4209"/>
      <c r="Q32" s="1569" t="str">
        <f t="shared" si="8"/>
        <v>土地级别</v>
      </c>
      <c r="R32" s="1570" t="s">
        <v>8</v>
      </c>
      <c r="S32" s="1571">
        <f t="shared" si="10"/>
        <v>100</v>
      </c>
      <c r="T32" s="1570" t="s">
        <v>8</v>
      </c>
      <c r="U32" s="1571">
        <f t="shared" si="11"/>
        <v>100</v>
      </c>
      <c r="V32" s="1570" t="s">
        <v>8</v>
      </c>
      <c r="W32" s="1571">
        <f t="shared" si="12"/>
        <v>100</v>
      </c>
      <c r="X32" s="1564"/>
      <c r="Y32" s="4209"/>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4209"/>
      <c r="Q33" s="1569">
        <f t="shared" si="8"/>
        <v>111</v>
      </c>
      <c r="R33" s="1570" t="s">
        <v>8</v>
      </c>
      <c r="S33" s="1571">
        <f t="shared" si="10"/>
        <v>100</v>
      </c>
      <c r="T33" s="1570" t="s">
        <v>8</v>
      </c>
      <c r="U33" s="1571">
        <f t="shared" si="11"/>
        <v>100</v>
      </c>
      <c r="V33" s="1570" t="s">
        <v>8</v>
      </c>
      <c r="W33" s="1571">
        <f t="shared" si="12"/>
        <v>100</v>
      </c>
      <c r="X33" s="1564"/>
      <c r="Y33" s="4209"/>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4210" t="s">
        <v>550</v>
      </c>
      <c r="Q34" s="1569">
        <f t="shared" si="8"/>
        <v>111</v>
      </c>
      <c r="R34" s="1570" t="s">
        <v>8</v>
      </c>
      <c r="S34" s="1571">
        <f t="shared" si="10"/>
        <v>100</v>
      </c>
      <c r="T34" s="1570" t="s">
        <v>8</v>
      </c>
      <c r="U34" s="1571">
        <f t="shared" si="11"/>
        <v>100</v>
      </c>
      <c r="V34" s="1570" t="s">
        <v>8</v>
      </c>
      <c r="W34" s="1571">
        <f t="shared" si="12"/>
        <v>100</v>
      </c>
      <c r="X34" s="1564"/>
      <c r="Y34" s="4211" t="s">
        <v>550</v>
      </c>
      <c r="Z34" s="1572">
        <f t="shared" si="13"/>
        <v>111</v>
      </c>
      <c r="AA34" s="1573">
        <f t="shared" si="3"/>
        <v>1</v>
      </c>
      <c r="AB34" s="1573">
        <f t="shared" si="4"/>
        <v>1</v>
      </c>
      <c r="AC34" s="1573">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4211"/>
      <c r="Q35" s="1569">
        <f t="shared" si="8"/>
        <v>111</v>
      </c>
      <c r="R35" s="1574" t="s">
        <v>8</v>
      </c>
      <c r="S35" s="1575">
        <f t="shared" si="10"/>
        <v>100</v>
      </c>
      <c r="T35" s="1574" t="s">
        <v>8</v>
      </c>
      <c r="U35" s="1575">
        <f t="shared" si="11"/>
        <v>100</v>
      </c>
      <c r="V35" s="1574" t="s">
        <v>8</v>
      </c>
      <c r="W35" s="1575">
        <f t="shared" si="12"/>
        <v>100</v>
      </c>
      <c r="X35" s="1576"/>
      <c r="Y35" s="4211"/>
      <c r="Z35" s="1577">
        <f t="shared" si="13"/>
        <v>111</v>
      </c>
      <c r="AA35" s="1573">
        <f t="shared" si="3"/>
        <v>1</v>
      </c>
      <c r="AB35" s="1573">
        <f t="shared" si="4"/>
        <v>1</v>
      </c>
      <c r="AC35" s="1573">
        <f t="shared" si="5"/>
        <v>1</v>
      </c>
    </row>
    <row r="36" spans="1:29" ht="15">
      <c r="A36" s="2929"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4211"/>
      <c r="Q36" s="1569" t="str">
        <f>B36</f>
        <v>宗地面积</v>
      </c>
      <c r="R36" s="1570" t="s">
        <v>8</v>
      </c>
      <c r="S36" s="1571" t="e">
        <f t="shared" si="10"/>
        <v>#N/A</v>
      </c>
      <c r="T36" s="1570" t="s">
        <v>8</v>
      </c>
      <c r="U36" s="1571" t="e">
        <f t="shared" si="11"/>
        <v>#N/A</v>
      </c>
      <c r="V36" s="1570" t="s">
        <v>8</v>
      </c>
      <c r="W36" s="1571" t="e">
        <f t="shared" si="12"/>
        <v>#N/A</v>
      </c>
      <c r="X36" s="1564"/>
      <c r="Y36" s="4211"/>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4211"/>
      <c r="Q37" s="1569" t="str">
        <f t="shared" ref="Q37:Q42" si="14">B37</f>
        <v>宗地形状</v>
      </c>
      <c r="R37" s="1570" t="s">
        <v>8</v>
      </c>
      <c r="S37" s="1571">
        <f t="shared" si="10"/>
        <v>100</v>
      </c>
      <c r="T37" s="1570" t="s">
        <v>8</v>
      </c>
      <c r="U37" s="1571">
        <f t="shared" si="11"/>
        <v>100</v>
      </c>
      <c r="V37" s="1570" t="s">
        <v>8</v>
      </c>
      <c r="W37" s="1571">
        <f t="shared" si="12"/>
        <v>100</v>
      </c>
      <c r="X37" s="1564"/>
      <c r="Y37" s="4211"/>
      <c r="Z37" s="1572" t="str">
        <f t="shared" si="13"/>
        <v>宗地形状</v>
      </c>
      <c r="AA37" s="1573">
        <f t="shared" si="3"/>
        <v>1</v>
      </c>
      <c r="AB37" s="1573">
        <f t="shared" si="4"/>
        <v>1</v>
      </c>
      <c r="AC37" s="1573">
        <f t="shared" si="5"/>
        <v>1</v>
      </c>
    </row>
    <row r="38" spans="1:29" s="1218" customFormat="1" ht="15">
      <c r="A38" s="598"/>
      <c r="B38" s="1893"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4211"/>
      <c r="Q38" s="1569" t="str">
        <f t="shared" si="14"/>
        <v>宗地开发程度</v>
      </c>
      <c r="R38" s="1565" t="s">
        <v>8</v>
      </c>
      <c r="S38" s="1566">
        <f t="shared" si="10"/>
        <v>100</v>
      </c>
      <c r="T38" s="1565" t="s">
        <v>8</v>
      </c>
      <c r="U38" s="1566">
        <f t="shared" si="11"/>
        <v>100</v>
      </c>
      <c r="V38" s="1565" t="s">
        <v>8</v>
      </c>
      <c r="W38" s="1566">
        <f t="shared" si="12"/>
        <v>100</v>
      </c>
      <c r="X38" s="1567"/>
      <c r="Y38" s="4211"/>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11" t="s">
        <v>601</v>
      </c>
      <c r="Q39" s="1569" t="str">
        <f t="shared" si="14"/>
        <v>工程地质条件</v>
      </c>
      <c r="R39" s="1570" t="s">
        <v>8</v>
      </c>
      <c r="S39" s="1571">
        <f t="shared" si="10"/>
        <v>100</v>
      </c>
      <c r="T39" s="1570" t="s">
        <v>8</v>
      </c>
      <c r="U39" s="1571">
        <f t="shared" si="11"/>
        <v>100</v>
      </c>
      <c r="V39" s="1570" t="s">
        <v>8</v>
      </c>
      <c r="W39" s="1571">
        <f t="shared" si="12"/>
        <v>100</v>
      </c>
      <c r="X39" s="1564"/>
      <c r="Y39" s="4211"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4211"/>
      <c r="Q40" s="1569">
        <f t="shared" si="14"/>
        <v>111</v>
      </c>
      <c r="R40" s="1570" t="s">
        <v>8</v>
      </c>
      <c r="S40" s="1571">
        <f t="shared" si="10"/>
        <v>100</v>
      </c>
      <c r="T40" s="1570" t="s">
        <v>8</v>
      </c>
      <c r="U40" s="1571">
        <f t="shared" si="11"/>
        <v>100</v>
      </c>
      <c r="V40" s="1570" t="s">
        <v>8</v>
      </c>
      <c r="W40" s="1571">
        <f t="shared" si="12"/>
        <v>100</v>
      </c>
      <c r="X40" s="1564"/>
      <c r="Y40" s="4211"/>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4211"/>
      <c r="Q41" s="1569">
        <f t="shared" si="14"/>
        <v>111</v>
      </c>
      <c r="R41" s="1570" t="s">
        <v>8</v>
      </c>
      <c r="S41" s="1571">
        <f t="shared" si="10"/>
        <v>100</v>
      </c>
      <c r="T41" s="1570" t="s">
        <v>8</v>
      </c>
      <c r="U41" s="1571">
        <f t="shared" si="11"/>
        <v>100</v>
      </c>
      <c r="V41" s="1570" t="s">
        <v>8</v>
      </c>
      <c r="W41" s="1571">
        <f t="shared" si="12"/>
        <v>100</v>
      </c>
      <c r="X41" s="1564"/>
      <c r="Y41" s="4211"/>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4211"/>
      <c r="Q42" s="1569">
        <f t="shared" si="14"/>
        <v>111</v>
      </c>
      <c r="R42" s="1574" t="s">
        <v>8</v>
      </c>
      <c r="S42" s="1575">
        <f t="shared" si="10"/>
        <v>100</v>
      </c>
      <c r="T42" s="1574" t="s">
        <v>8</v>
      </c>
      <c r="U42" s="1575">
        <f t="shared" si="11"/>
        <v>100</v>
      </c>
      <c r="V42" s="1574" t="s">
        <v>8</v>
      </c>
      <c r="W42" s="1575">
        <f t="shared" si="12"/>
        <v>100</v>
      </c>
      <c r="X42" s="1576"/>
      <c r="Y42" s="4211"/>
      <c r="Z42" s="1577">
        <f t="shared" si="13"/>
        <v>111</v>
      </c>
      <c r="AA42" s="1573">
        <f t="shared" si="3"/>
        <v>1</v>
      </c>
      <c r="AB42" s="1573">
        <f t="shared" si="4"/>
        <v>1</v>
      </c>
      <c r="AC42" s="1573">
        <f t="shared" si="5"/>
        <v>1</v>
      </c>
    </row>
    <row r="43" spans="1:29" ht="15">
      <c r="A43" s="605" t="s">
        <v>556</v>
      </c>
      <c r="B43" s="606" t="s">
        <v>2922</v>
      </c>
      <c r="C43" s="607" t="s">
        <v>1</v>
      </c>
      <c r="D43" s="608"/>
      <c r="E43" s="609"/>
      <c r="F43" s="610"/>
      <c r="G43" s="611"/>
      <c r="H43" s="612"/>
      <c r="I43" s="609"/>
      <c r="J43" s="612"/>
      <c r="K43" s="1338"/>
      <c r="L43" s="2142"/>
      <c r="M43" s="2132"/>
      <c r="N43" s="2132"/>
      <c r="O43" s="2143"/>
      <c r="P43" s="4206" t="str">
        <f>A43</f>
        <v>成交单价</v>
      </c>
      <c r="Q43" s="4206"/>
      <c r="R43" s="4220">
        <f>E43</f>
        <v>0</v>
      </c>
      <c r="S43" s="4220"/>
      <c r="T43" s="4220">
        <f>G43</f>
        <v>0</v>
      </c>
      <c r="U43" s="4220"/>
      <c r="V43" s="4220">
        <f>I43</f>
        <v>0</v>
      </c>
      <c r="W43" s="4220"/>
      <c r="X43" s="1556"/>
      <c r="Y43" s="1578"/>
      <c r="Z43" s="1556"/>
      <c r="AA43" s="1556"/>
      <c r="AB43" s="1556"/>
      <c r="AC43" s="1556"/>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4206" t="str">
        <f>A44</f>
        <v>比较价格（元/平方米）</v>
      </c>
      <c r="Q44" s="4206"/>
      <c r="R44" s="4230" t="e">
        <f>ROUND(PRODUCT(R43,AA9:AA42),0)</f>
        <v>#DIV/0!</v>
      </c>
      <c r="S44" s="4230"/>
      <c r="T44" s="4230" t="e">
        <f>ROUND(PRODUCT(T43,AB9:AB42),0)</f>
        <v>#DIV/0!</v>
      </c>
      <c r="U44" s="4230"/>
      <c r="V44" s="4230" t="e">
        <f>ROUND(PRODUCT(V43,AC9:AC42),0)</f>
        <v>#DIV/0!</v>
      </c>
      <c r="W44" s="4230"/>
      <c r="X44" s="1556"/>
      <c r="Y44" s="1556"/>
      <c r="Z44" s="1556"/>
      <c r="AA44" s="1556"/>
      <c r="AB44" s="1556"/>
      <c r="AC44" s="1556"/>
    </row>
    <row r="45" spans="1:29" ht="15.75" thickBot="1">
      <c r="A45" s="619" t="s">
        <v>2923</v>
      </c>
      <c r="B45" s="620"/>
      <c r="C45" s="621" t="e">
        <f>R45</f>
        <v>#DIV/0!</v>
      </c>
      <c r="D45" s="621"/>
      <c r="E45" s="621"/>
      <c r="F45" s="621"/>
      <c r="G45" s="621"/>
      <c r="H45" s="621"/>
      <c r="I45" s="621"/>
      <c r="J45" s="621"/>
      <c r="K45" s="1340"/>
      <c r="L45" s="2142"/>
      <c r="M45" s="2132"/>
      <c r="N45" s="2132"/>
      <c r="O45" s="2143"/>
      <c r="P45" s="4227" t="str">
        <f>A45</f>
        <v>估价对象XX用房的比较价格（楼面单价，元/平方米）</v>
      </c>
      <c r="Q45" s="4228"/>
      <c r="R45" s="4229" t="e">
        <f>ROUND(AVERAGE(R44:V44),0)</f>
        <v>#DIV/0!</v>
      </c>
      <c r="S45" s="4229"/>
      <c r="T45" s="4229"/>
      <c r="U45" s="4229"/>
      <c r="V45" s="4229"/>
      <c r="W45" s="4229"/>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7" t="s">
        <v>1724</v>
      </c>
      <c r="D52" s="2225" t="s">
        <v>2295</v>
      </c>
      <c r="E52" s="629" t="s">
        <v>562</v>
      </c>
      <c r="F52" s="1949" t="s">
        <v>563</v>
      </c>
      <c r="G52" s="4232" t="s">
        <v>2286</v>
      </c>
      <c r="H52" s="4233"/>
      <c r="I52" s="1950" t="s">
        <v>1947</v>
      </c>
      <c r="J52" s="1552" t="str">
        <f>项目基本情况!F41</f>
        <v>四川省成都市都江堰市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336517.39</v>
      </c>
      <c r="F53" s="1948" t="e">
        <f t="shared" ref="F53:F62" si="15">ROUND(B53*E53/10000,0)</f>
        <v>#DIV/0!</v>
      </c>
      <c r="G53" s="4234"/>
      <c r="H53" s="4235"/>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v>
      </c>
      <c r="D54" s="2227">
        <v>0.25</v>
      </c>
      <c r="E54" s="637"/>
      <c r="F54" s="1948" t="e">
        <f t="shared" si="15"/>
        <v>#DIV/0!</v>
      </c>
      <c r="G54" s="4236"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v>
      </c>
      <c r="D55" s="2227">
        <v>0.25</v>
      </c>
      <c r="E55" s="637"/>
      <c r="F55" s="1948" t="e">
        <f t="shared" si="15"/>
        <v>#DIV/0!</v>
      </c>
      <c r="G55" s="4236"/>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v>
      </c>
      <c r="D56" s="2227">
        <v>0.25</v>
      </c>
      <c r="E56" s="637"/>
      <c r="F56" s="1948" t="e">
        <f t="shared" si="15"/>
        <v>#DIV/0!</v>
      </c>
      <c r="G56" s="4236"/>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v>
      </c>
      <c r="D57" s="2227">
        <v>0.25</v>
      </c>
      <c r="E57" s="637"/>
      <c r="F57" s="1948" t="e">
        <f t="shared" si="15"/>
        <v>#DIV/0!</v>
      </c>
      <c r="G57" s="4236"/>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2328</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v>
      </c>
      <c r="D60" s="2227">
        <v>0.25</v>
      </c>
      <c r="E60" s="639">
        <f>'数据-汇总表'!E13</f>
        <v>84751.42</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2296</v>
      </c>
      <c r="E63" s="641">
        <f>IF(B43="楼面地价",SUM(E53:E62),'数据-汇总表'!D3)</f>
        <v>410194.62</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5" customFormat="1" ht="15">
      <c r="A67" s="2590" t="s">
        <v>2533</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2648</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2548</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9" t="s">
        <v>2550</v>
      </c>
      <c r="C95" s="2620" t="s">
        <v>2551</v>
      </c>
      <c r="D95" s="2620" t="s">
        <v>2552</v>
      </c>
      <c r="E95" s="2620" t="s">
        <v>2553</v>
      </c>
      <c r="F95" s="2620" t="s">
        <v>2554</v>
      </c>
      <c r="G95" s="2620" t="s">
        <v>2555</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2" t="str">
        <f t="shared" si="25"/>
        <v>(含)-</v>
      </c>
      <c r="L109" s="3113" t="str">
        <f t="shared" si="25"/>
        <v>(含)-</v>
      </c>
      <c r="M109" s="3114"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2425</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7" sqref="I37"/>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4"/>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3" t="s">
        <v>919</v>
      </c>
      <c r="B2" s="1036"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1687</v>
      </c>
      <c r="B3" s="1036" t="e">
        <f>ROUND(B2*10000/D1,0)</f>
        <v>#DIV/0!</v>
      </c>
      <c r="C3" s="1404" t="s">
        <v>926</v>
      </c>
      <c r="D3" s="1405" t="s">
        <v>927</v>
      </c>
      <c r="E3" s="1409"/>
      <c r="F3" s="1410" t="s">
        <v>2924</v>
      </c>
      <c r="G3" s="1037">
        <f>IF(F3="宗地容积率",'数据-汇总表'!I4,IF(F3="估价对象容积率",'数据-汇总表'!I6,'数据-汇总表'!I7))</f>
        <v>0.86</v>
      </c>
      <c r="H3" s="1411" t="s">
        <v>928</v>
      </c>
      <c r="I3" s="1038">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1823</v>
      </c>
      <c r="B5" s="1412" t="s">
        <v>930</v>
      </c>
      <c r="C5" s="1039" t="e">
        <f>ROUND(IF(E2="商业",IF(F16="增加",C6*C7+C16,C6*C7-C16),IF(E2="住宅",IF(F16="增加",C6*C12+C16,C6*C12-C16),IF(F16="增加",C6+C16,C6-C16))),0)</f>
        <v>#DIV/0!</v>
      </c>
      <c r="D5" s="3144">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4244" t="str">
        <f>IF(E2="商业",IF(C8="不临58条商业街","",2),"")</f>
        <v/>
      </c>
      <c r="B7" s="1424" t="s">
        <v>931</v>
      </c>
      <c r="C7" s="1041" t="e">
        <f>IF(C8="不临58条商业街",1,ROUND(1+(1.6*E8+1.2*E9+0.8*E10+0.4*E11)*C9,4))</f>
        <v>#DIV/0!</v>
      </c>
      <c r="D7" s="1425" t="s">
        <v>932</v>
      </c>
      <c r="E7" s="1042"/>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2764</v>
      </c>
      <c r="X7" s="2949">
        <f>G2</f>
        <v>0</v>
      </c>
      <c r="Y7" s="2949" t="s">
        <v>2765</v>
      </c>
      <c r="Z7" s="2950">
        <f>G3</f>
        <v>0.86</v>
      </c>
      <c r="AA7" s="2190"/>
      <c r="AB7" s="2190"/>
      <c r="AC7" s="2191"/>
      <c r="AD7" s="2951"/>
      <c r="AE7" s="2951"/>
      <c r="AF7" s="2951"/>
      <c r="AG7" s="2951"/>
      <c r="AH7" s="2951"/>
      <c r="AI7" s="2951"/>
      <c r="AJ7" s="2952"/>
    </row>
    <row r="8" spans="1:39" ht="15">
      <c r="A8" s="4245"/>
      <c r="B8" s="1411" t="s">
        <v>933</v>
      </c>
      <c r="C8" s="1526"/>
      <c r="D8" s="1043" t="s">
        <v>934</v>
      </c>
      <c r="E8" s="1044"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4254" t="s">
        <v>2782</v>
      </c>
      <c r="X8" s="4255"/>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4245"/>
      <c r="B9" s="1411" t="s">
        <v>936</v>
      </c>
      <c r="C9" s="1045">
        <f>SUMIF(修正!C59:C119,C8,修正!E59:E119)</f>
        <v>0</v>
      </c>
      <c r="D9" s="1046" t="s">
        <v>937</v>
      </c>
      <c r="E9" s="1046"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4253" t="s">
        <v>2778</v>
      </c>
      <c r="X9" s="2953" t="s">
        <v>2779</v>
      </c>
      <c r="Y9" s="3118"/>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4245"/>
      <c r="B10" s="1411" t="s">
        <v>939</v>
      </c>
      <c r="C10" s="1046">
        <f>SUMIF(修正!C59:C119,C8,修正!F59:F119)</f>
        <v>0</v>
      </c>
      <c r="D10" s="1046" t="s">
        <v>940</v>
      </c>
      <c r="E10" s="1046"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425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4245"/>
      <c r="B11" s="1432" t="s">
        <v>942</v>
      </c>
      <c r="C11" s="1047">
        <f>C10/4</f>
        <v>0</v>
      </c>
      <c r="D11" s="1047" t="s">
        <v>943</v>
      </c>
      <c r="E11" s="1047"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4253" t="s">
        <v>2780</v>
      </c>
      <c r="X11" s="1046" t="s">
        <v>2765</v>
      </c>
      <c r="Y11" s="1650">
        <f>$G$3</f>
        <v>0.86</v>
      </c>
      <c r="Z11" s="1650">
        <f t="shared" ref="Z11:AJ11" si="3">$G$3</f>
        <v>0.86</v>
      </c>
      <c r="AA11" s="1650">
        <f t="shared" si="3"/>
        <v>0.86</v>
      </c>
      <c r="AB11" s="1650">
        <f t="shared" si="3"/>
        <v>0.86</v>
      </c>
      <c r="AC11" s="1650">
        <f t="shared" si="3"/>
        <v>0.86</v>
      </c>
      <c r="AD11" s="1650">
        <f t="shared" si="3"/>
        <v>0.86</v>
      </c>
      <c r="AE11" s="1650">
        <f t="shared" si="3"/>
        <v>0.86</v>
      </c>
      <c r="AF11" s="1650">
        <f t="shared" si="3"/>
        <v>0.86</v>
      </c>
      <c r="AG11" s="1650">
        <f t="shared" si="3"/>
        <v>0.86</v>
      </c>
      <c r="AH11" s="1650">
        <f t="shared" si="3"/>
        <v>0.86</v>
      </c>
      <c r="AI11" s="1650">
        <f t="shared" si="3"/>
        <v>0.86</v>
      </c>
      <c r="AJ11" s="1650">
        <f t="shared" si="3"/>
        <v>0.86</v>
      </c>
    </row>
    <row r="12" spans="1:39" ht="25.5" thickBot="1">
      <c r="A12" s="4244" t="s">
        <v>1871</v>
      </c>
      <c r="B12" s="1436" t="s">
        <v>945</v>
      </c>
      <c r="C12" s="1041">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4253"/>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4246"/>
      <c r="B13" s="1441" t="s">
        <v>1696</v>
      </c>
      <c r="C13" s="1442" t="s">
        <v>1697</v>
      </c>
      <c r="D13" s="1087" t="s">
        <v>1698</v>
      </c>
      <c r="E13" s="1087" t="s">
        <v>1699</v>
      </c>
      <c r="F13" s="1443" t="s">
        <v>947</v>
      </c>
      <c r="G13" s="1444" t="s">
        <v>1642</v>
      </c>
      <c r="H13" s="1445" t="s">
        <v>1642</v>
      </c>
      <c r="I13" s="1446" t="s">
        <v>1642</v>
      </c>
      <c r="J13" s="1447" t="s">
        <v>1642</v>
      </c>
      <c r="K13" s="1398"/>
      <c r="L13" s="2187"/>
      <c r="M13" s="2187"/>
      <c r="N13" s="2187"/>
      <c r="O13" s="2187"/>
      <c r="P13" s="2187"/>
      <c r="Q13" s="2187"/>
      <c r="R13" s="2959">
        <v>12</v>
      </c>
      <c r="S13" s="2948"/>
      <c r="T13" s="2959" t="e">
        <f t="shared" si="0"/>
        <v>#DIV/0!</v>
      </c>
      <c r="U13" s="2948"/>
      <c r="V13" s="2959" t="e">
        <f t="shared" si="1"/>
        <v>#DIV/0!</v>
      </c>
      <c r="W13" s="4253"/>
      <c r="X13" s="2956"/>
      <c r="Y13" s="2955">
        <f>(-0.163*(Y12^2)-0.59*Y12+7617)*(10^(-4))/Y11</f>
        <v>0.8856976744186047</v>
      </c>
      <c r="Z13" s="2955">
        <f t="shared" ref="Z13:AJ13" si="5">(-0.163*(Z12^2)-0.59*Z12+7617)*(10^(-4))/Z11</f>
        <v>0.8856976744186047</v>
      </c>
      <c r="AA13" s="2955">
        <f t="shared" si="5"/>
        <v>0.8856976744186047</v>
      </c>
      <c r="AB13" s="2955">
        <f t="shared" si="5"/>
        <v>0.8856976744186047</v>
      </c>
      <c r="AC13" s="2955">
        <f t="shared" si="5"/>
        <v>0.8856976744186047</v>
      </c>
      <c r="AD13" s="2955">
        <f t="shared" si="5"/>
        <v>0.8856976744186047</v>
      </c>
      <c r="AE13" s="2955">
        <f t="shared" si="5"/>
        <v>0.8856976744186047</v>
      </c>
      <c r="AF13" s="2955">
        <f t="shared" si="5"/>
        <v>0.8856976744186047</v>
      </c>
      <c r="AG13" s="2955">
        <f t="shared" si="5"/>
        <v>0.8856976744186047</v>
      </c>
      <c r="AH13" s="2955">
        <f t="shared" si="5"/>
        <v>0.8856976744186047</v>
      </c>
      <c r="AI13" s="2955">
        <f t="shared" si="5"/>
        <v>0.8856976744186047</v>
      </c>
      <c r="AJ13" s="2955">
        <f t="shared" si="5"/>
        <v>0.8856976744186047</v>
      </c>
    </row>
    <row r="14" spans="1:39" ht="12.75" customHeight="1" thickBot="1">
      <c r="A14" s="4246"/>
      <c r="B14" s="1448"/>
      <c r="C14" s="1449"/>
      <c r="D14" s="1450"/>
      <c r="E14" s="1450"/>
      <c r="F14" s="1451"/>
      <c r="G14" s="1452" t="s">
        <v>948</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4247"/>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7"/>
      <c r="R15" s="2959">
        <v>14</v>
      </c>
      <c r="S15" s="2948"/>
      <c r="T15" s="2959" t="e">
        <f t="shared" si="0"/>
        <v>#DIV/0!</v>
      </c>
      <c r="U15" s="2948"/>
      <c r="V15" s="2959" t="e">
        <f t="shared" si="1"/>
        <v>#DIV/0!</v>
      </c>
      <c r="W15" s="2187"/>
      <c r="X15" s="2187"/>
      <c r="Y15" s="2187"/>
      <c r="Z15" s="2187"/>
      <c r="AA15" s="2187"/>
      <c r="AB15" s="2187"/>
      <c r="AC15" s="2188"/>
    </row>
    <row r="16" spans="1:39" ht="24">
      <c r="A16" s="4244"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4245"/>
      <c r="B17" s="1462" t="s">
        <v>952</v>
      </c>
      <c r="C17" s="1053">
        <f>SUMPRODUCT((修正!A2:A5=E2)*(修正!B1:M1=G2)*(修正!B2:M5))</f>
        <v>0</v>
      </c>
      <c r="D17" s="1464" t="s">
        <v>953</v>
      </c>
      <c r="E17" s="1465" t="str">
        <f>IF(OR(G2="八级",G2="九级",G2="十级",G2="十一级",G2="十二级"),"五通一平","七通一平")</f>
        <v>七通一平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1829</v>
      </c>
      <c r="B18" s="2794" t="s">
        <v>955</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43251</v>
      </c>
      <c r="H19" s="1472" t="s">
        <v>2925</v>
      </c>
      <c r="I19" s="2806" t="str">
        <f>IF(H19="季度增幅（自定义）",SUMIF(N21:N24,E2,O21:O24),"")</f>
        <v/>
      </c>
      <c r="J19" s="1468"/>
      <c r="K19" s="1478"/>
      <c r="L19" s="3060" t="s">
        <v>2840</v>
      </c>
      <c r="M19" s="3061">
        <f>ROUND(SUMIF(地价!B2:F2,E2,地价!B22:F22),0)</f>
        <v>0</v>
      </c>
      <c r="N19" s="2808" t="s">
        <v>1676</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1836</v>
      </c>
      <c r="B20" s="2801" t="s">
        <v>971</v>
      </c>
      <c r="C20" s="2802" t="e">
        <f>ROUND(POWER(1+G20,J20-I20)*(POWER(1+G20,I20)-1)/(POWER(1+G20,J20)-1),4)</f>
        <v>#DIV/0!</v>
      </c>
      <c r="D20" s="2803" t="s">
        <v>972</v>
      </c>
      <c r="E20" s="3115">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8"/>
      <c r="L20" s="3062" t="s">
        <v>2841</v>
      </c>
      <c r="M20" s="3063">
        <f>ROUND(SUMPRODUCT((地价!A4:A22=YEAR(G19)&amp;"-"&amp;ROUNDUP(MONTH(G19)/3,0))*(地价!B2:F2=E2)*(地价!B4:F22)),0)</f>
        <v>0</v>
      </c>
      <c r="N20" s="2811" t="s">
        <v>2645</v>
      </c>
      <c r="O20" s="2809" t="s">
        <v>2644</v>
      </c>
      <c r="P20" s="2810" t="s">
        <v>2649</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1837</v>
      </c>
      <c r="B21" s="1477" t="s">
        <v>2760</v>
      </c>
      <c r="C21" s="1156">
        <f>IF(B21="容积率修正",IF(G3&lt;=10,D22,J22),C23)</f>
        <v>0</v>
      </c>
      <c r="D21" s="1478"/>
      <c r="E21" s="1478"/>
      <c r="F21" s="1478"/>
      <c r="G21" s="1478"/>
      <c r="H21" s="1478"/>
      <c r="I21" s="1478"/>
      <c r="J21" s="1479"/>
      <c r="K21" s="1478"/>
      <c r="L21" s="1478"/>
      <c r="M21" s="1478"/>
      <c r="N21" s="1475" t="s">
        <v>975</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1870</v>
      </c>
      <c r="B22" s="1480" t="s">
        <v>976</v>
      </c>
      <c r="C22" s="1058" t="s">
        <v>1702</v>
      </c>
      <c r="D22" s="1058">
        <f>IF(E22=G22,F22,IF(G3&lt;=10,ROUND(F22+(H22-F22)*(G3-E22)/(G22-E22),4),"——"))</f>
        <v>0</v>
      </c>
      <c r="E22" s="1037">
        <f>ROUNDDOWN(G3,1)</f>
        <v>0.8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8"/>
      <c r="L22" s="1478"/>
      <c r="M22" s="1478"/>
      <c r="N22" s="1475" t="s">
        <v>978</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819" t="s">
        <v>2647</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986</v>
      </c>
      <c r="C26" s="1061"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989</v>
      </c>
      <c r="C28" s="1496" t="s">
        <v>990</v>
      </c>
      <c r="D28" s="1496" t="s">
        <v>991</v>
      </c>
      <c r="E28" s="1497" t="s">
        <v>992</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993</v>
      </c>
      <c r="C29" s="1061" t="e">
        <f>ROUND(C5*C18*C19*C20*C21*C24,0)</f>
        <v>#DIV/0!</v>
      </c>
      <c r="D29" s="1501"/>
      <c r="E29" s="1847" t="e">
        <f>ROUND(C29*D29/10000,0)</f>
        <v>#DIV/0!</v>
      </c>
      <c r="F29" s="1502" t="s">
        <v>1701</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994</v>
      </c>
      <c r="C30" s="1049"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4250" t="s">
        <v>2951</v>
      </c>
      <c r="B33" s="1521" t="s">
        <v>999</v>
      </c>
      <c r="C33" s="1061" t="e">
        <f>ROUND(D5*C19*C20*C24*F33,0)</f>
        <v>#DIV/0!</v>
      </c>
      <c r="D33" s="1534"/>
      <c r="E33" s="1046" t="e">
        <f>ROUND(C33*D33/10000,0)</f>
        <v>#DIV/0!</v>
      </c>
      <c r="F33" s="1046">
        <f>SUMIF(修正!A45:A56,G2,修正!B45:B56)</f>
        <v>0</v>
      </c>
      <c r="G33" s="1046" t="e">
        <f t="shared" ref="G33:G39" si="6">ROUND(IF(E2="工业",C33*$M$39,C33*$M$38),0)</f>
        <v>#DIV/0!</v>
      </c>
      <c r="H33" s="1046">
        <f>D33</f>
        <v>0</v>
      </c>
      <c r="I33" s="1046"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4251"/>
      <c r="B34" s="1442" t="s">
        <v>1000</v>
      </c>
      <c r="C34" s="1061" t="e">
        <f>ROUND(D5*C19*C20*C24*F34,0)</f>
        <v>#DIV/0!</v>
      </c>
      <c r="D34" s="1534"/>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4251"/>
      <c r="B35" s="1442" t="s">
        <v>1001</v>
      </c>
      <c r="C35" s="1061" t="e">
        <f>ROUND(D5*C19*C20*C24*F35,0)</f>
        <v>#DIV/0!</v>
      </c>
      <c r="D35" s="1534"/>
      <c r="E35" s="1046" t="e">
        <f t="shared" si="7"/>
        <v>#DIV/0!</v>
      </c>
      <c r="F35" s="1046">
        <f>SUMIF(修正!A45:A56,G2,修正!D45:D56)</f>
        <v>0</v>
      </c>
      <c r="G35" s="1046" t="e">
        <f t="shared" si="6"/>
        <v>#DIV/0!</v>
      </c>
      <c r="H35" s="1046">
        <f t="shared" si="8"/>
        <v>0</v>
      </c>
      <c r="I35" s="1046"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4252"/>
      <c r="B36" s="1442" t="s">
        <v>1002</v>
      </c>
      <c r="C36" s="1061" t="e">
        <f>ROUND(D5*C19*C20*C24*F36,0)</f>
        <v>#DIV/0!</v>
      </c>
      <c r="D36" s="1534"/>
      <c r="E36" s="1046" t="e">
        <f t="shared" si="7"/>
        <v>#DIV/0!</v>
      </c>
      <c r="F36" s="1046">
        <f>SUMIF(修正!A45:A56,G2,修正!E45:E56)</f>
        <v>0</v>
      </c>
      <c r="G36" s="1046" t="e">
        <f t="shared" si="6"/>
        <v>#DIV/0!</v>
      </c>
      <c r="H36" s="1046">
        <f t="shared" si="8"/>
        <v>0</v>
      </c>
      <c r="I36" s="1046"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1003</v>
      </c>
      <c r="C37" s="1046" t="e">
        <f>ROUND(C5*C19*C20*C24*F37,0)</f>
        <v>#DIV/0!</v>
      </c>
      <c r="D37" s="1534"/>
      <c r="E37" s="1046" t="e">
        <f t="shared" si="7"/>
        <v>#DIV/0!</v>
      </c>
      <c r="F37" s="1061">
        <f>SUMIF(修正!A45:A56,G2,修正!F45:F56)</f>
        <v>0</v>
      </c>
      <c r="G37" s="1046" t="e">
        <f t="shared" si="6"/>
        <v>#DIV/0!</v>
      </c>
      <c r="H37" s="1046">
        <f t="shared" si="8"/>
        <v>0</v>
      </c>
      <c r="I37" s="1046"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1004</v>
      </c>
      <c r="C38" s="1046" t="e">
        <f>ROUND(C5*C19*C20*C24*F38,0)</f>
        <v>#DIV/0!</v>
      </c>
      <c r="D38" s="1534"/>
      <c r="E38" s="1046" t="e">
        <f t="shared" si="7"/>
        <v>#DIV/0!</v>
      </c>
      <c r="F38" s="1061">
        <f>SUMIF(修正!A45:A56,G2,修正!G45:G56)</f>
        <v>0</v>
      </c>
      <c r="G38" s="1046" t="e">
        <f t="shared" si="6"/>
        <v>#DIV/0!</v>
      </c>
      <c r="H38" s="1046">
        <f t="shared" si="8"/>
        <v>0</v>
      </c>
      <c r="I38" s="1046"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1005</v>
      </c>
      <c r="C39" s="1049" t="e">
        <f>ROUND(C5*C19*C20*C24*F39,0)</f>
        <v>#DIV/0!</v>
      </c>
      <c r="D39" s="1535"/>
      <c r="E39" s="1049" t="e">
        <f t="shared" si="7"/>
        <v>#DIV/0!</v>
      </c>
      <c r="F39" s="1063">
        <f>SUMIF(修正!A45:A56,G2,修正!H45:H56)</f>
        <v>0</v>
      </c>
      <c r="G39" s="1049" t="e">
        <f t="shared" si="6"/>
        <v>#DIV/0!</v>
      </c>
      <c r="H39" s="1049">
        <f t="shared" si="8"/>
        <v>0</v>
      </c>
      <c r="I39" s="1049"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5" t="s">
        <v>1008</v>
      </c>
      <c r="B46" s="2430" t="s">
        <v>1009</v>
      </c>
      <c r="C46" s="2452" t="s">
        <v>1010</v>
      </c>
      <c r="D46" s="2453" t="s">
        <v>1011</v>
      </c>
      <c r="E46" s="2454" t="s">
        <v>1013</v>
      </c>
      <c r="F46" s="2455" t="s">
        <v>2252</v>
      </c>
      <c r="G46" s="2453" t="s">
        <v>1014</v>
      </c>
      <c r="H46" s="2436" t="s">
        <v>2418</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5" t="s">
        <v>1020</v>
      </c>
      <c r="B47" s="2433" t="str">
        <f>估价对象房地状况!C16</f>
        <v>XX商圈，周边商业氛围，人流量</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5" t="s">
        <v>1021</v>
      </c>
      <c r="B48" s="2430" t="str">
        <f>估价对象房地状况!C18</f>
        <v>周边道路状况、公共交通通达情况、停车便捷程度</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5" t="s">
        <v>1023</v>
      </c>
      <c r="B50" s="3117" t="s">
        <v>2927</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5" t="s">
        <v>1025</v>
      </c>
      <c r="B52" s="3116" t="s">
        <v>2926</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1026</v>
      </c>
      <c r="B53" s="2431">
        <f>估价对象房地状况!C21</f>
        <v>0</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1027</v>
      </c>
      <c r="B54" s="2430">
        <f>估价对象房地状况!C22</f>
        <v>0</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24.75" thickBot="1">
      <c r="A55" s="2463" t="s">
        <v>1028</v>
      </c>
      <c r="B55" s="2434">
        <f>估价对象房地状况!C20</f>
        <v>0</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5" t="s">
        <v>1008</v>
      </c>
      <c r="B57" s="2430"/>
      <c r="C57" s="2452" t="s">
        <v>1010</v>
      </c>
      <c r="D57" s="2453" t="s">
        <v>1011</v>
      </c>
      <c r="E57" s="2454" t="s">
        <v>1013</v>
      </c>
      <c r="F57" s="2455" t="s">
        <v>2253</v>
      </c>
      <c r="G57" s="2453" t="s">
        <v>1014</v>
      </c>
      <c r="H57" s="2436" t="s">
        <v>2418</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5" t="s">
        <v>1030</v>
      </c>
      <c r="B58" s="2433">
        <f>估价对象房地状况!C17</f>
        <v>0</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5" t="s">
        <v>1021</v>
      </c>
      <c r="B59" s="2430" t="str">
        <f>估价对象房地状况!C18</f>
        <v>周边道路状况、公共交通通达情况、停车便捷程度</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5" t="s">
        <v>1023</v>
      </c>
      <c r="B61" s="3117" t="s">
        <v>2928</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5" t="s">
        <v>1025</v>
      </c>
      <c r="B63" s="3116" t="s">
        <v>2926</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5" t="s">
        <v>1026</v>
      </c>
      <c r="B64" s="2431">
        <f>估价对象房地状况!C21</f>
        <v>0</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5" t="s">
        <v>1027</v>
      </c>
      <c r="B65" s="2431">
        <f>估价对象房地状况!C22</f>
        <v>0</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24.75" thickBot="1">
      <c r="A66" s="2463" t="s">
        <v>1028</v>
      </c>
      <c r="B66" s="2435">
        <f>估价对象房地状况!C20</f>
        <v>0</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5" t="s">
        <v>1008</v>
      </c>
      <c r="B68" s="2430"/>
      <c r="C68" s="2452" t="s">
        <v>1010</v>
      </c>
      <c r="D68" s="2453" t="s">
        <v>1011</v>
      </c>
      <c r="E68" s="2454" t="s">
        <v>1013</v>
      </c>
      <c r="F68" s="2455" t="s">
        <v>2254</v>
      </c>
      <c r="G68" s="2453" t="s">
        <v>1014</v>
      </c>
      <c r="H68" s="2436" t="s">
        <v>2418</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36">
      <c r="A69" s="1065" t="s">
        <v>1032</v>
      </c>
      <c r="B69" s="2433" t="str">
        <f>估价对象房地状况!C15</f>
        <v>周边居住用地比例、居住小区规模和社区发展完善程度</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5" t="s">
        <v>1033</v>
      </c>
      <c r="B70" s="2430" t="str">
        <f>估价对象房地状况!C18</f>
        <v>周边道路状况、公共交通通达情况、停车便捷程度</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5" t="s">
        <v>1026</v>
      </c>
      <c r="B73" s="2431">
        <f>估价对象房地状况!C21</f>
        <v>0</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5" t="s">
        <v>1027</v>
      </c>
      <c r="B74" s="2431">
        <f>估价对象房地状况!C22</f>
        <v>0</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5" t="s">
        <v>1025</v>
      </c>
      <c r="B75" s="3116" t="s">
        <v>2926</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24">
      <c r="A76" s="1065" t="s">
        <v>1028</v>
      </c>
      <c r="B76" s="2433">
        <f>估价对象房地状况!C20</f>
        <v>0</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1036</v>
      </c>
      <c r="B78" s="2447">
        <f>1+E80</f>
        <v>1</v>
      </c>
      <c r="C78" s="2466"/>
      <c r="D78" s="2449"/>
      <c r="E78" s="2450"/>
      <c r="F78" s="2451"/>
      <c r="G78" s="2445"/>
      <c r="H78" s="2445"/>
      <c r="I78" s="2445"/>
      <c r="J78" s="1064"/>
      <c r="K78" s="1064"/>
      <c r="L78" s="1064"/>
      <c r="M78" s="1064"/>
      <c r="N78" s="1064"/>
      <c r="AC78" s="1402"/>
      <c r="AD78" s="1401"/>
      <c r="AJ78" s="1400"/>
      <c r="AN78" s="1401"/>
    </row>
    <row r="79" spans="1:40" ht="24">
      <c r="A79" s="1065" t="s">
        <v>1008</v>
      </c>
      <c r="B79" s="2430"/>
      <c r="C79" s="2452" t="s">
        <v>1010</v>
      </c>
      <c r="D79" s="2453" t="s">
        <v>1011</v>
      </c>
      <c r="E79" s="2454" t="s">
        <v>1013</v>
      </c>
      <c r="F79" s="2455" t="s">
        <v>2255</v>
      </c>
      <c r="G79" s="2453" t="s">
        <v>1014</v>
      </c>
      <c r="H79" s="2436" t="s">
        <v>2418</v>
      </c>
      <c r="I79" s="2453" t="s">
        <v>1012</v>
      </c>
      <c r="J79" s="2456" t="s">
        <v>1015</v>
      </c>
      <c r="K79" s="2456" t="s">
        <v>1016</v>
      </c>
      <c r="L79" s="2456" t="s">
        <v>1017</v>
      </c>
      <c r="M79" s="2456" t="s">
        <v>1018</v>
      </c>
      <c r="N79" s="2456" t="s">
        <v>1019</v>
      </c>
      <c r="AC79" s="1402"/>
      <c r="AD79" s="1401"/>
      <c r="AJ79" s="1400"/>
      <c r="AN79" s="1401"/>
    </row>
    <row r="80" spans="1:40" ht="24">
      <c r="A80" s="1065" t="s">
        <v>1037</v>
      </c>
      <c r="B80" s="2430">
        <f>估价对象房地状况!G15</f>
        <v>0</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14.25">
      <c r="A81" s="1065" t="s">
        <v>1033</v>
      </c>
      <c r="B81" s="2430">
        <f>估价对象房地状况!G16</f>
        <v>0</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5" t="s">
        <v>1026</v>
      </c>
      <c r="B84" s="2431">
        <f>估价对象房地状况!G19</f>
        <v>0</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5" t="s">
        <v>1027</v>
      </c>
      <c r="B85" s="2431">
        <f>估价对象房地状况!G20</f>
        <v>0</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5" t="s">
        <v>1025</v>
      </c>
      <c r="B86" s="3116" t="s">
        <v>2926</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15" thickBot="1">
      <c r="A87" s="2463" t="s">
        <v>1038</v>
      </c>
      <c r="B87" s="2432">
        <f>估价对象房地状况!G18</f>
        <v>0</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4248" t="s">
        <v>1633</v>
      </c>
      <c r="B90" s="4248"/>
      <c r="C90" s="4248"/>
      <c r="D90" s="4248"/>
      <c r="E90" s="4248"/>
      <c r="F90" s="4248"/>
      <c r="G90" s="4248"/>
      <c r="H90" s="4248"/>
      <c r="I90" s="4248"/>
      <c r="J90" s="4248"/>
      <c r="K90" s="2472"/>
      <c r="L90" s="2472"/>
      <c r="M90" s="2472"/>
      <c r="N90" s="2472"/>
    </row>
    <row r="91" spans="1:40">
      <c r="A91" s="4249" t="s">
        <v>1443</v>
      </c>
      <c r="B91" s="4249" t="s">
        <v>1634</v>
      </c>
      <c r="C91" s="1138" t="s">
        <v>1635</v>
      </c>
      <c r="D91" s="1139"/>
      <c r="E91" s="1139"/>
      <c r="F91" s="1139"/>
      <c r="G91" s="1139"/>
      <c r="H91" s="1139"/>
      <c r="I91" s="1139"/>
      <c r="J91" s="1140"/>
      <c r="K91" s="1132"/>
      <c r="L91" s="1132"/>
      <c r="M91" s="1132"/>
      <c r="N91" s="1132"/>
    </row>
    <row r="92" spans="1:40">
      <c r="A92" s="4249"/>
      <c r="B92" s="4249"/>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4256"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425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425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425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425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425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4257"/>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425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4256" t="s">
        <v>1637</v>
      </c>
      <c r="B101" s="1145" t="s">
        <v>905</v>
      </c>
      <c r="C101" s="1146">
        <f>$G$3</f>
        <v>0.86</v>
      </c>
      <c r="D101" s="1146">
        <f t="shared" ref="D101:N101" si="31">$G$3</f>
        <v>0.86</v>
      </c>
      <c r="E101" s="1146">
        <f t="shared" si="31"/>
        <v>0.86</v>
      </c>
      <c r="F101" s="1146">
        <f t="shared" si="31"/>
        <v>0.86</v>
      </c>
      <c r="G101" s="1146">
        <f t="shared" si="31"/>
        <v>0.86</v>
      </c>
      <c r="H101" s="1146">
        <f t="shared" si="31"/>
        <v>0.86</v>
      </c>
      <c r="I101" s="1146">
        <f t="shared" si="31"/>
        <v>0.86</v>
      </c>
      <c r="J101" s="1146">
        <f t="shared" si="31"/>
        <v>0.86</v>
      </c>
      <c r="K101" s="1146">
        <f t="shared" si="31"/>
        <v>0.86</v>
      </c>
      <c r="L101" s="1146">
        <f t="shared" si="31"/>
        <v>0.86</v>
      </c>
      <c r="M101" s="1146">
        <f t="shared" si="31"/>
        <v>0.86</v>
      </c>
      <c r="N101" s="1146">
        <f t="shared" si="31"/>
        <v>0.86</v>
      </c>
    </row>
    <row r="102" spans="1:14">
      <c r="A102" s="4257"/>
      <c r="B102" s="1141">
        <v>1</v>
      </c>
      <c r="C102" s="1142">
        <f>1.9362/C101</f>
        <v>2.2513953488372094</v>
      </c>
      <c r="D102" s="1142">
        <f>1.9362/D101</f>
        <v>2.2513953488372094</v>
      </c>
      <c r="E102" s="1142">
        <f>1.8629/E101</f>
        <v>2.1661627906976744</v>
      </c>
      <c r="F102" s="1142">
        <f>1.8629/F101</f>
        <v>2.1661627906976744</v>
      </c>
      <c r="G102" s="1142">
        <f>1.8629/G101</f>
        <v>2.1661627906976744</v>
      </c>
      <c r="H102" s="1142">
        <f>1.8629/H101</f>
        <v>2.1661627906976744</v>
      </c>
      <c r="I102" s="1142">
        <f>1.8629/I101</f>
        <v>2.1661627906976744</v>
      </c>
      <c r="J102" s="1142">
        <f>1.942/J101</f>
        <v>2.2581395348837208</v>
      </c>
      <c r="K102" s="1142">
        <f>1.942/K101</f>
        <v>2.2581395348837208</v>
      </c>
      <c r="L102" s="1142">
        <f>1.942/L101</f>
        <v>2.2581395348837208</v>
      </c>
      <c r="M102" s="1142">
        <f>1.942/M101</f>
        <v>2.2581395348837208</v>
      </c>
      <c r="N102" s="1142">
        <f>1.942/N101</f>
        <v>2.2581395348837208</v>
      </c>
    </row>
    <row r="103" spans="1:14">
      <c r="A103" s="4257"/>
      <c r="B103" s="1141">
        <v>2</v>
      </c>
      <c r="C103" s="1142">
        <f>1.4198/C101</f>
        <v>1.6509302325581394</v>
      </c>
      <c r="D103" s="1142">
        <f>1.4198/D101</f>
        <v>1.6509302325581394</v>
      </c>
      <c r="E103" s="1142">
        <f>1.3372/E101</f>
        <v>1.5548837209302324</v>
      </c>
      <c r="F103" s="1142">
        <f>1.3372/F101</f>
        <v>1.5548837209302324</v>
      </c>
      <c r="G103" s="1142">
        <f>1.3372/G101</f>
        <v>1.5548837209302324</v>
      </c>
      <c r="H103" s="1142">
        <f>1.3372/H101</f>
        <v>1.5548837209302324</v>
      </c>
      <c r="I103" s="1142">
        <f>1.3372/I101</f>
        <v>1.5548837209302324</v>
      </c>
      <c r="J103" s="1142">
        <f>1.2799/J101</f>
        <v>1.4882558139534885</v>
      </c>
      <c r="K103" s="1142">
        <f>1.2799/K101</f>
        <v>1.4882558139534885</v>
      </c>
      <c r="L103" s="1142">
        <f>1.2799/L101</f>
        <v>1.4882558139534885</v>
      </c>
      <c r="M103" s="1142">
        <f>1.2799/M101</f>
        <v>1.4882558139534885</v>
      </c>
      <c r="N103" s="1142">
        <f>1.2799/N101</f>
        <v>1.4882558139534885</v>
      </c>
    </row>
    <row r="104" spans="1:14">
      <c r="A104" s="4257"/>
      <c r="B104" s="1141">
        <v>3</v>
      </c>
      <c r="C104" s="1142">
        <f>1.1594/C101</f>
        <v>1.3481395348837208</v>
      </c>
      <c r="D104" s="1142">
        <f>1.1594/D101</f>
        <v>1.3481395348837208</v>
      </c>
      <c r="E104" s="1142">
        <f>1.0788/E101</f>
        <v>1.2544186046511627</v>
      </c>
      <c r="F104" s="1142">
        <f>1.0788/F101</f>
        <v>1.2544186046511627</v>
      </c>
      <c r="G104" s="1142">
        <f>1.0788/G101</f>
        <v>1.2544186046511627</v>
      </c>
      <c r="H104" s="1142">
        <f>1.0788/H101</f>
        <v>1.2544186046511627</v>
      </c>
      <c r="I104" s="1142">
        <f>1.0788/I101</f>
        <v>1.2544186046511627</v>
      </c>
      <c r="J104" s="1142">
        <f>1.0072/J101</f>
        <v>1.1711627906976745</v>
      </c>
      <c r="K104" s="1142">
        <f>1.0072/K101</f>
        <v>1.1711627906976745</v>
      </c>
      <c r="L104" s="1142">
        <f>1.0072/L101</f>
        <v>1.1711627906976745</v>
      </c>
      <c r="M104" s="1142">
        <f>1.0072/M101</f>
        <v>1.1711627906976745</v>
      </c>
      <c r="N104" s="1142">
        <f>1.0072/N101</f>
        <v>1.1711627906976745</v>
      </c>
    </row>
    <row r="105" spans="1:14">
      <c r="A105" s="4257"/>
      <c r="B105" s="1141">
        <v>4</v>
      </c>
      <c r="C105" s="1142">
        <f>0.9622/C101</f>
        <v>1.1188372093023256</v>
      </c>
      <c r="D105" s="1142">
        <f>0.9622/D101</f>
        <v>1.1188372093023256</v>
      </c>
      <c r="E105" s="1142">
        <f>0.8656/E101</f>
        <v>1.0065116279069768</v>
      </c>
      <c r="F105" s="1142">
        <f>0.8656/F101</f>
        <v>1.0065116279069768</v>
      </c>
      <c r="G105" s="1142">
        <f>0.8656/G101</f>
        <v>1.0065116279069768</v>
      </c>
      <c r="H105" s="1142">
        <f>0.8656/H101</f>
        <v>1.0065116279069768</v>
      </c>
      <c r="I105" s="1142">
        <f>0.8656/I101</f>
        <v>1.0065116279069768</v>
      </c>
      <c r="J105" s="1142">
        <f>0.7525/J101</f>
        <v>0.875</v>
      </c>
      <c r="K105" s="1142">
        <f>0.7525/K101</f>
        <v>0.875</v>
      </c>
      <c r="L105" s="1142">
        <f>0.7525/L101</f>
        <v>0.875</v>
      </c>
      <c r="M105" s="1142">
        <f>0.7525/M101</f>
        <v>0.875</v>
      </c>
      <c r="N105" s="1142">
        <f>0.7525/N101</f>
        <v>0.875</v>
      </c>
    </row>
    <row r="106" spans="1:14">
      <c r="A106" s="4257"/>
      <c r="B106" s="1141">
        <v>5</v>
      </c>
      <c r="C106" s="1142">
        <f>0.8417/C101</f>
        <v>0.97872093023255813</v>
      </c>
      <c r="D106" s="1142">
        <f>0.8417/D101</f>
        <v>0.97872093023255813</v>
      </c>
      <c r="E106" s="1142">
        <f>0.7371/E101</f>
        <v>0.85709302325581394</v>
      </c>
      <c r="F106" s="1142">
        <f>0.7371/F101</f>
        <v>0.85709302325581394</v>
      </c>
      <c r="G106" s="1142">
        <f>0.7371/G101</f>
        <v>0.85709302325581394</v>
      </c>
      <c r="H106" s="1142">
        <f>0.7371/H101</f>
        <v>0.85709302325581394</v>
      </c>
      <c r="I106" s="1142">
        <f>0.7371/I101</f>
        <v>0.85709302325581394</v>
      </c>
      <c r="J106" s="1142">
        <f>0.5659/J101</f>
        <v>0.65802325581395349</v>
      </c>
      <c r="K106" s="1142">
        <f>0.5659/K101</f>
        <v>0.65802325581395349</v>
      </c>
      <c r="L106" s="1142">
        <f>0.5659/L101</f>
        <v>0.65802325581395349</v>
      </c>
      <c r="M106" s="1142">
        <f>0.5659/M101</f>
        <v>0.65802325581395349</v>
      </c>
      <c r="N106" s="1142">
        <f>0.5659/N101</f>
        <v>0.65802325581395349</v>
      </c>
    </row>
    <row r="107" spans="1:14">
      <c r="A107" s="4257"/>
      <c r="B107" s="1141">
        <v>6</v>
      </c>
      <c r="C107" s="1142">
        <f>0.7608/C101</f>
        <v>0.88465116279069778</v>
      </c>
      <c r="D107" s="1142">
        <f>0.7608/D101</f>
        <v>0.88465116279069778</v>
      </c>
      <c r="E107" s="1142">
        <f>0.6482/E101</f>
        <v>0.75372093023255815</v>
      </c>
      <c r="F107" s="1142">
        <f>0.6482/F101</f>
        <v>0.75372093023255815</v>
      </c>
      <c r="G107" s="1142">
        <f>0.6482/G101</f>
        <v>0.75372093023255815</v>
      </c>
      <c r="H107" s="1142">
        <f>0.6482/H101</f>
        <v>0.75372093023255815</v>
      </c>
      <c r="I107" s="1142">
        <f>0.6482/I101</f>
        <v>0.75372093023255815</v>
      </c>
      <c r="J107" s="1142">
        <f>0.4525/J101</f>
        <v>0.52616279069767447</v>
      </c>
      <c r="K107" s="1142">
        <f>0.4525/K101</f>
        <v>0.52616279069767447</v>
      </c>
      <c r="L107" s="1142">
        <f>0.4525/L101</f>
        <v>0.52616279069767447</v>
      </c>
      <c r="M107" s="1142">
        <f>0.4525/M101</f>
        <v>0.52616279069767447</v>
      </c>
      <c r="N107" s="1142">
        <f>0.4525/N101</f>
        <v>0.52616279069767447</v>
      </c>
    </row>
    <row r="108" spans="1:14">
      <c r="A108" s="4257"/>
      <c r="B108" s="4259"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4258"/>
      <c r="B109" s="4260"/>
      <c r="C109" s="1144">
        <f>(-0.163*(C108^2)-0.59*C108+7617)*(10^(-4))/C101</f>
        <v>0.88393581395348841</v>
      </c>
      <c r="D109" s="1144">
        <f>(-0.163*(D108^2)-0.59*D108+7617)*(10^(-4))/D101</f>
        <v>0.88393581395348841</v>
      </c>
      <c r="E109" s="1144">
        <f>(-0.161*(E108^2)-7.509*E108+6533)*(10^(-4))/E101</f>
        <v>0.75146790697674426</v>
      </c>
      <c r="F109" s="1144">
        <f>(-0.161*(F108^2)-7.509*F108+6533)*(10^(-4))/F101</f>
        <v>0.75146790697674426</v>
      </c>
      <c r="G109" s="1144">
        <f>(-0.161*(G108^2)-7.509*G108+6533)*(10^(-4))/G101</f>
        <v>0.75146790697674426</v>
      </c>
      <c r="H109" s="1144">
        <f>(-0.161*(H108^2)-7.509*H108+6533)*(10^(-4))/H101</f>
        <v>0.75146790697674426</v>
      </c>
      <c r="I109" s="1144">
        <f>(-0.161*(I108^2)-7.509*I108+6533)*(10^(-4))/I101</f>
        <v>0.75146790697674426</v>
      </c>
      <c r="J109" s="1144">
        <f>(-0.214*(J108^2)-21.991*J108+4665)*(10^(-4))/J101</f>
        <v>0.52039255813953489</v>
      </c>
      <c r="K109" s="1144">
        <f>(-0.214*(K108^2)-21.991*K108+4665)*(10^(-4))/K101</f>
        <v>0.52039255813953489</v>
      </c>
      <c r="L109" s="1144">
        <f>(-0.214*(L108^2)-21.991*L108+4665)*(10^(-4))/L101</f>
        <v>0.52039255813953489</v>
      </c>
      <c r="M109" s="1144">
        <f>(-0.214*(M108^2)-21.991*M108+4665)*(10^(-4))/M101</f>
        <v>0.52039255813953489</v>
      </c>
      <c r="N109" s="1144">
        <f>(-0.214*(N108^2)-21.991*N108+4665)*(10^(-4))/N101</f>
        <v>0.52039255813953489</v>
      </c>
    </row>
    <row r="110" spans="1:14">
      <c r="A110" s="4243" t="s">
        <v>1639</v>
      </c>
      <c r="B110" s="4243"/>
      <c r="C110" s="4243"/>
      <c r="D110" s="4243"/>
      <c r="E110" s="4243"/>
      <c r="F110" s="4243"/>
      <c r="G110" s="4243"/>
      <c r="H110" s="4243"/>
      <c r="I110" s="4243"/>
      <c r="J110" s="4243"/>
      <c r="K110" s="2470"/>
      <c r="L110" s="2470"/>
      <c r="M110" s="2470"/>
      <c r="N110" s="2470"/>
    </row>
    <row r="112" spans="1:14" ht="12.75" thickBot="1"/>
    <row r="113" spans="1:13" ht="25.5" thickBot="1">
      <c r="A113" s="1014" t="s">
        <v>895</v>
      </c>
      <c r="B113" s="2473">
        <f>G3</f>
        <v>0.86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0.9254</v>
      </c>
      <c r="C115" s="1028">
        <f>B115</f>
        <v>0.9254</v>
      </c>
      <c r="D115" s="1028">
        <f>ROUND(0.8331-0.0109*B113,4)</f>
        <v>0.82369999999999999</v>
      </c>
      <c r="E115" s="1028">
        <f>D115</f>
        <v>0.82369999999999999</v>
      </c>
      <c r="F115" s="1028">
        <f>E115</f>
        <v>0.82369999999999999</v>
      </c>
      <c r="G115" s="1028">
        <f>F115</f>
        <v>0.82369999999999999</v>
      </c>
      <c r="H115" s="1028">
        <f>G115</f>
        <v>0.82369999999999999</v>
      </c>
      <c r="I115" s="1028">
        <f>ROUND(0.689-0.0155*B113,4)</f>
        <v>0.67569999999999997</v>
      </c>
      <c r="J115" s="1028">
        <f t="shared" ref="J115:M118" si="33">I115</f>
        <v>0.67569999999999997</v>
      </c>
      <c r="K115" s="1028">
        <f t="shared" si="33"/>
        <v>0.67569999999999997</v>
      </c>
      <c r="L115" s="1028">
        <f t="shared" si="33"/>
        <v>0.67569999999999997</v>
      </c>
      <c r="M115" s="1029">
        <f t="shared" si="33"/>
        <v>0.67569999999999997</v>
      </c>
    </row>
    <row r="116" spans="1:13" ht="12.75">
      <c r="A116" s="1027" t="s">
        <v>900</v>
      </c>
      <c r="B116" s="1028">
        <f>ROUND(0.949-0.012*B113,4)</f>
        <v>0.93869999999999998</v>
      </c>
      <c r="C116" s="1028">
        <f>B116</f>
        <v>0.93869999999999998</v>
      </c>
      <c r="D116" s="1028">
        <f>ROUND(0.8567-0.013*B113,4)</f>
        <v>0.84550000000000003</v>
      </c>
      <c r="E116" s="1028">
        <f t="shared" ref="E116:H117" si="34">D116</f>
        <v>0.84550000000000003</v>
      </c>
      <c r="F116" s="1028">
        <f t="shared" si="34"/>
        <v>0.84550000000000003</v>
      </c>
      <c r="G116" s="1028">
        <f t="shared" si="34"/>
        <v>0.84550000000000003</v>
      </c>
      <c r="H116" s="1028">
        <f t="shared" si="34"/>
        <v>0.84550000000000003</v>
      </c>
      <c r="I116" s="1028">
        <f>ROUND(0.7694-0.014*B113,4)</f>
        <v>0.75739999999999996</v>
      </c>
      <c r="J116" s="1028">
        <f t="shared" si="33"/>
        <v>0.75739999999999996</v>
      </c>
      <c r="K116" s="1028">
        <f t="shared" si="33"/>
        <v>0.75739999999999996</v>
      </c>
      <c r="L116" s="1028">
        <f t="shared" si="33"/>
        <v>0.75739999999999996</v>
      </c>
      <c r="M116" s="1029">
        <f t="shared" si="33"/>
        <v>0.75739999999999996</v>
      </c>
    </row>
    <row r="117" spans="1:13" ht="12.75">
      <c r="A117" s="1030" t="s">
        <v>901</v>
      </c>
      <c r="B117" s="1028">
        <f>ROUND(0.8808-0.006*B113,4)</f>
        <v>0.87560000000000004</v>
      </c>
      <c r="C117" s="1028">
        <f>B117</f>
        <v>0.87560000000000004</v>
      </c>
      <c r="D117" s="1028">
        <f>ROUND(0.8748-0.008*B113,4)</f>
        <v>0.8679</v>
      </c>
      <c r="E117" s="1028">
        <f t="shared" si="34"/>
        <v>0.8679</v>
      </c>
      <c r="F117" s="1028">
        <f t="shared" si="34"/>
        <v>0.8679</v>
      </c>
      <c r="G117" s="1028">
        <f t="shared" si="34"/>
        <v>0.8679</v>
      </c>
      <c r="H117" s="1028">
        <f t="shared" si="34"/>
        <v>0.8679</v>
      </c>
      <c r="I117" s="1028">
        <f>ROUND(0.7412-0.0095*B113,4)</f>
        <v>0.73299999999999998</v>
      </c>
      <c r="J117" s="1028">
        <f t="shared" si="33"/>
        <v>0.73299999999999998</v>
      </c>
      <c r="K117" s="1028">
        <f t="shared" si="33"/>
        <v>0.73299999999999998</v>
      </c>
      <c r="L117" s="1028">
        <f t="shared" si="33"/>
        <v>0.73299999999999998</v>
      </c>
      <c r="M117" s="1029">
        <f t="shared" si="33"/>
        <v>0.73299999999999998</v>
      </c>
    </row>
    <row r="118" spans="1:13" ht="13.5" thickBot="1">
      <c r="A118" s="1031" t="s">
        <v>902</v>
      </c>
      <c r="B118" s="1032">
        <f>ROUND(0.7275-0.01*B113,4)</f>
        <v>0.71889999999999998</v>
      </c>
      <c r="C118" s="1032">
        <f>B118</f>
        <v>0.71889999999999998</v>
      </c>
      <c r="D118" s="1032">
        <f>ROUND(0.7043-0.012*B113,4)</f>
        <v>0.69399999999999995</v>
      </c>
      <c r="E118" s="1032">
        <f>D118</f>
        <v>0.69399999999999995</v>
      </c>
      <c r="F118" s="1032">
        <f>E118</f>
        <v>0.69399999999999995</v>
      </c>
      <c r="G118" s="1032">
        <f>ROUND(0.6299-0.0122*B113,4)</f>
        <v>0.61939999999999995</v>
      </c>
      <c r="H118" s="1032">
        <f>G118</f>
        <v>0.61939999999999995</v>
      </c>
      <c r="I118" s="1032">
        <f>ROUND(0.5667-0.0136*B113,4)</f>
        <v>0.55500000000000005</v>
      </c>
      <c r="J118" s="1032">
        <f t="shared" si="33"/>
        <v>0.55500000000000005</v>
      </c>
      <c r="K118" s="1032">
        <f t="shared" si="33"/>
        <v>0.55500000000000005</v>
      </c>
      <c r="L118" s="1032">
        <f t="shared" si="33"/>
        <v>0.55500000000000005</v>
      </c>
      <c r="M118" s="1033">
        <f t="shared" si="33"/>
        <v>0.55500000000000005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4249" t="s">
        <v>1007</v>
      </c>
      <c r="B18" s="1152" t="s">
        <v>1446</v>
      </c>
      <c r="C18" s="1129" t="s">
        <v>1447</v>
      </c>
      <c r="D18" s="1130"/>
      <c r="E18" s="1152">
        <v>1</v>
      </c>
      <c r="F18" s="1131" t="s">
        <v>1448</v>
      </c>
      <c r="G18" s="1132"/>
      <c r="H18" s="1103"/>
      <c r="I18" s="1103"/>
    </row>
    <row r="19" spans="1:9" s="1596" customFormat="1" ht="19.5" customHeight="1">
      <c r="A19" s="4249"/>
      <c r="B19" s="4249" t="s">
        <v>1449</v>
      </c>
      <c r="C19" s="1129" t="s">
        <v>1450</v>
      </c>
      <c r="D19" s="1130"/>
      <c r="E19" s="1152">
        <v>0.9</v>
      </c>
      <c r="F19" s="1131" t="s">
        <v>1451</v>
      </c>
      <c r="G19" s="1132"/>
      <c r="H19" s="1103"/>
      <c r="I19" s="1103"/>
    </row>
    <row r="20" spans="1:9" s="1596" customFormat="1" ht="19.5" customHeight="1">
      <c r="A20" s="4249"/>
      <c r="B20" s="4249"/>
      <c r="C20" s="1129" t="s">
        <v>1452</v>
      </c>
      <c r="D20" s="1130"/>
      <c r="E20" s="1152">
        <v>1.1000000000000001</v>
      </c>
      <c r="F20" s="1131" t="s">
        <v>1453</v>
      </c>
      <c r="G20" s="1132"/>
      <c r="H20" s="1103"/>
      <c r="I20" s="1103"/>
    </row>
    <row r="21" spans="1:9" s="1596" customFormat="1" ht="19.5" customHeight="1">
      <c r="A21" s="4249"/>
      <c r="B21" s="4249"/>
      <c r="C21" s="1129" t="s">
        <v>1454</v>
      </c>
      <c r="D21" s="1130"/>
      <c r="E21" s="1152">
        <v>0.8</v>
      </c>
      <c r="F21" s="1131" t="s">
        <v>1455</v>
      </c>
      <c r="G21" s="1132"/>
      <c r="H21" s="1103"/>
      <c r="I21" s="1103"/>
    </row>
    <row r="22" spans="1:9" s="1596" customFormat="1" ht="19.5" customHeight="1">
      <c r="A22" s="4249"/>
      <c r="B22" s="4249"/>
      <c r="C22" s="1129" t="s">
        <v>1456</v>
      </c>
      <c r="D22" s="1130"/>
      <c r="E22" s="1152">
        <v>0.5</v>
      </c>
      <c r="F22" s="1131"/>
      <c r="G22" s="1132"/>
      <c r="H22" s="1103"/>
      <c r="I22" s="1103"/>
    </row>
    <row r="23" spans="1:9" s="1596" customFormat="1" ht="19.5" customHeight="1">
      <c r="A23" s="4249" t="s">
        <v>1029</v>
      </c>
      <c r="B23" s="1152" t="s">
        <v>1446</v>
      </c>
      <c r="C23" s="1129" t="s">
        <v>1457</v>
      </c>
      <c r="D23" s="1130"/>
      <c r="E23" s="1152">
        <v>1</v>
      </c>
      <c r="F23" s="1131" t="s">
        <v>1458</v>
      </c>
      <c r="G23" s="1132"/>
      <c r="H23" s="1103"/>
      <c r="I23" s="1103"/>
    </row>
    <row r="24" spans="1:9" s="1596" customFormat="1" ht="19.5" customHeight="1">
      <c r="A24" s="4249"/>
      <c r="B24" s="4249" t="s">
        <v>1449</v>
      </c>
      <c r="C24" s="1129" t="s">
        <v>1459</v>
      </c>
      <c r="D24" s="1130"/>
      <c r="E24" s="1152">
        <v>0.5</v>
      </c>
      <c r="F24" s="1131"/>
      <c r="G24" s="1132"/>
      <c r="H24" s="1103"/>
      <c r="I24" s="1103"/>
    </row>
    <row r="25" spans="1:9" s="1596" customFormat="1" ht="19.5" customHeight="1">
      <c r="A25" s="4249"/>
      <c r="B25" s="4249"/>
      <c r="C25" s="1129" t="s">
        <v>1460</v>
      </c>
      <c r="D25" s="1130"/>
      <c r="E25" s="1152">
        <v>1.1000000000000001</v>
      </c>
      <c r="F25" s="1131"/>
      <c r="G25" s="1132"/>
      <c r="H25" s="1103"/>
      <c r="I25" s="1103"/>
    </row>
    <row r="26" spans="1:9" s="1596" customFormat="1" ht="19.5" customHeight="1">
      <c r="A26" s="4249"/>
      <c r="B26" s="4249"/>
      <c r="C26" s="1129" t="s">
        <v>1461</v>
      </c>
      <c r="D26" s="1130"/>
      <c r="E26" s="1152">
        <v>1.1000000000000001</v>
      </c>
      <c r="F26" s="1131"/>
      <c r="G26" s="1132"/>
      <c r="H26" s="1103"/>
      <c r="I26" s="1103"/>
    </row>
    <row r="27" spans="1:9" s="1596" customFormat="1" ht="19.5" customHeight="1">
      <c r="A27" s="4249"/>
      <c r="B27" s="4249"/>
      <c r="C27" s="1129" t="s">
        <v>1462</v>
      </c>
      <c r="D27" s="1130"/>
      <c r="E27" s="1152">
        <v>0.9</v>
      </c>
      <c r="F27" s="1131" t="s">
        <v>1463</v>
      </c>
      <c r="G27" s="1132"/>
      <c r="H27" s="1103"/>
      <c r="I27" s="1103"/>
    </row>
    <row r="28" spans="1:9" s="1596" customFormat="1" ht="19.5" customHeight="1">
      <c r="A28" s="4249"/>
      <c r="B28" s="4249"/>
      <c r="C28" s="1129" t="s">
        <v>1464</v>
      </c>
      <c r="D28" s="1130"/>
      <c r="E28" s="1152">
        <v>0.9</v>
      </c>
      <c r="F28" s="1131" t="s">
        <v>1465</v>
      </c>
      <c r="G28" s="1132"/>
      <c r="H28" s="1103"/>
      <c r="I28" s="1103"/>
    </row>
    <row r="29" spans="1:9" s="1596" customFormat="1" ht="19.5" customHeight="1">
      <c r="A29" s="4249"/>
      <c r="B29" s="4249"/>
      <c r="C29" s="1129" t="s">
        <v>1466</v>
      </c>
      <c r="D29" s="1130"/>
      <c r="E29" s="1152">
        <v>0.9</v>
      </c>
      <c r="F29" s="1131" t="s">
        <v>1467</v>
      </c>
      <c r="G29" s="1132"/>
      <c r="H29" s="1103"/>
      <c r="I29" s="1103"/>
    </row>
    <row r="30" spans="1:9" s="1596" customFormat="1" ht="19.5" customHeight="1">
      <c r="A30" s="4249"/>
      <c r="B30" s="4249"/>
      <c r="C30" s="1129" t="s">
        <v>1468</v>
      </c>
      <c r="D30" s="1130"/>
      <c r="E30" s="1152">
        <v>0.9</v>
      </c>
      <c r="F30" s="1131" t="s">
        <v>1469</v>
      </c>
      <c r="G30" s="1132"/>
      <c r="H30" s="1103"/>
      <c r="I30" s="1103"/>
    </row>
    <row r="31" spans="1:9" s="1596" customFormat="1" ht="19.5" customHeight="1">
      <c r="A31" s="4249"/>
      <c r="B31" s="4249"/>
      <c r="C31" s="1129" t="s">
        <v>1470</v>
      </c>
      <c r="D31" s="1130"/>
      <c r="E31" s="1152">
        <v>0.8</v>
      </c>
      <c r="F31" s="1131" t="s">
        <v>1471</v>
      </c>
      <c r="G31" s="1132"/>
      <c r="H31" s="1103"/>
      <c r="I31" s="1103"/>
    </row>
    <row r="32" spans="1:9" s="1596" customFormat="1" ht="19.5" customHeight="1">
      <c r="A32" s="4249"/>
      <c r="B32" s="4249"/>
      <c r="C32" s="1129" t="s">
        <v>1472</v>
      </c>
      <c r="D32" s="1130"/>
      <c r="E32" s="1152">
        <v>0.8</v>
      </c>
      <c r="F32" s="1131" t="s">
        <v>1473</v>
      </c>
      <c r="G32" s="1132"/>
      <c r="H32" s="1103"/>
      <c r="I32" s="1103"/>
    </row>
    <row r="33" spans="1:9" s="1596" customFormat="1" ht="19.5" customHeight="1">
      <c r="A33" s="4249" t="s">
        <v>1474</v>
      </c>
      <c r="B33" s="1152" t="s">
        <v>1446</v>
      </c>
      <c r="C33" s="1129" t="s">
        <v>1475</v>
      </c>
      <c r="D33" s="1130"/>
      <c r="E33" s="1152">
        <v>1</v>
      </c>
      <c r="F33" s="1131" t="s">
        <v>1476</v>
      </c>
      <c r="G33" s="1132"/>
      <c r="H33" s="1103"/>
      <c r="I33" s="1103"/>
    </row>
    <row r="34" spans="1:9" s="1596" customFormat="1" ht="19.5" customHeight="1">
      <c r="A34" s="4249"/>
      <c r="B34" s="1152" t="s">
        <v>1449</v>
      </c>
      <c r="C34" s="1129" t="s">
        <v>1477</v>
      </c>
      <c r="D34" s="1130"/>
      <c r="E34" s="1152">
        <v>1.5</v>
      </c>
      <c r="F34" s="1131" t="s">
        <v>1478</v>
      </c>
      <c r="G34" s="1132"/>
      <c r="H34" s="1103"/>
      <c r="I34" s="1103"/>
    </row>
    <row r="35" spans="1:9" s="1596" customFormat="1" ht="19.5" customHeight="1">
      <c r="A35" s="4249" t="s">
        <v>1432</v>
      </c>
      <c r="B35" s="1152" t="s">
        <v>1446</v>
      </c>
      <c r="C35" s="1129" t="s">
        <v>1479</v>
      </c>
      <c r="D35" s="1130"/>
      <c r="E35" s="1152">
        <v>1</v>
      </c>
      <c r="F35" s="1131" t="s">
        <v>1480</v>
      </c>
      <c r="G35" s="1132"/>
      <c r="H35" s="1103"/>
      <c r="I35" s="1103"/>
    </row>
    <row r="36" spans="1:9" s="1596" customFormat="1" ht="19.5" customHeight="1">
      <c r="A36" s="4249"/>
      <c r="B36" s="4249" t="s">
        <v>1449</v>
      </c>
      <c r="C36" s="1129" t="s">
        <v>1481</v>
      </c>
      <c r="D36" s="1130"/>
      <c r="E36" s="1152">
        <v>1</v>
      </c>
      <c r="F36" s="1131" t="s">
        <v>1482</v>
      </c>
      <c r="G36" s="1132"/>
      <c r="H36" s="1103"/>
      <c r="I36" s="1103"/>
    </row>
    <row r="37" spans="1:9" s="1596" customFormat="1" ht="19.5" customHeight="1">
      <c r="A37" s="4249"/>
      <c r="B37" s="4249"/>
      <c r="C37" s="1129" t="s">
        <v>1483</v>
      </c>
      <c r="D37" s="1130"/>
      <c r="E37" s="1152">
        <v>1.5</v>
      </c>
      <c r="F37" s="1131" t="s">
        <v>1484</v>
      </c>
      <c r="G37" s="1132"/>
      <c r="H37" s="1103"/>
      <c r="I37" s="1103"/>
    </row>
    <row r="38" spans="1:9" s="1596" customFormat="1" ht="19.5" customHeight="1">
      <c r="A38" s="4249"/>
      <c r="B38" s="4249"/>
      <c r="C38" s="1129" t="s">
        <v>1485</v>
      </c>
      <c r="D38" s="1130"/>
      <c r="E38" s="1152">
        <v>1</v>
      </c>
      <c r="F38" s="1131" t="s">
        <v>1486</v>
      </c>
      <c r="G38" s="1132"/>
      <c r="H38" s="1103"/>
      <c r="I38" s="1103"/>
    </row>
    <row r="39" spans="1:9" s="1596" customFormat="1" ht="19.5" customHeight="1">
      <c r="A39" s="4249"/>
      <c r="B39" s="4249"/>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4249" t="s">
        <v>1501</v>
      </c>
      <c r="C61" s="1066" t="s">
        <v>1502</v>
      </c>
      <c r="D61" s="1066" t="s">
        <v>1503</v>
      </c>
      <c r="E61" s="1137">
        <v>0.5</v>
      </c>
      <c r="F61" s="1152">
        <v>80</v>
      </c>
      <c r="H61" s="1103">
        <f>SUMIF(C59:C119,基准地价!C8,E59:E119)</f>
        <v>0</v>
      </c>
    </row>
    <row r="62" spans="1:8" s="1103" customFormat="1" ht="24">
      <c r="A62" s="1152">
        <v>2</v>
      </c>
      <c r="B62" s="4249"/>
      <c r="C62" s="1066" t="s">
        <v>1504</v>
      </c>
      <c r="D62" s="1066" t="s">
        <v>1505</v>
      </c>
      <c r="E62" s="1137">
        <v>0.5</v>
      </c>
      <c r="F62" s="1152">
        <v>80</v>
      </c>
    </row>
    <row r="63" spans="1:8" s="1103" customFormat="1" ht="36">
      <c r="A63" s="1152">
        <v>3</v>
      </c>
      <c r="B63" s="4249"/>
      <c r="C63" s="1066" t="s">
        <v>1506</v>
      </c>
      <c r="D63" s="1066" t="s">
        <v>1507</v>
      </c>
      <c r="E63" s="1137">
        <v>0.5</v>
      </c>
      <c r="F63" s="1152">
        <v>80</v>
      </c>
    </row>
    <row r="64" spans="1:8" s="1103" customFormat="1" ht="36">
      <c r="A64" s="1152">
        <v>4</v>
      </c>
      <c r="B64" s="4249"/>
      <c r="C64" s="1066" t="s">
        <v>1508</v>
      </c>
      <c r="D64" s="1066" t="s">
        <v>1509</v>
      </c>
      <c r="E64" s="1137">
        <v>0.4</v>
      </c>
      <c r="F64" s="1152">
        <v>60</v>
      </c>
    </row>
    <row r="65" spans="1:6" s="1103" customFormat="1" ht="36">
      <c r="A65" s="1152">
        <v>5</v>
      </c>
      <c r="B65" s="4249"/>
      <c r="C65" s="1066" t="s">
        <v>1510</v>
      </c>
      <c r="D65" s="1066" t="s">
        <v>1511</v>
      </c>
      <c r="E65" s="1137">
        <v>0.2</v>
      </c>
      <c r="F65" s="1152">
        <v>30</v>
      </c>
    </row>
    <row r="66" spans="1:6" s="1103" customFormat="1" ht="36">
      <c r="A66" s="1152">
        <v>6</v>
      </c>
      <c r="B66" s="4249"/>
      <c r="C66" s="1066" t="s">
        <v>1512</v>
      </c>
      <c r="D66" s="1066" t="s">
        <v>1513</v>
      </c>
      <c r="E66" s="1137">
        <v>0.3</v>
      </c>
      <c r="F66" s="1152">
        <v>50</v>
      </c>
    </row>
    <row r="67" spans="1:6" s="1103" customFormat="1" ht="36">
      <c r="A67" s="1152">
        <v>7</v>
      </c>
      <c r="B67" s="4249"/>
      <c r="C67" s="1066" t="s">
        <v>1514</v>
      </c>
      <c r="D67" s="1066" t="s">
        <v>1515</v>
      </c>
      <c r="E67" s="1137">
        <v>0.2</v>
      </c>
      <c r="F67" s="1152">
        <v>30</v>
      </c>
    </row>
    <row r="68" spans="1:6" s="1103" customFormat="1" ht="36">
      <c r="A68" s="1152">
        <v>8</v>
      </c>
      <c r="B68" s="4249"/>
      <c r="C68" s="1066" t="s">
        <v>1516</v>
      </c>
      <c r="D68" s="1066" t="s">
        <v>1517</v>
      </c>
      <c r="E68" s="1137">
        <v>0.2</v>
      </c>
      <c r="F68" s="1152">
        <v>30</v>
      </c>
    </row>
    <row r="69" spans="1:6" s="1103" customFormat="1" ht="36">
      <c r="A69" s="1152">
        <v>9</v>
      </c>
      <c r="B69" s="4249"/>
      <c r="C69" s="1066" t="s">
        <v>1518</v>
      </c>
      <c r="D69" s="1066" t="s">
        <v>1519</v>
      </c>
      <c r="E69" s="1137">
        <v>0.2</v>
      </c>
      <c r="F69" s="1152">
        <v>30</v>
      </c>
    </row>
    <row r="70" spans="1:6" s="1103" customFormat="1" ht="48">
      <c r="A70" s="1152">
        <v>10</v>
      </c>
      <c r="B70" s="4249"/>
      <c r="C70" s="1066" t="s">
        <v>1520</v>
      </c>
      <c r="D70" s="1066" t="s">
        <v>1521</v>
      </c>
      <c r="E70" s="1137">
        <v>0.2</v>
      </c>
      <c r="F70" s="1152">
        <v>30</v>
      </c>
    </row>
    <row r="71" spans="1:6" s="1103" customFormat="1" ht="48">
      <c r="A71" s="1152">
        <v>11</v>
      </c>
      <c r="B71" s="4249"/>
      <c r="C71" s="1066" t="s">
        <v>1522</v>
      </c>
      <c r="D71" s="1066" t="s">
        <v>1523</v>
      </c>
      <c r="E71" s="1137">
        <v>0.2</v>
      </c>
      <c r="F71" s="1152">
        <v>30</v>
      </c>
    </row>
    <row r="72" spans="1:6" s="1103" customFormat="1" ht="36">
      <c r="A72" s="1152">
        <v>12</v>
      </c>
      <c r="B72" s="4249"/>
      <c r="C72" s="1066" t="s">
        <v>1524</v>
      </c>
      <c r="D72" s="1066" t="s">
        <v>1525</v>
      </c>
      <c r="E72" s="1137">
        <v>0.5</v>
      </c>
      <c r="F72" s="1152">
        <v>80</v>
      </c>
    </row>
    <row r="73" spans="1:6" s="1103" customFormat="1" ht="24">
      <c r="A73" s="1152">
        <v>13</v>
      </c>
      <c r="B73" s="4249"/>
      <c r="C73" s="1066" t="s">
        <v>1526</v>
      </c>
      <c r="D73" s="1066" t="s">
        <v>1527</v>
      </c>
      <c r="E73" s="1137">
        <v>0.4</v>
      </c>
      <c r="F73" s="1152">
        <v>60</v>
      </c>
    </row>
    <row r="74" spans="1:6" s="1103" customFormat="1" ht="24">
      <c r="A74" s="1152">
        <v>14</v>
      </c>
      <c r="B74" s="4249"/>
      <c r="C74" s="1066" t="s">
        <v>1528</v>
      </c>
      <c r="D74" s="1066" t="s">
        <v>1529</v>
      </c>
      <c r="E74" s="1137">
        <v>0.2</v>
      </c>
      <c r="F74" s="1152">
        <v>30</v>
      </c>
    </row>
    <row r="75" spans="1:6" s="1103" customFormat="1" ht="24">
      <c r="A75" s="1152">
        <v>15</v>
      </c>
      <c r="B75" s="4249"/>
      <c r="C75" s="1066" t="s">
        <v>1530</v>
      </c>
      <c r="D75" s="1066" t="s">
        <v>1531</v>
      </c>
      <c r="E75" s="1137">
        <v>0.2</v>
      </c>
      <c r="F75" s="1152">
        <v>30</v>
      </c>
    </row>
    <row r="76" spans="1:6" s="1103" customFormat="1" ht="24">
      <c r="A76" s="1152">
        <v>16</v>
      </c>
      <c r="B76" s="4249" t="s">
        <v>1532</v>
      </c>
      <c r="C76" s="1066" t="s">
        <v>1533</v>
      </c>
      <c r="D76" s="1066" t="s">
        <v>1534</v>
      </c>
      <c r="E76" s="1137">
        <v>0.5</v>
      </c>
      <c r="F76" s="1152">
        <v>80</v>
      </c>
    </row>
    <row r="77" spans="1:6" s="1103" customFormat="1" ht="24">
      <c r="A77" s="1152">
        <v>17</v>
      </c>
      <c r="B77" s="4249"/>
      <c r="C77" s="1066" t="s">
        <v>1535</v>
      </c>
      <c r="D77" s="1066" t="s">
        <v>1536</v>
      </c>
      <c r="E77" s="1137">
        <v>0.5</v>
      </c>
      <c r="F77" s="1152">
        <v>80</v>
      </c>
    </row>
    <row r="78" spans="1:6" s="1103" customFormat="1" ht="24">
      <c r="A78" s="1152">
        <v>18</v>
      </c>
      <c r="B78" s="4249"/>
      <c r="C78" s="1066" t="s">
        <v>1537</v>
      </c>
      <c r="D78" s="1066" t="s">
        <v>1538</v>
      </c>
      <c r="E78" s="1137">
        <v>0.2</v>
      </c>
      <c r="F78" s="1152">
        <v>30</v>
      </c>
    </row>
    <row r="79" spans="1:6" s="1103" customFormat="1" ht="24">
      <c r="A79" s="1152">
        <v>19</v>
      </c>
      <c r="B79" s="4249"/>
      <c r="C79" s="1066" t="s">
        <v>1539</v>
      </c>
      <c r="D79" s="1066" t="s">
        <v>1540</v>
      </c>
      <c r="E79" s="1137">
        <v>0.5</v>
      </c>
      <c r="F79" s="1152">
        <v>80</v>
      </c>
    </row>
    <row r="80" spans="1:6" s="1103" customFormat="1" ht="36">
      <c r="A80" s="1152">
        <v>20</v>
      </c>
      <c r="B80" s="4249"/>
      <c r="C80" s="1066" t="s">
        <v>1541</v>
      </c>
      <c r="D80" s="1066" t="s">
        <v>1542</v>
      </c>
      <c r="E80" s="1137">
        <v>0.2</v>
      </c>
      <c r="F80" s="1152">
        <v>30</v>
      </c>
    </row>
    <row r="81" spans="1:6" s="1103" customFormat="1" ht="36">
      <c r="A81" s="1152">
        <v>21</v>
      </c>
      <c r="B81" s="4249"/>
      <c r="C81" s="1066" t="s">
        <v>1543</v>
      </c>
      <c r="D81" s="1066" t="s">
        <v>1544</v>
      </c>
      <c r="E81" s="1137">
        <v>0.2</v>
      </c>
      <c r="F81" s="1152">
        <v>30</v>
      </c>
    </row>
    <row r="82" spans="1:6" s="1103" customFormat="1" ht="48">
      <c r="A82" s="1152">
        <v>22</v>
      </c>
      <c r="B82" s="4249"/>
      <c r="C82" s="1066" t="s">
        <v>1545</v>
      </c>
      <c r="D82" s="1066" t="s">
        <v>1546</v>
      </c>
      <c r="E82" s="1137">
        <v>0.2</v>
      </c>
      <c r="F82" s="1152">
        <v>30</v>
      </c>
    </row>
    <row r="83" spans="1:6" s="1103" customFormat="1" ht="48">
      <c r="A83" s="1152">
        <v>23</v>
      </c>
      <c r="B83" s="4249"/>
      <c r="C83" s="1066" t="s">
        <v>1547</v>
      </c>
      <c r="D83" s="1066" t="s">
        <v>1548</v>
      </c>
      <c r="E83" s="1137">
        <v>0.2</v>
      </c>
      <c r="F83" s="1152">
        <v>30</v>
      </c>
    </row>
    <row r="84" spans="1:6" s="1103" customFormat="1" ht="36">
      <c r="A84" s="1152">
        <v>24</v>
      </c>
      <c r="B84" s="4249"/>
      <c r="C84" s="1066" t="s">
        <v>1549</v>
      </c>
      <c r="D84" s="1066" t="s">
        <v>1550</v>
      </c>
      <c r="E84" s="1137">
        <v>0.2</v>
      </c>
      <c r="F84" s="1152">
        <v>30</v>
      </c>
    </row>
    <row r="85" spans="1:6" s="1103" customFormat="1" ht="36">
      <c r="A85" s="1152">
        <v>25</v>
      </c>
      <c r="B85" s="4249"/>
      <c r="C85" s="1066" t="s">
        <v>1551</v>
      </c>
      <c r="D85" s="1066" t="s">
        <v>1552</v>
      </c>
      <c r="E85" s="1137">
        <v>0.5</v>
      </c>
      <c r="F85" s="1152">
        <v>80</v>
      </c>
    </row>
    <row r="86" spans="1:6" s="1103" customFormat="1" ht="36">
      <c r="A86" s="1152">
        <v>26</v>
      </c>
      <c r="B86" s="4249"/>
      <c r="C86" s="1066" t="s">
        <v>1553</v>
      </c>
      <c r="D86" s="1066" t="s">
        <v>1554</v>
      </c>
      <c r="E86" s="1137">
        <v>0.2</v>
      </c>
      <c r="F86" s="1152">
        <v>30</v>
      </c>
    </row>
    <row r="87" spans="1:6" s="1103" customFormat="1" ht="36">
      <c r="A87" s="1152">
        <v>27</v>
      </c>
      <c r="B87" s="4249"/>
      <c r="C87" s="1066" t="s">
        <v>1555</v>
      </c>
      <c r="D87" s="1066" t="s">
        <v>1556</v>
      </c>
      <c r="E87" s="1137">
        <v>0.2</v>
      </c>
      <c r="F87" s="1152">
        <v>30</v>
      </c>
    </row>
    <row r="88" spans="1:6" s="1103" customFormat="1" ht="36">
      <c r="A88" s="1152">
        <v>28</v>
      </c>
      <c r="B88" s="4249"/>
      <c r="C88" s="1066" t="s">
        <v>1557</v>
      </c>
      <c r="D88" s="1066" t="s">
        <v>1558</v>
      </c>
      <c r="E88" s="1137">
        <v>0.2</v>
      </c>
      <c r="F88" s="1152">
        <v>30</v>
      </c>
    </row>
    <row r="89" spans="1:6" s="1103" customFormat="1" ht="24">
      <c r="A89" s="1152">
        <v>29</v>
      </c>
      <c r="B89" s="4249"/>
      <c r="C89" s="1066" t="s">
        <v>1559</v>
      </c>
      <c r="D89" s="1066" t="s">
        <v>1560</v>
      </c>
      <c r="E89" s="1137">
        <v>0.2</v>
      </c>
      <c r="F89" s="1152">
        <v>30</v>
      </c>
    </row>
    <row r="90" spans="1:6" s="1103" customFormat="1" ht="24">
      <c r="A90" s="1152">
        <v>30</v>
      </c>
      <c r="B90" s="4249"/>
      <c r="C90" s="1066" t="s">
        <v>1561</v>
      </c>
      <c r="D90" s="1066" t="s">
        <v>1562</v>
      </c>
      <c r="E90" s="1137">
        <v>0.2</v>
      </c>
      <c r="F90" s="1152">
        <v>30</v>
      </c>
    </row>
    <row r="91" spans="1:6" s="1103" customFormat="1" ht="36">
      <c r="A91" s="1152">
        <v>31</v>
      </c>
      <c r="B91" s="4249"/>
      <c r="C91" s="1066" t="s">
        <v>1563</v>
      </c>
      <c r="D91" s="1066" t="s">
        <v>1564</v>
      </c>
      <c r="E91" s="1137">
        <v>0.2</v>
      </c>
      <c r="F91" s="1152">
        <v>30</v>
      </c>
    </row>
    <row r="92" spans="1:6" s="1103" customFormat="1" ht="24">
      <c r="A92" s="1152">
        <v>32</v>
      </c>
      <c r="B92" s="4249" t="s">
        <v>1565</v>
      </c>
      <c r="C92" s="1152" t="s">
        <v>1566</v>
      </c>
      <c r="D92" s="1066" t="s">
        <v>1567</v>
      </c>
      <c r="E92" s="1137">
        <v>0.2</v>
      </c>
      <c r="F92" s="1152">
        <v>30</v>
      </c>
    </row>
    <row r="93" spans="1:6" s="1103" customFormat="1" ht="36">
      <c r="A93" s="1152">
        <v>33</v>
      </c>
      <c r="B93" s="4249"/>
      <c r="C93" s="1152" t="s">
        <v>1568</v>
      </c>
      <c r="D93" s="1066" t="s">
        <v>1569</v>
      </c>
      <c r="E93" s="1137">
        <v>0.2</v>
      </c>
      <c r="F93" s="1152">
        <v>30</v>
      </c>
    </row>
    <row r="94" spans="1:6" s="1103" customFormat="1" ht="48">
      <c r="A94" s="1152">
        <v>34</v>
      </c>
      <c r="B94" s="4249"/>
      <c r="C94" s="1152" t="s">
        <v>1570</v>
      </c>
      <c r="D94" s="1066" t="s">
        <v>1571</v>
      </c>
      <c r="E94" s="1137">
        <v>0.2</v>
      </c>
      <c r="F94" s="1152">
        <v>30</v>
      </c>
    </row>
    <row r="95" spans="1:6" s="1103" customFormat="1" ht="36">
      <c r="A95" s="1152">
        <v>35</v>
      </c>
      <c r="B95" s="4249"/>
      <c r="C95" s="1152" t="s">
        <v>1572</v>
      </c>
      <c r="D95" s="1066" t="s">
        <v>1573</v>
      </c>
      <c r="E95" s="1137">
        <v>0.2</v>
      </c>
      <c r="F95" s="1152">
        <v>30</v>
      </c>
    </row>
    <row r="96" spans="1:6" s="1103" customFormat="1" ht="48">
      <c r="A96" s="1152">
        <v>36</v>
      </c>
      <c r="B96" s="4249"/>
      <c r="C96" s="1066" t="s">
        <v>1574</v>
      </c>
      <c r="D96" s="1066" t="s">
        <v>1575</v>
      </c>
      <c r="E96" s="1137">
        <v>0.2</v>
      </c>
      <c r="F96" s="1152">
        <v>30</v>
      </c>
    </row>
    <row r="97" spans="1:6" s="1103" customFormat="1" ht="36">
      <c r="A97" s="1152">
        <v>37</v>
      </c>
      <c r="B97" s="4249"/>
      <c r="C97" s="1152" t="s">
        <v>1576</v>
      </c>
      <c r="D97" s="1066" t="s">
        <v>1577</v>
      </c>
      <c r="E97" s="1137">
        <v>0.2</v>
      </c>
      <c r="F97" s="1152">
        <v>30</v>
      </c>
    </row>
    <row r="98" spans="1:6" s="1103" customFormat="1" ht="36">
      <c r="A98" s="1152">
        <v>38</v>
      </c>
      <c r="B98" s="4249"/>
      <c r="C98" s="1152" t="s">
        <v>1578</v>
      </c>
      <c r="D98" s="1066" t="s">
        <v>1579</v>
      </c>
      <c r="E98" s="1137">
        <v>0.2</v>
      </c>
      <c r="F98" s="1152">
        <v>30</v>
      </c>
    </row>
    <row r="99" spans="1:6" s="1103" customFormat="1" ht="36">
      <c r="A99" s="1152">
        <v>39</v>
      </c>
      <c r="B99" s="4249" t="s">
        <v>1580</v>
      </c>
      <c r="C99" s="1152" t="s">
        <v>1581</v>
      </c>
      <c r="D99" s="1066" t="s">
        <v>1582</v>
      </c>
      <c r="E99" s="1137">
        <v>0.3</v>
      </c>
      <c r="F99" s="1152">
        <v>50</v>
      </c>
    </row>
    <row r="100" spans="1:6" s="1103" customFormat="1" ht="24">
      <c r="A100" s="1152">
        <v>40</v>
      </c>
      <c r="B100" s="4249"/>
      <c r="C100" s="1152" t="s">
        <v>1583</v>
      </c>
      <c r="D100" s="1066" t="s">
        <v>1584</v>
      </c>
      <c r="E100" s="1137">
        <v>0.2</v>
      </c>
      <c r="F100" s="1152">
        <v>30</v>
      </c>
    </row>
    <row r="101" spans="1:6" s="1103" customFormat="1" ht="36">
      <c r="A101" s="1152">
        <v>41</v>
      </c>
      <c r="B101" s="424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4249" t="s">
        <v>1595</v>
      </c>
      <c r="C105" s="1152" t="s">
        <v>1596</v>
      </c>
      <c r="D105" s="1066" t="s">
        <v>1597</v>
      </c>
      <c r="E105" s="1137">
        <v>0.2</v>
      </c>
      <c r="F105" s="1152">
        <v>30</v>
      </c>
    </row>
    <row r="106" spans="1:6" s="1103" customFormat="1" ht="36">
      <c r="A106" s="1152">
        <v>46</v>
      </c>
      <c r="B106" s="4249"/>
      <c r="C106" s="1152" t="s">
        <v>1598</v>
      </c>
      <c r="D106" s="1066" t="s">
        <v>1599</v>
      </c>
      <c r="E106" s="1137">
        <v>0.2</v>
      </c>
      <c r="F106" s="1152">
        <v>30</v>
      </c>
    </row>
    <row r="107" spans="1:6" s="1103" customFormat="1" ht="36">
      <c r="A107" s="1152">
        <v>47</v>
      </c>
      <c r="B107" s="4249" t="s">
        <v>1600</v>
      </c>
      <c r="C107" s="1152" t="s">
        <v>1601</v>
      </c>
      <c r="D107" s="1066" t="s">
        <v>1602</v>
      </c>
      <c r="E107" s="1137">
        <v>0.3</v>
      </c>
      <c r="F107" s="1152">
        <v>50</v>
      </c>
    </row>
    <row r="108" spans="1:6" s="1103" customFormat="1" ht="36">
      <c r="A108" s="1152">
        <v>48</v>
      </c>
      <c r="B108" s="424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4249" t="s">
        <v>1611</v>
      </c>
      <c r="C111" s="1152" t="s">
        <v>1612</v>
      </c>
      <c r="D111" s="1066" t="s">
        <v>1613</v>
      </c>
      <c r="E111" s="1137">
        <v>0.2</v>
      </c>
      <c r="F111" s="1152">
        <v>30</v>
      </c>
    </row>
    <row r="112" spans="1:6" s="1103" customFormat="1" ht="24">
      <c r="A112" s="1152">
        <v>52</v>
      </c>
      <c r="B112" s="4249"/>
      <c r="C112" s="1152" t="s">
        <v>1614</v>
      </c>
      <c r="D112" s="1066" t="s">
        <v>1615</v>
      </c>
      <c r="E112" s="1137">
        <v>0.2</v>
      </c>
      <c r="F112" s="1152">
        <v>30</v>
      </c>
    </row>
    <row r="113" spans="1:14" s="1103" customFormat="1" ht="24">
      <c r="A113" s="1152">
        <v>53</v>
      </c>
      <c r="B113" s="424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4249" t="s">
        <v>1624</v>
      </c>
      <c r="C116" s="1152" t="s">
        <v>1625</v>
      </c>
      <c r="D116" s="1066" t="s">
        <v>1626</v>
      </c>
      <c r="E116" s="1137">
        <v>0.2</v>
      </c>
      <c r="F116" s="1152">
        <v>30</v>
      </c>
    </row>
    <row r="117" spans="1:14" ht="36">
      <c r="A117" s="1152">
        <v>57</v>
      </c>
      <c r="B117" s="424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4248" t="s">
        <v>1633</v>
      </c>
      <c r="B121" s="4248"/>
      <c r="C121" s="4248"/>
      <c r="D121" s="4248"/>
      <c r="E121" s="4248"/>
      <c r="F121" s="4248"/>
      <c r="G121" s="4248"/>
      <c r="H121" s="4248"/>
      <c r="I121" s="4248"/>
      <c r="J121" s="424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4261" t="s">
        <v>1039</v>
      </c>
      <c r="B1" s="4261"/>
      <c r="C1" s="4261"/>
      <c r="D1" s="4261"/>
      <c r="E1" s="4261"/>
      <c r="F1" s="4261"/>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4262" t="s">
        <v>1052</v>
      </c>
      <c r="B2" s="4262"/>
      <c r="C2" s="4262"/>
      <c r="D2" s="4262"/>
      <c r="E2" s="4262"/>
      <c r="F2" s="4262"/>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4263"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4264"/>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4265" t="s">
        <v>2081</v>
      </c>
      <c r="B1" s="4265"/>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1096</v>
      </c>
      <c r="B6" s="1857" t="s">
        <v>2090</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2091</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2092</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2093</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2094</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2095</v>
      </c>
      <c r="C72" s="1867"/>
      <c r="D72" s="1867"/>
      <c r="E72" s="1867"/>
      <c r="F72" s="1859">
        <v>0.05</v>
      </c>
    </row>
    <row r="73" spans="1:6" ht="14.25" thickBot="1">
      <c r="A73" s="1853" t="s">
        <v>924</v>
      </c>
      <c r="B73" s="1857" t="s">
        <v>2096</v>
      </c>
      <c r="C73" s="1867"/>
      <c r="D73" s="1867"/>
      <c r="E73" s="1867"/>
      <c r="F73" s="1859">
        <v>0.05</v>
      </c>
    </row>
    <row r="74" spans="1:6" ht="14.25" thickBot="1">
      <c r="A74" s="1853" t="s">
        <v>924</v>
      </c>
      <c r="B74" s="1857" t="s">
        <v>2097</v>
      </c>
      <c r="C74" s="1867"/>
      <c r="D74" s="1867"/>
      <c r="E74" s="1867"/>
      <c r="F74" s="1859">
        <v>0.05</v>
      </c>
    </row>
    <row r="75" spans="1:6" ht="14.25" thickBot="1">
      <c r="A75" s="1861" t="s">
        <v>924</v>
      </c>
      <c r="B75" s="1868" t="s">
        <v>2098</v>
      </c>
      <c r="C75" s="1864"/>
      <c r="D75" s="1864"/>
      <c r="E75" s="1864"/>
      <c r="F75" s="1869">
        <v>0.05</v>
      </c>
    </row>
    <row r="76" spans="1:6" ht="14.25" thickBot="1">
      <c r="A76" s="1853" t="s">
        <v>1407</v>
      </c>
      <c r="B76" s="1854" t="s">
        <v>2099</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2100</v>
      </c>
      <c r="C102" s="1867"/>
      <c r="D102" s="1867"/>
      <c r="E102" s="1867"/>
      <c r="F102" s="1859">
        <v>0.05</v>
      </c>
    </row>
    <row r="103" spans="1:6" ht="24.75" thickBot="1">
      <c r="A103" s="1853" t="s">
        <v>1407</v>
      </c>
      <c r="B103" s="1857" t="s">
        <v>2101</v>
      </c>
      <c r="C103" s="1867"/>
      <c r="D103" s="1867"/>
      <c r="E103" s="1867"/>
      <c r="F103" s="1859">
        <v>0.05</v>
      </c>
    </row>
    <row r="104" spans="1:6" ht="14.25" thickBot="1">
      <c r="A104" s="1853" t="s">
        <v>1407</v>
      </c>
      <c r="B104" s="1857" t="s">
        <v>2102</v>
      </c>
      <c r="C104" s="1867"/>
      <c r="D104" s="1867"/>
      <c r="E104" s="1867"/>
      <c r="F104" s="1859">
        <v>0.05</v>
      </c>
    </row>
    <row r="105" spans="1:6" ht="14.25" thickBot="1">
      <c r="A105" s="1853" t="s">
        <v>1407</v>
      </c>
      <c r="B105" s="1857" t="s">
        <v>2103</v>
      </c>
      <c r="C105" s="1867"/>
      <c r="D105" s="1867"/>
      <c r="E105" s="1867"/>
      <c r="F105" s="1859">
        <v>0.05</v>
      </c>
    </row>
    <row r="106" spans="1:6" ht="14.25" thickBot="1">
      <c r="A106" s="1853" t="s">
        <v>1407</v>
      </c>
      <c r="B106" s="1857" t="s">
        <v>2104</v>
      </c>
      <c r="C106" s="1867"/>
      <c r="D106" s="1867"/>
      <c r="E106" s="1867"/>
      <c r="F106" s="1859">
        <v>0.05</v>
      </c>
    </row>
    <row r="107" spans="1:6" ht="24.75" thickBot="1">
      <c r="A107" s="1853" t="s">
        <v>1407</v>
      </c>
      <c r="B107" s="1857" t="s">
        <v>2105</v>
      </c>
      <c r="C107" s="1867"/>
      <c r="D107" s="1867"/>
      <c r="E107" s="1867"/>
      <c r="F107" s="1859">
        <v>0.05</v>
      </c>
    </row>
    <row r="108" spans="1:6" ht="24.75" thickBot="1">
      <c r="A108" s="1853" t="s">
        <v>1407</v>
      </c>
      <c r="B108" s="1857" t="s">
        <v>2106</v>
      </c>
      <c r="C108" s="1867"/>
      <c r="D108" s="1867"/>
      <c r="E108" s="1867"/>
      <c r="F108" s="1859">
        <v>0.05</v>
      </c>
    </row>
    <row r="109" spans="1:6" ht="24.75" thickBot="1">
      <c r="A109" s="1861" t="s">
        <v>1407</v>
      </c>
      <c r="B109" s="1868" t="s">
        <v>2107</v>
      </c>
      <c r="C109" s="1864"/>
      <c r="D109" s="1864"/>
      <c r="E109" s="1864"/>
      <c r="F109" s="1869">
        <v>0.05</v>
      </c>
    </row>
    <row r="110" spans="1:6" ht="14.25" thickBot="1">
      <c r="A110" s="1853" t="s">
        <v>1409</v>
      </c>
      <c r="B110" s="1854" t="s">
        <v>2108</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2109</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2110</v>
      </c>
      <c r="C138" s="1858">
        <v>0.105</v>
      </c>
      <c r="D138" s="1858">
        <v>0.125</v>
      </c>
      <c r="E138" s="1858">
        <v>0.112</v>
      </c>
      <c r="F138" s="1866"/>
    </row>
    <row r="139" spans="1:6" ht="14.25" thickBot="1">
      <c r="A139" s="1853" t="s">
        <v>1409</v>
      </c>
      <c r="B139" s="1857" t="s">
        <v>2111</v>
      </c>
      <c r="C139" s="1858">
        <v>0.127</v>
      </c>
      <c r="D139" s="1858">
        <v>0.127</v>
      </c>
      <c r="E139" s="1858">
        <v>0.122</v>
      </c>
      <c r="F139" s="1859">
        <v>0.13</v>
      </c>
    </row>
    <row r="140" spans="1:6" ht="14.25" thickBot="1">
      <c r="A140" s="1853" t="s">
        <v>1409</v>
      </c>
      <c r="B140" s="1857" t="s">
        <v>2112</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2113</v>
      </c>
      <c r="C144" s="1871">
        <v>0.126</v>
      </c>
      <c r="D144" s="1871">
        <v>0.126</v>
      </c>
      <c r="E144" s="1871">
        <v>0.121</v>
      </c>
      <c r="F144" s="1866"/>
    </row>
    <row r="145" spans="1:6" ht="14.25" thickBot="1">
      <c r="A145" s="1861" t="s">
        <v>1409</v>
      </c>
      <c r="B145" s="1872" t="s">
        <v>2114</v>
      </c>
      <c r="C145" s="1873"/>
      <c r="D145" s="1873"/>
      <c r="E145" s="1873"/>
      <c r="F145" s="1874">
        <v>0.05</v>
      </c>
    </row>
    <row r="146" spans="1:6" ht="24.75" thickBot="1">
      <c r="A146" s="1875" t="s">
        <v>1409</v>
      </c>
      <c r="B146" s="1860" t="s">
        <v>2115</v>
      </c>
      <c r="C146" s="1867"/>
      <c r="D146" s="1867"/>
      <c r="E146" s="1867"/>
      <c r="F146" s="1876">
        <v>0.05</v>
      </c>
    </row>
    <row r="147" spans="1:6" ht="24.75" thickBot="1">
      <c r="A147" s="1853" t="s">
        <v>1409</v>
      </c>
      <c r="B147" s="1857" t="s">
        <v>2116</v>
      </c>
      <c r="C147" s="1867"/>
      <c r="D147" s="1867"/>
      <c r="E147" s="1867"/>
      <c r="F147" s="1859">
        <v>0.05</v>
      </c>
    </row>
    <row r="148" spans="1:6" ht="24.75" thickBot="1">
      <c r="A148" s="1853" t="s">
        <v>1409</v>
      </c>
      <c r="B148" s="1857" t="s">
        <v>2117</v>
      </c>
      <c r="C148" s="1867"/>
      <c r="D148" s="1867"/>
      <c r="E148" s="1867"/>
      <c r="F148" s="1859">
        <v>0.05</v>
      </c>
    </row>
    <row r="149" spans="1:6" ht="24.75" thickBot="1">
      <c r="A149" s="1853" t="s">
        <v>1409</v>
      </c>
      <c r="B149" s="1857" t="s">
        <v>2118</v>
      </c>
      <c r="C149" s="1867"/>
      <c r="D149" s="1867"/>
      <c r="E149" s="1867"/>
      <c r="F149" s="1859">
        <v>0.05</v>
      </c>
    </row>
    <row r="150" spans="1:6" ht="24.75" thickBot="1">
      <c r="A150" s="1853" t="s">
        <v>1409</v>
      </c>
      <c r="B150" s="1857" t="s">
        <v>2119</v>
      </c>
      <c r="C150" s="1867"/>
      <c r="D150" s="1867"/>
      <c r="E150" s="1867"/>
      <c r="F150" s="1859">
        <v>0.05</v>
      </c>
    </row>
    <row r="151" spans="1:6" ht="24.75" thickBot="1">
      <c r="A151" s="1853" t="s">
        <v>1409</v>
      </c>
      <c r="B151" s="1857" t="s">
        <v>2120</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2121</v>
      </c>
      <c r="C153" s="1867"/>
      <c r="D153" s="1867"/>
      <c r="E153" s="1867"/>
      <c r="F153" s="1859">
        <v>0.05</v>
      </c>
    </row>
    <row r="154" spans="1:6" ht="14.25" thickBot="1">
      <c r="A154" s="1853" t="s">
        <v>1409</v>
      </c>
      <c r="B154" s="1857" t="s">
        <v>2122</v>
      </c>
      <c r="C154" s="1867"/>
      <c r="D154" s="1867"/>
      <c r="E154" s="1867"/>
      <c r="F154" s="1859">
        <v>0.05</v>
      </c>
    </row>
    <row r="155" spans="1:6" ht="24.75" thickBot="1">
      <c r="A155" s="1853" t="s">
        <v>1409</v>
      </c>
      <c r="B155" s="1857" t="s">
        <v>2123</v>
      </c>
      <c r="C155" s="1867"/>
      <c r="D155" s="1867"/>
      <c r="E155" s="1867"/>
      <c r="F155" s="1859">
        <v>0.05</v>
      </c>
    </row>
    <row r="156" spans="1:6" ht="24.75" thickBot="1">
      <c r="A156" s="1853" t="s">
        <v>1409</v>
      </c>
      <c r="B156" s="1857" t="s">
        <v>2124</v>
      </c>
      <c r="C156" s="1867"/>
      <c r="D156" s="1867"/>
      <c r="E156" s="1867"/>
      <c r="F156" s="1859">
        <v>0.05</v>
      </c>
    </row>
    <row r="157" spans="1:6" ht="14.25" thickBot="1">
      <c r="A157" s="1861" t="s">
        <v>1409</v>
      </c>
      <c r="B157" s="1868" t="s">
        <v>2125</v>
      </c>
      <c r="C157" s="1864"/>
      <c r="D157" s="1864"/>
      <c r="E157" s="1864"/>
      <c r="F157" s="1869">
        <v>0.05</v>
      </c>
    </row>
    <row r="158" spans="1:6" ht="14.25" thickBot="1">
      <c r="A158" s="1853" t="s">
        <v>1411</v>
      </c>
      <c r="B158" s="1854" t="s">
        <v>2126</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2127</v>
      </c>
      <c r="C171" s="1858">
        <v>0.127</v>
      </c>
      <c r="D171" s="1858">
        <v>0.126</v>
      </c>
      <c r="E171" s="1858">
        <v>0.126</v>
      </c>
      <c r="F171" s="1859">
        <v>0.11799999999999999</v>
      </c>
    </row>
    <row r="172" spans="1:6" ht="14.25" thickBot="1">
      <c r="A172" s="1853" t="s">
        <v>1411</v>
      </c>
      <c r="B172" s="1857" t="s">
        <v>2128</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2129</v>
      </c>
      <c r="C174" s="1858">
        <v>0.13</v>
      </c>
      <c r="D174" s="1858">
        <v>0.13</v>
      </c>
      <c r="E174" s="1858">
        <v>0.13</v>
      </c>
      <c r="F174" s="1859">
        <v>0.13</v>
      </c>
    </row>
    <row r="175" spans="1:6" ht="14.25" thickBot="1">
      <c r="A175" s="1853" t="s">
        <v>1411</v>
      </c>
      <c r="B175" s="1857" t="s">
        <v>2130</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2131</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2132</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2133</v>
      </c>
      <c r="C185" s="1858">
        <v>0.127</v>
      </c>
      <c r="D185" s="1858">
        <v>0.127</v>
      </c>
      <c r="E185" s="1858">
        <v>0.128</v>
      </c>
      <c r="F185" s="1859">
        <v>0.13</v>
      </c>
    </row>
    <row r="186" spans="1:6" ht="24.75" thickBot="1">
      <c r="A186" s="1853" t="s">
        <v>1411</v>
      </c>
      <c r="B186" s="1857" t="s">
        <v>2134</v>
      </c>
      <c r="C186" s="1867"/>
      <c r="D186" s="1867"/>
      <c r="E186" s="1867"/>
      <c r="F186" s="1859">
        <v>0.05</v>
      </c>
    </row>
    <row r="187" spans="1:6" ht="14.25" thickBot="1">
      <c r="A187" s="1853" t="s">
        <v>1411</v>
      </c>
      <c r="B187" s="1857" t="s">
        <v>2135</v>
      </c>
      <c r="C187" s="1867"/>
      <c r="D187" s="1867"/>
      <c r="E187" s="1867"/>
      <c r="F187" s="1859">
        <v>0.05</v>
      </c>
    </row>
    <row r="188" spans="1:6" ht="14.25" thickBot="1">
      <c r="A188" s="1853" t="s">
        <v>1411</v>
      </c>
      <c r="B188" s="1857" t="s">
        <v>2136</v>
      </c>
      <c r="C188" s="1867"/>
      <c r="D188" s="1867"/>
      <c r="E188" s="1867"/>
      <c r="F188" s="1859">
        <v>0.05</v>
      </c>
    </row>
    <row r="189" spans="1:6" ht="24.75" thickBot="1">
      <c r="A189" s="1853" t="s">
        <v>1411</v>
      </c>
      <c r="B189" s="1857" t="s">
        <v>2137</v>
      </c>
      <c r="C189" s="1867"/>
      <c r="D189" s="1867"/>
      <c r="E189" s="1867"/>
      <c r="F189" s="1859">
        <v>0.05</v>
      </c>
    </row>
    <row r="190" spans="1:6" ht="24.75" thickBot="1">
      <c r="A190" s="1853" t="s">
        <v>1411</v>
      </c>
      <c r="B190" s="1857" t="s">
        <v>2138</v>
      </c>
      <c r="C190" s="1867"/>
      <c r="D190" s="1867"/>
      <c r="E190" s="1867"/>
      <c r="F190" s="1859">
        <v>0.05</v>
      </c>
    </row>
    <row r="191" spans="1:6" ht="24.75" thickBot="1">
      <c r="A191" s="1853" t="s">
        <v>1411</v>
      </c>
      <c r="B191" s="1857" t="s">
        <v>2139</v>
      </c>
      <c r="C191" s="1867"/>
      <c r="D191" s="1867"/>
      <c r="E191" s="1867"/>
      <c r="F191" s="1859">
        <v>0.05</v>
      </c>
    </row>
    <row r="192" spans="1:6" ht="24.75" thickBot="1">
      <c r="A192" s="1853" t="s">
        <v>1411</v>
      </c>
      <c r="B192" s="1857" t="s">
        <v>2140</v>
      </c>
      <c r="C192" s="1867"/>
      <c r="D192" s="1867"/>
      <c r="E192" s="1867"/>
      <c r="F192" s="1859">
        <v>0.05</v>
      </c>
    </row>
    <row r="193" spans="1:6" ht="24.75" thickBot="1">
      <c r="A193" s="1853" t="s">
        <v>1411</v>
      </c>
      <c r="B193" s="1857" t="s">
        <v>2141</v>
      </c>
      <c r="C193" s="1867"/>
      <c r="D193" s="1867"/>
      <c r="E193" s="1867"/>
      <c r="F193" s="1859">
        <v>0.05</v>
      </c>
    </row>
    <row r="194" spans="1:6" ht="24.75" thickBot="1">
      <c r="A194" s="1853" t="s">
        <v>1411</v>
      </c>
      <c r="B194" s="1857" t="s">
        <v>2142</v>
      </c>
      <c r="C194" s="1867"/>
      <c r="D194" s="1867"/>
      <c r="E194" s="1867"/>
      <c r="F194" s="1859">
        <v>0.05</v>
      </c>
    </row>
    <row r="195" spans="1:6" ht="14.25" thickBot="1">
      <c r="A195" s="1853" t="s">
        <v>1411</v>
      </c>
      <c r="B195" s="1857" t="s">
        <v>2143</v>
      </c>
      <c r="C195" s="1867"/>
      <c r="D195" s="1867"/>
      <c r="E195" s="1867"/>
      <c r="F195" s="1859">
        <v>0.05</v>
      </c>
    </row>
    <row r="196" spans="1:6" ht="24.75" thickBot="1">
      <c r="A196" s="1853" t="s">
        <v>1411</v>
      </c>
      <c r="B196" s="1857" t="s">
        <v>2144</v>
      </c>
      <c r="C196" s="1867"/>
      <c r="D196" s="1867"/>
      <c r="E196" s="1867"/>
      <c r="F196" s="1859">
        <v>0.05</v>
      </c>
    </row>
    <row r="197" spans="1:6" ht="24.75" thickBot="1">
      <c r="A197" s="1853" t="s">
        <v>1411</v>
      </c>
      <c r="B197" s="1857" t="s">
        <v>2145</v>
      </c>
      <c r="C197" s="1867"/>
      <c r="D197" s="1867"/>
      <c r="E197" s="1867"/>
      <c r="F197" s="1859">
        <v>0.05</v>
      </c>
    </row>
    <row r="198" spans="1:6" ht="24.75" thickBot="1">
      <c r="A198" s="1853" t="s">
        <v>1411</v>
      </c>
      <c r="B198" s="1857" t="s">
        <v>2146</v>
      </c>
      <c r="C198" s="1867"/>
      <c r="D198" s="1867"/>
      <c r="E198" s="1867"/>
      <c r="F198" s="1859">
        <v>0.05</v>
      </c>
    </row>
    <row r="199" spans="1:6" ht="24.75" thickBot="1">
      <c r="A199" s="1853" t="s">
        <v>1411</v>
      </c>
      <c r="B199" s="1857" t="s">
        <v>2147</v>
      </c>
      <c r="C199" s="1867"/>
      <c r="D199" s="1867"/>
      <c r="E199" s="1867"/>
      <c r="F199" s="1859">
        <v>0.05</v>
      </c>
    </row>
    <row r="200" spans="1:6" ht="24.75" thickBot="1">
      <c r="A200" s="1853" t="s">
        <v>1411</v>
      </c>
      <c r="B200" s="1857" t="s">
        <v>2148</v>
      </c>
      <c r="C200" s="1867"/>
      <c r="D200" s="1867"/>
      <c r="E200" s="1867"/>
      <c r="F200" s="1859">
        <v>0.05</v>
      </c>
    </row>
    <row r="201" spans="1:6" ht="24.75" thickBot="1">
      <c r="A201" s="1853" t="s">
        <v>1411</v>
      </c>
      <c r="B201" s="1857" t="s">
        <v>2149</v>
      </c>
      <c r="C201" s="1867"/>
      <c r="D201" s="1867"/>
      <c r="E201" s="1867"/>
      <c r="F201" s="1859">
        <v>0.05</v>
      </c>
    </row>
    <row r="202" spans="1:6" ht="24.75" thickBot="1">
      <c r="A202" s="1853" t="s">
        <v>1411</v>
      </c>
      <c r="B202" s="1857" t="s">
        <v>2150</v>
      </c>
      <c r="C202" s="1867"/>
      <c r="D202" s="1867"/>
      <c r="E202" s="1867"/>
      <c r="F202" s="1859">
        <v>0.05</v>
      </c>
    </row>
    <row r="203" spans="1:6" ht="24.75" thickBot="1">
      <c r="A203" s="1853" t="s">
        <v>1411</v>
      </c>
      <c r="B203" s="1857" t="s">
        <v>2151</v>
      </c>
      <c r="C203" s="1867"/>
      <c r="D203" s="1867"/>
      <c r="E203" s="1867"/>
      <c r="F203" s="1859">
        <v>0.05</v>
      </c>
    </row>
    <row r="204" spans="1:6" ht="14.25" thickBot="1">
      <c r="A204" s="1853" t="s">
        <v>1411</v>
      </c>
      <c r="B204" s="1857" t="s">
        <v>2152</v>
      </c>
      <c r="C204" s="1867"/>
      <c r="D204" s="1867"/>
      <c r="E204" s="1867"/>
      <c r="F204" s="1859">
        <v>0.05</v>
      </c>
    </row>
    <row r="205" spans="1:6" ht="14.25" thickBot="1">
      <c r="A205" s="1861" t="s">
        <v>1411</v>
      </c>
      <c r="B205" s="1868" t="s">
        <v>2153</v>
      </c>
      <c r="C205" s="1864"/>
      <c r="D205" s="1864"/>
      <c r="E205" s="1864"/>
      <c r="F205" s="1869">
        <v>0.05</v>
      </c>
    </row>
    <row r="206" spans="1:6" ht="14.25" thickBot="1">
      <c r="A206" s="1853" t="s">
        <v>1413</v>
      </c>
      <c r="B206" s="1854" t="s">
        <v>2154</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2155</v>
      </c>
      <c r="C210" s="1858">
        <v>0.15</v>
      </c>
      <c r="D210" s="1858">
        <v>0.15</v>
      </c>
      <c r="E210" s="1858">
        <v>0.15</v>
      </c>
      <c r="F210" s="1859">
        <v>0.13800000000000001</v>
      </c>
    </row>
    <row r="211" spans="1:6" ht="14.25" thickBot="1">
      <c r="A211" s="1853" t="s">
        <v>1413</v>
      </c>
      <c r="B211" s="1857" t="s">
        <v>2156</v>
      </c>
      <c r="C211" s="1858">
        <v>0.13700000000000001</v>
      </c>
      <c r="D211" s="1858">
        <v>0.13500000000000001</v>
      </c>
      <c r="E211" s="1858">
        <v>0.13600000000000001</v>
      </c>
      <c r="F211" s="1859">
        <v>0.1</v>
      </c>
    </row>
    <row r="212" spans="1:6" ht="14.25" thickBot="1">
      <c r="A212" s="1853" t="s">
        <v>1413</v>
      </c>
      <c r="B212" s="1857" t="s">
        <v>2157</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2158</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2159</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2160</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2161</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2162</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2163</v>
      </c>
      <c r="C231" s="1858">
        <v>0.128</v>
      </c>
      <c r="D231" s="1858">
        <v>0.125</v>
      </c>
      <c r="E231" s="1858">
        <v>0.13200000000000001</v>
      </c>
      <c r="F231" s="1866"/>
    </row>
    <row r="232" spans="1:6" ht="14.25" thickBot="1">
      <c r="A232" s="1853" t="s">
        <v>1413</v>
      </c>
      <c r="B232" s="1857" t="s">
        <v>2164</v>
      </c>
      <c r="C232" s="1858">
        <v>0.14499999999999999</v>
      </c>
      <c r="D232" s="1858">
        <v>0.14399999999999999</v>
      </c>
      <c r="E232" s="1858">
        <v>0.14599999999999999</v>
      </c>
      <c r="F232" s="1859">
        <v>0.13800000000000001</v>
      </c>
    </row>
    <row r="233" spans="1:6" ht="14.25" thickBot="1">
      <c r="A233" s="1853" t="s">
        <v>1413</v>
      </c>
      <c r="B233" s="1857" t="s">
        <v>2165</v>
      </c>
      <c r="C233" s="1858">
        <v>0.14499999999999999</v>
      </c>
      <c r="D233" s="1858">
        <v>0.14299999999999999</v>
      </c>
      <c r="E233" s="1858">
        <v>0.14199999999999999</v>
      </c>
      <c r="F233" s="1866"/>
    </row>
    <row r="234" spans="1:6" ht="14.25" thickBot="1">
      <c r="A234" s="1853" t="s">
        <v>1413</v>
      </c>
      <c r="B234" s="1857" t="s">
        <v>2166</v>
      </c>
      <c r="C234" s="1858">
        <v>0.14000000000000001</v>
      </c>
      <c r="D234" s="1858">
        <v>0.14000000000000001</v>
      </c>
      <c r="E234" s="1858">
        <v>0.14399999999999999</v>
      </c>
      <c r="F234" s="1866"/>
    </row>
    <row r="235" spans="1:6" ht="14.25" thickBot="1">
      <c r="A235" s="1853" t="s">
        <v>1413</v>
      </c>
      <c r="B235" s="1857" t="s">
        <v>2167</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2168</v>
      </c>
      <c r="C237" s="1867"/>
      <c r="D237" s="1867"/>
      <c r="E237" s="1867"/>
      <c r="F237" s="1859">
        <v>0.05</v>
      </c>
    </row>
    <row r="238" spans="1:6" ht="24.75" thickBot="1">
      <c r="A238" s="1853" t="s">
        <v>1413</v>
      </c>
      <c r="B238" s="1857" t="s">
        <v>2169</v>
      </c>
      <c r="C238" s="1867"/>
      <c r="D238" s="1867"/>
      <c r="E238" s="1867"/>
      <c r="F238" s="1859">
        <v>0.05</v>
      </c>
    </row>
    <row r="239" spans="1:6" ht="24.75" thickBot="1">
      <c r="A239" s="1853" t="s">
        <v>1413</v>
      </c>
      <c r="B239" s="1857" t="s">
        <v>2170</v>
      </c>
      <c r="C239" s="1867"/>
      <c r="D239" s="1867"/>
      <c r="E239" s="1867"/>
      <c r="F239" s="1859">
        <v>0.05</v>
      </c>
    </row>
    <row r="240" spans="1:6" ht="24.75" thickBot="1">
      <c r="A240" s="1853" t="s">
        <v>1413</v>
      </c>
      <c r="B240" s="1857" t="s">
        <v>2171</v>
      </c>
      <c r="C240" s="1867"/>
      <c r="D240" s="1867"/>
      <c r="E240" s="1867"/>
      <c r="F240" s="1859">
        <v>0.05</v>
      </c>
    </row>
    <row r="241" spans="1:6" ht="24.75" thickBot="1">
      <c r="A241" s="1853" t="s">
        <v>1413</v>
      </c>
      <c r="B241" s="1857" t="s">
        <v>2172</v>
      </c>
      <c r="C241" s="1867"/>
      <c r="D241" s="1867"/>
      <c r="E241" s="1867"/>
      <c r="F241" s="1859">
        <v>0.05</v>
      </c>
    </row>
    <row r="242" spans="1:6" ht="24.75" thickBot="1">
      <c r="A242" s="1853" t="s">
        <v>1413</v>
      </c>
      <c r="B242" s="1857" t="s">
        <v>2173</v>
      </c>
      <c r="C242" s="1867"/>
      <c r="D242" s="1867"/>
      <c r="E242" s="1867"/>
      <c r="F242" s="1859">
        <v>0.05</v>
      </c>
    </row>
    <row r="243" spans="1:6" ht="24.75" thickBot="1">
      <c r="A243" s="1853" t="s">
        <v>1413</v>
      </c>
      <c r="B243" s="1857" t="s">
        <v>2174</v>
      </c>
      <c r="C243" s="1867"/>
      <c r="D243" s="1867"/>
      <c r="E243" s="1867"/>
      <c r="F243" s="1859">
        <v>0.05</v>
      </c>
    </row>
    <row r="244" spans="1:6" ht="24.75" thickBot="1">
      <c r="A244" s="1861" t="s">
        <v>1413</v>
      </c>
      <c r="B244" s="1868" t="s">
        <v>2175</v>
      </c>
      <c r="C244" s="1864"/>
      <c r="D244" s="1864"/>
      <c r="E244" s="1864"/>
      <c r="F244" s="1869">
        <v>0.05</v>
      </c>
    </row>
    <row r="245" spans="1:6" ht="14.25" thickBot="1">
      <c r="A245" s="1853" t="s">
        <v>1415</v>
      </c>
      <c r="B245" s="1854" t="s">
        <v>2176</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2177</v>
      </c>
      <c r="C247" s="1858">
        <v>0.15</v>
      </c>
      <c r="D247" s="1858">
        <v>0.15</v>
      </c>
      <c r="E247" s="1858">
        <v>0.15</v>
      </c>
      <c r="F247" s="1859">
        <v>0.15</v>
      </c>
    </row>
    <row r="248" spans="1:6" ht="14.25" thickBot="1">
      <c r="A248" s="1853" t="s">
        <v>1415</v>
      </c>
      <c r="B248" s="1857" t="s">
        <v>2178</v>
      </c>
      <c r="C248" s="1858">
        <v>0.15</v>
      </c>
      <c r="D248" s="1858">
        <v>0.15</v>
      </c>
      <c r="E248" s="1858">
        <v>0.15</v>
      </c>
      <c r="F248" s="1859">
        <v>0.14000000000000001</v>
      </c>
    </row>
    <row r="249" spans="1:6" ht="14.25" thickBot="1">
      <c r="A249" s="1853" t="s">
        <v>1415</v>
      </c>
      <c r="B249" s="1857" t="s">
        <v>2179</v>
      </c>
      <c r="C249" s="1858">
        <v>0.15</v>
      </c>
      <c r="D249" s="1858">
        <v>0.14899999999999999</v>
      </c>
      <c r="E249" s="1858">
        <v>0.15</v>
      </c>
      <c r="F249" s="1859">
        <v>0.1</v>
      </c>
    </row>
    <row r="250" spans="1:6" ht="14.25" thickBot="1">
      <c r="A250" s="1853" t="s">
        <v>1415</v>
      </c>
      <c r="B250" s="1857" t="s">
        <v>2180</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2181</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2182</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2183</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2184</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2185</v>
      </c>
      <c r="C273" s="1858">
        <v>0.14199999999999999</v>
      </c>
      <c r="D273" s="1858">
        <v>0.14299999999999999</v>
      </c>
      <c r="E273" s="1858">
        <v>0.15</v>
      </c>
      <c r="F273" s="1859">
        <v>0.1</v>
      </c>
    </row>
    <row r="274" spans="1:6" ht="14.25" thickBot="1">
      <c r="A274" s="1853" t="s">
        <v>1415</v>
      </c>
      <c r="B274" s="1857" t="s">
        <v>2186</v>
      </c>
      <c r="C274" s="1858">
        <v>0.14799999999999999</v>
      </c>
      <c r="D274" s="1858">
        <v>0.14799999999999999</v>
      </c>
      <c r="E274" s="1858">
        <v>0.15</v>
      </c>
      <c r="F274" s="1859">
        <v>6.7000000000000004E-2</v>
      </c>
    </row>
    <row r="275" spans="1:6" ht="14.25" thickBot="1">
      <c r="A275" s="1853" t="s">
        <v>1415</v>
      </c>
      <c r="B275" s="1857" t="s">
        <v>2187</v>
      </c>
      <c r="C275" s="1858">
        <v>0.15</v>
      </c>
      <c r="D275" s="1858">
        <v>0.15</v>
      </c>
      <c r="E275" s="1858">
        <v>0.15</v>
      </c>
      <c r="F275" s="1859">
        <v>0.15</v>
      </c>
    </row>
    <row r="276" spans="1:6" ht="14.25" thickBot="1">
      <c r="A276" s="1853" t="s">
        <v>1415</v>
      </c>
      <c r="B276" s="1857" t="s">
        <v>2188</v>
      </c>
      <c r="C276" s="1858">
        <v>0.14499999999999999</v>
      </c>
      <c r="D276" s="1858">
        <v>0.14299999999999999</v>
      </c>
      <c r="E276" s="1858">
        <v>0.15</v>
      </c>
      <c r="F276" s="1859">
        <v>5.8999999999999997E-2</v>
      </c>
    </row>
    <row r="277" spans="1:6" ht="14.25" thickBot="1">
      <c r="A277" s="1853" t="s">
        <v>1415</v>
      </c>
      <c r="B277" s="1857" t="s">
        <v>2189</v>
      </c>
      <c r="C277" s="1858">
        <v>0.15</v>
      </c>
      <c r="D277" s="1858">
        <v>0.15</v>
      </c>
      <c r="E277" s="1858">
        <v>0.15</v>
      </c>
      <c r="F277" s="1859">
        <v>0.121</v>
      </c>
    </row>
    <row r="278" spans="1:6" ht="14.25" thickBot="1">
      <c r="A278" s="1853" t="s">
        <v>1415</v>
      </c>
      <c r="B278" s="1857" t="s">
        <v>2190</v>
      </c>
      <c r="C278" s="1858">
        <v>0.15</v>
      </c>
      <c r="D278" s="1858">
        <v>0.15</v>
      </c>
      <c r="E278" s="1858">
        <v>0.15</v>
      </c>
      <c r="F278" s="1859">
        <v>0.13800000000000001</v>
      </c>
    </row>
    <row r="279" spans="1:6" ht="24.75" thickBot="1">
      <c r="A279" s="1853" t="s">
        <v>1415</v>
      </c>
      <c r="B279" s="1857" t="s">
        <v>2191</v>
      </c>
      <c r="C279" s="1867"/>
      <c r="D279" s="1867"/>
      <c r="E279" s="1867"/>
      <c r="F279" s="1859">
        <v>0.05</v>
      </c>
    </row>
    <row r="280" spans="1:6" ht="24.75" thickBot="1">
      <c r="A280" s="1853" t="s">
        <v>1415</v>
      </c>
      <c r="B280" s="1857" t="s">
        <v>2192</v>
      </c>
      <c r="C280" s="1867"/>
      <c r="D280" s="1867"/>
      <c r="E280" s="1867"/>
      <c r="F280" s="1859">
        <v>0.05</v>
      </c>
    </row>
    <row r="281" spans="1:6" ht="24.75" thickBot="1">
      <c r="A281" s="1853" t="s">
        <v>1415</v>
      </c>
      <c r="B281" s="1857" t="s">
        <v>2193</v>
      </c>
      <c r="C281" s="1867"/>
      <c r="D281" s="1867"/>
      <c r="E281" s="1867"/>
      <c r="F281" s="1859">
        <v>0.05</v>
      </c>
    </row>
    <row r="282" spans="1:6" ht="24.75" thickBot="1">
      <c r="A282" s="1853" t="s">
        <v>1415</v>
      </c>
      <c r="B282" s="1857" t="s">
        <v>2194</v>
      </c>
      <c r="C282" s="1867"/>
      <c r="D282" s="1867"/>
      <c r="E282" s="1867"/>
      <c r="F282" s="1859">
        <v>0.05</v>
      </c>
    </row>
    <row r="283" spans="1:6" ht="24.75" thickBot="1">
      <c r="A283" s="1853" t="s">
        <v>1415</v>
      </c>
      <c r="B283" s="1857" t="s">
        <v>2195</v>
      </c>
      <c r="C283" s="1867"/>
      <c r="D283" s="1867"/>
      <c r="E283" s="1867"/>
      <c r="F283" s="1859">
        <v>0.05</v>
      </c>
    </row>
    <row r="284" spans="1:6" ht="24.75" thickBot="1">
      <c r="A284" s="1853" t="s">
        <v>1415</v>
      </c>
      <c r="B284" s="1857" t="s">
        <v>2196</v>
      </c>
      <c r="C284" s="1867"/>
      <c r="D284" s="1867"/>
      <c r="E284" s="1867"/>
      <c r="F284" s="1859">
        <v>0.05</v>
      </c>
    </row>
    <row r="285" spans="1:6" ht="24.75" thickBot="1">
      <c r="A285" s="1853" t="s">
        <v>1415</v>
      </c>
      <c r="B285" s="1857" t="s">
        <v>2197</v>
      </c>
      <c r="C285" s="1867"/>
      <c r="D285" s="1867"/>
      <c r="E285" s="1867"/>
      <c r="F285" s="1859">
        <v>0.05</v>
      </c>
    </row>
    <row r="286" spans="1:6" ht="24.75" thickBot="1">
      <c r="A286" s="1853" t="s">
        <v>1415</v>
      </c>
      <c r="B286" s="1857" t="s">
        <v>2198</v>
      </c>
      <c r="C286" s="1867"/>
      <c r="D286" s="1867"/>
      <c r="E286" s="1867"/>
      <c r="F286" s="1859">
        <v>0.05</v>
      </c>
    </row>
    <row r="287" spans="1:6" ht="24.75" thickBot="1">
      <c r="A287" s="1853" t="s">
        <v>1415</v>
      </c>
      <c r="B287" s="1857" t="s">
        <v>2199</v>
      </c>
      <c r="C287" s="1867"/>
      <c r="D287" s="1867"/>
      <c r="E287" s="1867"/>
      <c r="F287" s="1859">
        <v>0.05</v>
      </c>
    </row>
    <row r="288" spans="1:6" ht="24.75" thickBot="1">
      <c r="A288" s="1853" t="s">
        <v>1415</v>
      </c>
      <c r="B288" s="1857" t="s">
        <v>2200</v>
      </c>
      <c r="C288" s="1867"/>
      <c r="D288" s="1867"/>
      <c r="E288" s="1867"/>
      <c r="F288" s="1859">
        <v>0.05</v>
      </c>
    </row>
    <row r="289" spans="1:6" ht="24.75" thickBot="1">
      <c r="A289" s="1861" t="s">
        <v>1415</v>
      </c>
      <c r="B289" s="1868" t="s">
        <v>2201</v>
      </c>
      <c r="C289" s="1864"/>
      <c r="D289" s="1864"/>
      <c r="E289" s="1864"/>
      <c r="F289" s="1869">
        <v>0.05</v>
      </c>
    </row>
    <row r="290" spans="1:6" ht="14.25" thickBot="1">
      <c r="A290" s="1853" t="s">
        <v>1419</v>
      </c>
      <c r="B290" s="1854" t="s">
        <v>2202</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2203</v>
      </c>
      <c r="C292" s="1858">
        <v>0.15</v>
      </c>
      <c r="D292" s="1858">
        <v>0.15</v>
      </c>
      <c r="E292" s="1858">
        <v>0.15</v>
      </c>
      <c r="F292" s="1859">
        <v>0.14699999999999999</v>
      </c>
    </row>
    <row r="293" spans="1:6" ht="14.25" thickBot="1">
      <c r="A293" s="1853" t="s">
        <v>1419</v>
      </c>
      <c r="B293" s="1857" t="s">
        <v>2204</v>
      </c>
      <c r="C293" s="1867"/>
      <c r="D293" s="1867"/>
      <c r="E293" s="1867"/>
      <c r="F293" s="1859">
        <v>0.1</v>
      </c>
    </row>
    <row r="294" spans="1:6" ht="14.25" thickBot="1">
      <c r="A294" s="1853" t="s">
        <v>1419</v>
      </c>
      <c r="B294" s="1857" t="s">
        <v>2205</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2206</v>
      </c>
      <c r="C296" s="1858">
        <v>0.15</v>
      </c>
      <c r="D296" s="1858">
        <v>0.15</v>
      </c>
      <c r="E296" s="1858">
        <v>0.15</v>
      </c>
      <c r="F296" s="1859">
        <v>0.15</v>
      </c>
    </row>
    <row r="297" spans="1:6" ht="14.25" thickBot="1">
      <c r="A297" s="1853" t="s">
        <v>1419</v>
      </c>
      <c r="B297" s="1857" t="s">
        <v>2207</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2208</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2209</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2210</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2211</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2212</v>
      </c>
      <c r="C310" s="1858">
        <v>0.15</v>
      </c>
      <c r="D310" s="1858">
        <v>0.15</v>
      </c>
      <c r="E310" s="1858">
        <v>0.15</v>
      </c>
      <c r="F310" s="1859">
        <v>0.13700000000000001</v>
      </c>
    </row>
    <row r="311" spans="1:6" ht="14.25" thickBot="1">
      <c r="A311" s="1853" t="s">
        <v>1419</v>
      </c>
      <c r="B311" s="1857" t="s">
        <v>2213</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2214</v>
      </c>
      <c r="C313" s="1858">
        <v>0.15</v>
      </c>
      <c r="D313" s="1858">
        <v>0.15</v>
      </c>
      <c r="E313" s="1858">
        <v>0.15</v>
      </c>
      <c r="F313" s="1859">
        <v>0.15</v>
      </c>
    </row>
    <row r="314" spans="1:6" ht="24.75" thickBot="1">
      <c r="A314" s="1853" t="s">
        <v>1419</v>
      </c>
      <c r="B314" s="1857" t="s">
        <v>2215</v>
      </c>
      <c r="C314" s="1867"/>
      <c r="D314" s="1867"/>
      <c r="E314" s="1867"/>
      <c r="F314" s="1859">
        <v>0.05</v>
      </c>
    </row>
    <row r="315" spans="1:6" ht="24.75" thickBot="1">
      <c r="A315" s="1853" t="s">
        <v>1419</v>
      </c>
      <c r="B315" s="1857" t="s">
        <v>2216</v>
      </c>
      <c r="C315" s="1867"/>
      <c r="D315" s="1867"/>
      <c r="E315" s="1867"/>
      <c r="F315" s="1859">
        <v>0.05</v>
      </c>
    </row>
    <row r="316" spans="1:6" ht="24.75" thickBot="1">
      <c r="A316" s="1861" t="s">
        <v>1419</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1107</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1176</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1196</v>
      </c>
      <c r="C328" s="1858">
        <v>0.15</v>
      </c>
      <c r="D328" s="1858">
        <v>0.15</v>
      </c>
      <c r="E328" s="1858">
        <v>0.15</v>
      </c>
      <c r="F328" s="1859">
        <v>0.14099999999999999</v>
      </c>
    </row>
    <row r="329" spans="1:6" ht="14.25" thickBot="1">
      <c r="A329" s="1853" t="s">
        <v>2218</v>
      </c>
      <c r="B329" s="1857" t="s">
        <v>1206</v>
      </c>
      <c r="C329" s="1858">
        <v>0.15</v>
      </c>
      <c r="D329" s="1858">
        <v>0.15</v>
      </c>
      <c r="E329" s="1858">
        <v>0.15</v>
      </c>
      <c r="F329" s="1859">
        <v>0.15</v>
      </c>
    </row>
    <row r="330" spans="1:6" ht="14.25" thickBot="1">
      <c r="A330" s="1853" t="s">
        <v>2218</v>
      </c>
      <c r="B330" s="1857" t="s">
        <v>1216</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1236</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1256</v>
      </c>
      <c r="C334" s="1858">
        <v>0.15</v>
      </c>
      <c r="D334" s="1858">
        <v>0.15</v>
      </c>
      <c r="E334" s="1858">
        <v>0.15</v>
      </c>
      <c r="F334" s="1859">
        <v>0.15</v>
      </c>
    </row>
    <row r="335" spans="1:6" ht="14.25" thickBot="1">
      <c r="A335" s="1853" t="s">
        <v>2218</v>
      </c>
      <c r="B335" s="1857" t="s">
        <v>1266</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1284</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56.25">
      <c r="A4" s="1789" t="str">
        <f>"受贵公司委托，我公司对"&amp;项目基本情况!K2&amp;项目基本情况!B9&amp;"进行了预评估。"</f>
        <v>受贵公司委托，我公司对四川省成都市都江堰市中兴镇新益村一、五、七、八组510181016002GB00012号一宗住宅、商业用地出让国有建设用地使用权抵押价格进行了预评估。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成都民生喜神投资有限公司使用的、位于四川省成都市都江堰市中兴镇新益村一、五、七、八组510181016002GB00012号一宗住宅、商业用地出让国有建设用地使用权。根据《国有土地使用证》[都国用（2016）第7356号]，估价对象（分摊）出让国有建设用地使用权面积为410194.62平方米。根据《建设工程规划许可证》[]、《出让合同》[]，估价对象规划建筑面积为446955.26平方米。</v>
      </c>
    </row>
    <row r="7" spans="1:4" ht="93.75">
      <c r="A7" s="2895" t="s">
        <v>2747</v>
      </c>
    </row>
    <row r="8" spans="1:4" ht="18.75">
      <c r="A8" s="1792" t="s">
        <v>1906</v>
      </c>
    </row>
    <row r="9" spans="1:4" ht="112.5">
      <c r="A9" s="1794" t="str">
        <f>IF(项目基本情况!B8="抵押",IF(项目基本情况!B5=项目基本情况!B6,定义!C51,定义!B51),定义!D51)</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2018年5月31日（评估专业人员勘察现场之日）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根据《国有土地使用证》[都国用（2016）第7356号]，本次评估估价对象证载（地类）用途为住宅、商业用地。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根据《国有土地使用证》[都国用（2016）第7356号]，估价对象（分摊）出让国有建设用地使用权面积为410194.62平方米。根据《建设工程规划许可证》[]、《出让合同》[]，估价对象规划建筑面积为446955.26平方米。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97" t="s">
        <v>2748</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2939</v>
      </c>
      <c r="B1" s="3129"/>
      <c r="C1" s="3129"/>
      <c r="D1" s="3129"/>
      <c r="E1" s="3129"/>
      <c r="F1" s="3129"/>
    </row>
    <row r="2" spans="1:6" ht="14.25">
      <c r="A2" s="3130" t="s">
        <v>2934</v>
      </c>
      <c r="B2" s="3131" t="e">
        <f ca="1">SUMIF(B7:B14,"&lt;&gt;#ref!",B7:B14)</f>
        <v>#DIV/0!</v>
      </c>
      <c r="C2" s="3130" t="s">
        <v>2935</v>
      </c>
      <c r="D2" s="3129"/>
      <c r="E2" s="3129"/>
      <c r="F2" s="3129"/>
    </row>
    <row r="3" spans="1:6" ht="14.25">
      <c r="A3" s="3130" t="s">
        <v>2969</v>
      </c>
      <c r="B3" s="3131" t="e">
        <f ca="1">ROUND(B2*10000/E3,0)</f>
        <v>#DIV/0!</v>
      </c>
      <c r="C3" s="3130" t="s">
        <v>2080</v>
      </c>
      <c r="D3" s="3130" t="s">
        <v>2936</v>
      </c>
      <c r="E3" s="3131">
        <f ca="1">SUMIF(E7:E14,"&lt;&gt;#ref!",E7:E14)</f>
        <v>0</v>
      </c>
      <c r="F3" s="3129"/>
    </row>
    <row r="4" spans="1:6" ht="14.25">
      <c r="A4" s="3130" t="s">
        <v>2943</v>
      </c>
      <c r="B4" s="3131" t="e">
        <f ca="1">ROUND(B2*10000/E4,0)</f>
        <v>#DIV/0!</v>
      </c>
      <c r="C4" s="3130" t="s">
        <v>2080</v>
      </c>
      <c r="D4" s="3130" t="s">
        <v>2944</v>
      </c>
      <c r="E4" s="3131">
        <f ca="1">SUMIF(F7:F14,"&lt;&gt;#ref!",F7:F14)</f>
        <v>0</v>
      </c>
      <c r="F4" s="3129"/>
    </row>
    <row r="5" spans="1:6" ht="14.25">
      <c r="A5" s="3132"/>
      <c r="B5" s="1879"/>
      <c r="C5" s="1879"/>
      <c r="D5" s="1879"/>
      <c r="E5" s="1879"/>
      <c r="F5" s="3129"/>
    </row>
    <row r="6" spans="1:6" ht="28.5">
      <c r="A6" s="3133" t="s">
        <v>2940</v>
      </c>
      <c r="B6" s="3130" t="s">
        <v>2937</v>
      </c>
      <c r="C6" s="3131"/>
      <c r="D6" s="1879"/>
      <c r="E6" s="3130" t="s">
        <v>2938</v>
      </c>
      <c r="F6" s="3130" t="s">
        <v>2942</v>
      </c>
    </row>
    <row r="7" spans="1:6" ht="14.25">
      <c r="A7" s="258" t="s">
        <v>2941</v>
      </c>
      <c r="B7" s="3134" t="e">
        <f ca="1">SUMIF(INDIRECT("'"&amp;A7&amp;"'"&amp;"!A:A"),"总价",INDIRECT("'"&amp;A7&amp;"'"&amp;"!B:B"))</f>
        <v>#DIV/0!</v>
      </c>
      <c r="C7" s="3130" t="s">
        <v>2935</v>
      </c>
      <c r="D7" s="1879"/>
      <c r="E7" s="3135">
        <f ca="1">SUMIF(INDIRECT("'"&amp;A7&amp;"'"&amp;"!C:C"),"建筑面积",INDIRECT("'"&amp;A7&amp;"'"&amp;"!D:D"))</f>
        <v>0</v>
      </c>
      <c r="F7" s="3135">
        <f ca="1">SUMIF(INDIRECT("'"&amp;A7&amp;"'"&amp;"!E:E"),"土地面积",INDIRECT("'"&amp;A7&amp;"'"&amp;"!F:F"))</f>
        <v>0</v>
      </c>
    </row>
    <row r="8" spans="1:6" ht="14.25">
      <c r="A8" s="258"/>
      <c r="B8" s="3134" t="e">
        <f t="shared" ref="B8:B14" ca="1" si="0">SUMIF(INDIRECT("'"&amp;A8&amp;"'"&amp;"!A:A"),"总价",INDIRECT("'"&amp;A8&amp;"'"&amp;"!B:B"))</f>
        <v>#REF!</v>
      </c>
      <c r="C8" s="3130" t="s">
        <v>2935</v>
      </c>
      <c r="D8" s="1879"/>
      <c r="E8" s="3135" t="e">
        <f t="shared" ref="E8:E14" ca="1" si="1">SUMIF(INDIRECT("'"&amp;A8&amp;"'"&amp;"!C:C"),"建筑面积",INDIRECT("'"&amp;A8&amp;"'"&amp;"!D:D"))</f>
        <v>#REF!</v>
      </c>
      <c r="F8" s="3135" t="e">
        <f t="shared" ref="F8:F14" ca="1" si="2">SUMIF(INDIRECT("'"&amp;A8&amp;"'"&amp;"!E:E"),"土地面积",INDIRECT("'"&amp;A8&amp;"'"&amp;"!F:F"))</f>
        <v>#REF!</v>
      </c>
    </row>
    <row r="9" spans="1:6" ht="14.25">
      <c r="A9" s="258"/>
      <c r="B9" s="3134" t="e">
        <f t="shared" ca="1" si="0"/>
        <v>#REF!</v>
      </c>
      <c r="C9" s="3130" t="s">
        <v>2935</v>
      </c>
      <c r="D9" s="1879"/>
      <c r="E9" s="3135" t="e">
        <f t="shared" ca="1" si="1"/>
        <v>#REF!</v>
      </c>
      <c r="F9" s="3135" t="e">
        <f t="shared" ca="1" si="2"/>
        <v>#REF!</v>
      </c>
    </row>
    <row r="10" spans="1:6" ht="14.25">
      <c r="A10" s="258"/>
      <c r="B10" s="3134" t="e">
        <f t="shared" ca="1" si="0"/>
        <v>#REF!</v>
      </c>
      <c r="C10" s="3130" t="s">
        <v>2935</v>
      </c>
      <c r="D10" s="1879"/>
      <c r="E10" s="3135" t="e">
        <f t="shared" ca="1" si="1"/>
        <v>#REF!</v>
      </c>
      <c r="F10" s="3135" t="e">
        <f t="shared" ca="1" si="2"/>
        <v>#REF!</v>
      </c>
    </row>
    <row r="11" spans="1:6" ht="14.25">
      <c r="A11" s="258"/>
      <c r="B11" s="3134" t="e">
        <f t="shared" ca="1" si="0"/>
        <v>#REF!</v>
      </c>
      <c r="C11" s="3130" t="s">
        <v>2935</v>
      </c>
      <c r="D11" s="1879"/>
      <c r="E11" s="3135" t="e">
        <f t="shared" ca="1" si="1"/>
        <v>#REF!</v>
      </c>
      <c r="F11" s="3135" t="e">
        <f t="shared" ca="1" si="2"/>
        <v>#REF!</v>
      </c>
    </row>
    <row r="12" spans="1:6" ht="14.25">
      <c r="A12" s="258"/>
      <c r="B12" s="3134" t="e">
        <f t="shared" ca="1" si="0"/>
        <v>#REF!</v>
      </c>
      <c r="C12" s="3130" t="s">
        <v>2935</v>
      </c>
      <c r="D12" s="1879"/>
      <c r="E12" s="3135" t="e">
        <f t="shared" ca="1" si="1"/>
        <v>#REF!</v>
      </c>
      <c r="F12" s="3135" t="e">
        <f t="shared" ca="1" si="2"/>
        <v>#REF!</v>
      </c>
    </row>
    <row r="13" spans="1:6" ht="14.25">
      <c r="A13" s="258"/>
      <c r="B13" s="3134" t="e">
        <f t="shared" ca="1" si="0"/>
        <v>#REF!</v>
      </c>
      <c r="C13" s="3130" t="s">
        <v>2935</v>
      </c>
      <c r="D13" s="1879"/>
      <c r="E13" s="3135" t="e">
        <f t="shared" ca="1" si="1"/>
        <v>#REF!</v>
      </c>
      <c r="F13" s="3135" t="e">
        <f t="shared" ca="1" si="2"/>
        <v>#REF!</v>
      </c>
    </row>
    <row r="14" spans="1:6" ht="14.25">
      <c r="A14" s="3128"/>
      <c r="B14" s="3134" t="e">
        <f t="shared" ca="1" si="0"/>
        <v>#REF!</v>
      </c>
      <c r="C14" s="3130" t="s">
        <v>2935</v>
      </c>
      <c r="D14" s="1879"/>
      <c r="E14" s="3135" t="e">
        <f t="shared" ca="1" si="1"/>
        <v>#REF!</v>
      </c>
      <c r="F14" s="3135"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3" sqref="F33"/>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2374</v>
      </c>
      <c r="F1" s="2410">
        <f ca="1">J54</f>
        <v>0</v>
      </c>
      <c r="G1" s="772">
        <f>MATCH(C1,'数据-取费表'!A6:A16,0)+5</f>
        <v>11</v>
      </c>
      <c r="H1" s="1348"/>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9"/>
      <c r="D2" s="2053"/>
      <c r="E2" s="2054"/>
      <c r="F2" s="2054"/>
      <c r="G2" s="1587"/>
      <c r="H2" s="1361"/>
      <c r="I2" s="2055"/>
      <c r="J2" s="2055"/>
      <c r="K2" s="2056"/>
      <c r="L2" s="2055"/>
      <c r="M2" s="2055"/>
    </row>
    <row r="3" spans="1:25" ht="18" customHeight="1">
      <c r="A3" s="1642" t="s">
        <v>1686</v>
      </c>
      <c r="B3" s="1389">
        <f ca="1">ROUND(B2*10000/'数据-汇总表'!E3,0)</f>
        <v>0</v>
      </c>
      <c r="C3" s="1349"/>
      <c r="D3" s="2053"/>
      <c r="E3" s="2054"/>
      <c r="F3" s="2054"/>
      <c r="G3" s="1587"/>
      <c r="H3" s="774" t="s">
        <v>695</v>
      </c>
      <c r="I3" s="2055"/>
      <c r="J3" s="2055"/>
      <c r="K3" s="2056"/>
      <c r="L3" s="2055"/>
      <c r="M3" s="2055"/>
    </row>
    <row r="4" spans="1:25" ht="18" customHeight="1">
      <c r="A4" s="1643" t="s">
        <v>696</v>
      </c>
      <c r="B4" s="1350">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2458</v>
      </c>
      <c r="C7" s="53">
        <f ca="1">C8+C12+C14</f>
        <v>0</v>
      </c>
      <c r="D7" s="2518" t="s">
        <v>2461</v>
      </c>
      <c r="E7" s="2512"/>
      <c r="F7" s="2513"/>
      <c r="G7" s="1589"/>
      <c r="H7" s="779">
        <v>1</v>
      </c>
      <c r="I7" s="780" t="s">
        <v>2458</v>
      </c>
      <c r="J7" s="53">
        <f ca="1">J8+J12+J14</f>
        <v>0</v>
      </c>
      <c r="K7" s="2518" t="s">
        <v>2461</v>
      </c>
      <c r="L7" s="2512"/>
      <c r="M7" s="2513"/>
    </row>
    <row r="8" spans="1:25" ht="18" customHeight="1">
      <c r="A8" s="1828" t="s">
        <v>1824</v>
      </c>
      <c r="B8" s="4267" t="s">
        <v>2463</v>
      </c>
      <c r="C8" s="1823">
        <f ca="1">ROUND(F8*F10*F9*(1-F11)/10000,0)</f>
        <v>0</v>
      </c>
      <c r="D8" s="1820" t="s">
        <v>2534</v>
      </c>
      <c r="E8" s="61" t="s">
        <v>637</v>
      </c>
      <c r="F8" s="783">
        <f ca="1">INDIRECT("'数据-取费表'!u"&amp;$G$1)</f>
        <v>0</v>
      </c>
      <c r="G8" s="1589"/>
      <c r="H8" s="2526" t="s">
        <v>1824</v>
      </c>
      <c r="I8" s="4267" t="s">
        <v>2463</v>
      </c>
      <c r="J8" s="781">
        <f ca="1">ROUND(M8*M10*M9*(1-M11)/10000,0)</f>
        <v>0</v>
      </c>
      <c r="K8" s="339" t="s">
        <v>2534</v>
      </c>
      <c r="L8" s="782" t="s">
        <v>1738</v>
      </c>
      <c r="M8" s="783">
        <f ca="1">INDIRECT("'数据-取费表'!z"&amp;$G$1)</f>
        <v>0</v>
      </c>
    </row>
    <row r="9" spans="1:25" ht="18" customHeight="1">
      <c r="A9" s="2522"/>
      <c r="B9" s="4268"/>
      <c r="C9" s="1824"/>
      <c r="D9" s="1821"/>
      <c r="E9" s="61" t="s">
        <v>638</v>
      </c>
      <c r="F9" s="783">
        <f ca="1">IF(INDIRECT("'数据-取费表'!ah"&amp;$G$1)="",INDIRECT("'数据-取费表'!k"&amp;$G$1),INDIRECT("'数据-取费表'!ah"&amp;$G$1))</f>
        <v>0</v>
      </c>
      <c r="G9" s="1589"/>
      <c r="H9" s="2511"/>
      <c r="I9" s="4268"/>
      <c r="J9" s="786"/>
      <c r="K9" s="787"/>
      <c r="L9" s="782" t="s">
        <v>1739</v>
      </c>
      <c r="M9" s="783">
        <f ca="1">F9</f>
        <v>0</v>
      </c>
    </row>
    <row r="10" spans="1:25" ht="18" customHeight="1">
      <c r="A10" s="2515"/>
      <c r="B10" s="4269"/>
      <c r="C10" s="1824"/>
      <c r="D10" s="1821"/>
      <c r="E10" s="61" t="s">
        <v>639</v>
      </c>
      <c r="F10" s="783">
        <f ca="1">INDIRECT("'数据-取费表'!ai"&amp;$G$1)</f>
        <v>0</v>
      </c>
      <c r="G10" s="1589"/>
      <c r="H10" s="2511"/>
      <c r="I10" s="4269"/>
      <c r="J10" s="786"/>
      <c r="K10" s="787"/>
      <c r="L10" s="782" t="s">
        <v>1740</v>
      </c>
      <c r="M10" s="783">
        <f ca="1">INDIRECT("'数据-取费表'!ai"&amp;$G$1)</f>
        <v>0</v>
      </c>
    </row>
    <row r="11" spans="1:25" ht="18" customHeight="1">
      <c r="A11" s="784"/>
      <c r="B11" s="4270"/>
      <c r="C11" s="1824"/>
      <c r="D11" s="1821"/>
      <c r="E11" s="61" t="s">
        <v>640</v>
      </c>
      <c r="F11" s="792">
        <f ca="1">INDIRECT("'数据-取费表'!w"&amp;$G$1)</f>
        <v>0</v>
      </c>
      <c r="G11" s="1589"/>
      <c r="H11" s="2527"/>
      <c r="I11" s="4269"/>
      <c r="J11" s="786"/>
      <c r="K11" s="787"/>
      <c r="L11" s="793" t="s">
        <v>1741</v>
      </c>
      <c r="M11" s="794">
        <f ca="1">INDIRECT("'数据-取费表'!ab"&amp;$G$1)</f>
        <v>0</v>
      </c>
    </row>
    <row r="12" spans="1:25" ht="18" customHeight="1">
      <c r="A12" s="1828" t="s">
        <v>1825</v>
      </c>
      <c r="B12" s="2516" t="s">
        <v>2459</v>
      </c>
      <c r="C12" s="797">
        <f ca="1">ROUND(IF(F12="押一",C8/12*F13,IF(F12="押二",C8/12*2*F13,IF(F12="押三",C8/12*3*F13,C13*F13))),0)</f>
        <v>0</v>
      </c>
      <c r="D12" s="2523" t="s">
        <v>2964</v>
      </c>
      <c r="E12" s="2520" t="s">
        <v>2464</v>
      </c>
      <c r="F12" s="2643"/>
      <c r="G12" s="1589"/>
      <c r="H12" s="2583" t="s">
        <v>1825</v>
      </c>
      <c r="I12" s="2588" t="s">
        <v>2459</v>
      </c>
      <c r="J12" s="781">
        <f ca="1">ROUND(IF(M12="押一",J8/12*M13,IF(M12="押二",J8/12*2*M13,IF(M12="押三",J8/12*3*M13,J13*M13))),0)</f>
        <v>0</v>
      </c>
      <c r="K12" s="2523" t="s">
        <v>2964</v>
      </c>
      <c r="L12" s="2520" t="s">
        <v>2464</v>
      </c>
      <c r="M12" s="2643"/>
    </row>
    <row r="13" spans="1:25" ht="18" customHeight="1">
      <c r="A13" s="788"/>
      <c r="B13" s="2517" t="s">
        <v>2573</v>
      </c>
      <c r="C13" s="2521"/>
      <c r="D13" s="787"/>
      <c r="E13" s="2520" t="s">
        <v>2456</v>
      </c>
      <c r="F13" s="794">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2824</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1.4999999999999999E-2</v>
      </c>
      <c r="G22" s="1590"/>
      <c r="H22" s="1830" t="s">
        <v>1850</v>
      </c>
      <c r="I22" s="1820" t="s">
        <v>668</v>
      </c>
      <c r="J22" s="54">
        <f ca="1">ROUND(M22*M23/10000,0)</f>
        <v>0</v>
      </c>
      <c r="K22" s="812" t="s">
        <v>669</v>
      </c>
      <c r="L22" s="782" t="s">
        <v>670</v>
      </c>
      <c r="M22" s="638">
        <f>'数据-取费表'!B52</f>
        <v>14</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4"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2437</v>
      </c>
      <c r="C25" s="53">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3.5</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1.6999999999999999E-3</v>
      </c>
      <c r="D26" s="2593"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33" t="s">
        <v>2821</v>
      </c>
      <c r="J27" s="797">
        <f ca="1">J7-J18</f>
        <v>0</v>
      </c>
      <c r="K27" s="1977" t="s">
        <v>700</v>
      </c>
      <c r="L27" s="1979"/>
      <c r="M27" s="818"/>
    </row>
    <row r="28" spans="1:25" ht="18" customHeight="1">
      <c r="A28" s="801" t="s">
        <v>1875</v>
      </c>
      <c r="B28" s="782" t="s">
        <v>2438</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2822</v>
      </c>
      <c r="C31" s="2566">
        <f ca="1">ROUND((C21+C22+C25+C28)/(1-F23-C26-C29-C30),0)</f>
        <v>0</v>
      </c>
      <c r="D31" s="2567"/>
      <c r="E31" s="2568"/>
      <c r="F31" s="2569"/>
      <c r="G31" s="1590"/>
      <c r="H31" s="821" t="s">
        <v>1872</v>
      </c>
      <c r="I31" s="3034" t="s">
        <v>2823</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5.6000000000000001E-2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14</v>
      </c>
      <c r="G36" s="2060"/>
      <c r="H36" s="2063"/>
      <c r="I36" s="4266"/>
      <c r="J36" s="2077"/>
      <c r="K36" s="2078"/>
      <c r="L36" s="2077"/>
      <c r="M36" s="2077"/>
    </row>
    <row r="37" spans="1:18" ht="18" customHeight="1">
      <c r="A37" s="813"/>
      <c r="B37" s="791"/>
      <c r="C37" s="69"/>
      <c r="D37" s="814"/>
      <c r="E37" s="782" t="s">
        <v>674</v>
      </c>
      <c r="F37" s="783">
        <f ca="1">INDIRECT("'数据-取费表'!r"&amp;$G$1)</f>
        <v>0</v>
      </c>
      <c r="G37" s="2060"/>
      <c r="H37" s="2063"/>
      <c r="I37" s="4266"/>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4" t="s">
        <v>712</v>
      </c>
      <c r="E43" s="3148" t="s">
        <v>2952</v>
      </c>
      <c r="F43" s="3149">
        <f ca="1">INDIRECT("'数据-取费表'!j"&amp;$G$1)</f>
        <v>0</v>
      </c>
      <c r="G43" s="2060"/>
      <c r="H43" s="2060"/>
      <c r="I43" s="2060"/>
      <c r="J43" s="2060"/>
      <c r="K43" s="2081"/>
      <c r="L43" s="2060"/>
      <c r="M43" s="2060"/>
    </row>
    <row r="44" spans="1:18" ht="18" customHeight="1">
      <c r="A44" s="801" t="s">
        <v>1878</v>
      </c>
      <c r="B44" s="833" t="s">
        <v>713</v>
      </c>
      <c r="C44" s="1355">
        <f ca="1">C42-C43</f>
        <v>0</v>
      </c>
      <c r="D44" s="461" t="s">
        <v>714</v>
      </c>
      <c r="E44" s="462"/>
      <c r="F44" s="463"/>
      <c r="G44" s="2060"/>
      <c r="H44" s="2060"/>
      <c r="I44" s="2060"/>
      <c r="J44" s="2060"/>
      <c r="K44" s="2081"/>
      <c r="L44" s="2060"/>
      <c r="M44" s="2060"/>
    </row>
    <row r="45" spans="1:18" ht="18" customHeight="1">
      <c r="A45" s="801" t="s">
        <v>1879</v>
      </c>
      <c r="B45" s="1354" t="s">
        <v>715</v>
      </c>
      <c r="C45" s="3058">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50" t="s">
        <v>2955</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5"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4271"/>
      <c r="L54" s="4272"/>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2" t="s">
        <v>2355</v>
      </c>
      <c r="J56" s="3146"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5" t="s">
        <v>1678</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7"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4" t="s">
        <v>2932</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5">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6">
        <v>0</v>
      </c>
      <c r="O65" s="2426" t="s">
        <v>2415</v>
      </c>
      <c r="P65" s="1589"/>
      <c r="Q65" s="1601"/>
      <c r="R65" s="1589"/>
    </row>
    <row r="66" spans="1:18" s="2057" customFormat="1" ht="15.75" thickBot="1">
      <c r="A66" s="2094"/>
      <c r="B66" s="2095"/>
      <c r="C66" s="2095"/>
      <c r="I66" s="2407" t="s">
        <v>2372</v>
      </c>
      <c r="J66" s="2408">
        <v>40</v>
      </c>
      <c r="K66" s="2408">
        <v>30</v>
      </c>
      <c r="L66" s="2408">
        <v>50</v>
      </c>
      <c r="M66" s="3125">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4275" t="s">
        <v>2576</v>
      </c>
      <c r="C1" s="4275"/>
      <c r="D1" s="4275"/>
      <c r="E1" s="4275"/>
      <c r="F1" s="4275"/>
      <c r="G1" s="4274" t="s">
        <v>2577</v>
      </c>
      <c r="H1" s="4274"/>
      <c r="I1" s="4274"/>
      <c r="J1" s="4274"/>
      <c r="K1" s="4274"/>
      <c r="L1" s="4274"/>
      <c r="N1" s="4274" t="s">
        <v>2578</v>
      </c>
      <c r="O1" s="4274"/>
      <c r="P1" s="4274"/>
      <c r="Q1" s="4274"/>
      <c r="R1" s="2676"/>
      <c r="S1" s="4274" t="s">
        <v>2579</v>
      </c>
      <c r="T1" s="4274"/>
      <c r="U1" s="4274"/>
      <c r="V1" s="4274"/>
      <c r="X1" s="4273" t="s">
        <v>2639</v>
      </c>
      <c r="Y1" s="4274"/>
      <c r="Z1" s="4274"/>
      <c r="AA1" s="4274"/>
      <c r="AB1" s="4274"/>
      <c r="AD1" s="4273" t="s">
        <v>2643</v>
      </c>
      <c r="AE1" s="4274"/>
      <c r="AF1" s="4274"/>
      <c r="AG1" s="4274"/>
      <c r="AH1" s="4274"/>
    </row>
    <row r="2" spans="1:34" s="2778" customFormat="1" ht="14.25" thickBot="1">
      <c r="B2" s="2786" t="s">
        <v>2580</v>
      </c>
      <c r="C2" s="2786" t="s">
        <v>2641</v>
      </c>
      <c r="D2" s="2779" t="s">
        <v>1644</v>
      </c>
      <c r="E2" s="2779" t="s">
        <v>1951</v>
      </c>
      <c r="F2" s="2786" t="s">
        <v>2642</v>
      </c>
      <c r="G2" s="2782"/>
      <c r="H2" s="2781"/>
      <c r="I2" s="2786" t="s">
        <v>2946</v>
      </c>
      <c r="J2" s="2779" t="s">
        <v>2948</v>
      </c>
      <c r="K2" s="2779" t="s">
        <v>2949</v>
      </c>
      <c r="L2" s="2786" t="s">
        <v>2950</v>
      </c>
      <c r="N2" s="2786" t="s">
        <v>2580</v>
      </c>
      <c r="O2" s="2779" t="s">
        <v>2947</v>
      </c>
      <c r="P2" s="2779" t="s">
        <v>1951</v>
      </c>
      <c r="Q2" s="2786" t="s">
        <v>2642</v>
      </c>
      <c r="R2" s="2780"/>
      <c r="S2" s="2786" t="s">
        <v>2580</v>
      </c>
      <c r="T2" s="2779" t="s">
        <v>2947</v>
      </c>
      <c r="U2" s="2779" t="s">
        <v>1951</v>
      </c>
      <c r="V2" s="2786" t="s">
        <v>2642</v>
      </c>
      <c r="X2" s="2786" t="s">
        <v>2580</v>
      </c>
      <c r="Y2" s="2786" t="s">
        <v>2641</v>
      </c>
      <c r="Z2" s="2779" t="s">
        <v>1644</v>
      </c>
      <c r="AA2" s="2779" t="s">
        <v>1951</v>
      </c>
      <c r="AB2" s="2786" t="s">
        <v>2642</v>
      </c>
      <c r="AD2" s="2786" t="s">
        <v>2580</v>
      </c>
      <c r="AE2" s="2786" t="s">
        <v>2641</v>
      </c>
      <c r="AF2" s="2779" t="s">
        <v>1644</v>
      </c>
      <c r="AG2" s="2779" t="s">
        <v>1951</v>
      </c>
      <c r="AH2" s="2786" t="s">
        <v>2642</v>
      </c>
    </row>
    <row r="3" spans="1:34" s="3160" customFormat="1" ht="14.25">
      <c r="A3" s="3172" t="s">
        <v>2959</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1" customFormat="1" ht="14.25">
      <c r="B4" s="2772"/>
      <c r="C4" s="2772"/>
      <c r="D4" s="2773"/>
      <c r="E4" s="2773"/>
      <c r="F4" s="2772"/>
      <c r="G4" s="2777"/>
      <c r="H4" s="2774"/>
      <c r="I4" s="3153"/>
      <c r="J4" s="3153"/>
      <c r="K4" s="3153"/>
      <c r="L4" s="3153"/>
      <c r="N4" s="2777"/>
      <c r="O4" s="2775"/>
      <c r="P4" s="2775"/>
      <c r="Q4" s="2775"/>
      <c r="R4" s="2775"/>
      <c r="S4" s="2777"/>
      <c r="T4" s="2775"/>
      <c r="U4" s="2775"/>
      <c r="V4" s="2775"/>
      <c r="W4" s="3169"/>
      <c r="X4" s="2776"/>
      <c r="Y4" s="2776"/>
      <c r="Z4" s="2776"/>
      <c r="AA4" s="2776"/>
      <c r="AB4" s="2776"/>
      <c r="AD4" s="2696"/>
      <c r="AE4" s="2696"/>
      <c r="AF4" s="2696"/>
      <c r="AG4" s="2696"/>
      <c r="AH4" s="2696"/>
    </row>
    <row r="5" spans="1:34" s="3139" customFormat="1">
      <c r="A5" s="3137" t="s">
        <v>2966</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8">
        <v>2</v>
      </c>
      <c r="I5" s="3154">
        <v>0</v>
      </c>
      <c r="J5" s="3154">
        <v>0</v>
      </c>
      <c r="K5" s="3154">
        <v>0</v>
      </c>
      <c r="L5" s="3154">
        <v>0</v>
      </c>
      <c r="N5" s="2784">
        <f t="shared" ref="N5" si="6">I5/100</f>
        <v>0</v>
      </c>
      <c r="O5" s="2784">
        <f t="shared" ref="O5" si="7">J5/100</f>
        <v>0</v>
      </c>
      <c r="P5" s="2784">
        <f t="shared" ref="P5" si="8">K5/100</f>
        <v>0</v>
      </c>
      <c r="Q5" s="2784">
        <f t="shared" ref="Q5" si="9">L5/100</f>
        <v>0</v>
      </c>
      <c r="R5" s="3140"/>
      <c r="S5" s="3141"/>
      <c r="T5" s="3140"/>
      <c r="U5" s="3140"/>
      <c r="V5" s="3140"/>
      <c r="W5" s="3170" t="s">
        <v>2960</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3" customFormat="1" ht="13.5" thickBot="1">
      <c r="A6" s="2677" t="s">
        <v>2967</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9">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2957</v>
      </c>
      <c r="B7" s="3174">
        <v>439</v>
      </c>
      <c r="C7" s="3174">
        <v>327</v>
      </c>
      <c r="D7" s="3174">
        <f t="shared" si="13"/>
        <v>327</v>
      </c>
      <c r="E7" s="3174">
        <v>627</v>
      </c>
      <c r="F7" s="3175">
        <v>283</v>
      </c>
      <c r="G7" s="3157">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2961</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9"/>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8"/>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9"/>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4282">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4277"/>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4277"/>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4278"/>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4276">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4277"/>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4277"/>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4278"/>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4276">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4277"/>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4277"/>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4278"/>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4279">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4280"/>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4280"/>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4281"/>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4276">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4277"/>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4277"/>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4278"/>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4276">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4277">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4277">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4278">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4276">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4277">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4277">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4278">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4276">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4277">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4277">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4278">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4276">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4277">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4277">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4278">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4276">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4277">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4277">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4278">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4276">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4277">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4277">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4278">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4276">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4277">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4277">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4278">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4276">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4277">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4277">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4278">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4276">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4277">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4277">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4278">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4276">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4277">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4277">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4278">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4"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9" sqref="E2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3492</v>
      </c>
      <c r="D1" s="3151" t="s">
        <v>3486</v>
      </c>
      <c r="E1" s="2409" t="s">
        <v>2374</v>
      </c>
      <c r="F1" s="2410">
        <f ca="1">J53</f>
        <v>30.270000000000003</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85968</v>
      </c>
      <c r="C2" s="2055"/>
      <c r="D2" s="2053"/>
      <c r="E2" s="2054"/>
      <c r="F2" s="2054"/>
      <c r="G2" s="1587"/>
      <c r="H2" s="2055"/>
      <c r="I2" s="2055"/>
      <c r="J2" s="2055"/>
      <c r="K2" s="2056"/>
      <c r="L2" s="2055"/>
      <c r="M2" s="2055"/>
    </row>
    <row r="3" spans="1:33" ht="18" customHeight="1" thickBot="1">
      <c r="A3" s="831" t="s">
        <v>1727</v>
      </c>
      <c r="B3" s="832">
        <f ca="1">IF(ISERROR(B2*10000/F43),0,ROUND(B2*10000/F43,0))</f>
        <v>18430</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6129</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6129</v>
      </c>
      <c r="D6" s="2519" t="s">
        <v>2462</v>
      </c>
      <c r="E6" s="782" t="s">
        <v>1738</v>
      </c>
      <c r="F6" s="783">
        <f ca="1">INDIRECT("'数据-取费表'!u"&amp;$G$1)</f>
        <v>4.5</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46645.67</v>
      </c>
      <c r="G7" s="1589"/>
      <c r="H7" s="2511"/>
      <c r="I7" s="4268"/>
      <c r="J7" s="786"/>
      <c r="K7" s="787"/>
      <c r="L7" s="782" t="s">
        <v>1739</v>
      </c>
      <c r="M7" s="783">
        <f ca="1">F7</f>
        <v>46645.67</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0.2</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55104</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37849</v>
      </c>
      <c r="D14" s="3179" t="s">
        <v>1745</v>
      </c>
      <c r="E14" s="3180"/>
      <c r="F14" s="803"/>
      <c r="G14" s="1589"/>
      <c r="H14" s="1646" t="s">
        <v>1830</v>
      </c>
      <c r="I14" s="2229" t="s">
        <v>2825</v>
      </c>
      <c r="J14" s="53">
        <f ca="1">C29</f>
        <v>55104</v>
      </c>
      <c r="K14" s="26"/>
      <c r="L14" s="799"/>
      <c r="M14" s="800"/>
    </row>
    <row r="15" spans="1:33" s="2062" customFormat="1" ht="18" customHeight="1" thickBot="1">
      <c r="A15" s="1645" t="s">
        <v>1885</v>
      </c>
      <c r="B15" s="782" t="s">
        <v>647</v>
      </c>
      <c r="C15" s="53">
        <f ca="1">ROUND(C14*F15,0)</f>
        <v>1135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5520</v>
      </c>
      <c r="K16" s="1819" t="s">
        <v>1750</v>
      </c>
      <c r="L16" s="3181"/>
      <c r="M16" s="2513"/>
    </row>
    <row r="17" spans="1:33" s="2062" customFormat="1" ht="18" customHeight="1">
      <c r="A17" s="1645" t="s">
        <v>1887</v>
      </c>
      <c r="B17" s="782" t="s">
        <v>653</v>
      </c>
      <c r="C17" s="53">
        <f ca="1">ROUND(F17*(F43+INDIRECT("'数据-取费表'!S"&amp;$G$1))/10000,0)</f>
        <v>992</v>
      </c>
      <c r="D17" s="782" t="s">
        <v>1751</v>
      </c>
      <c r="E17" s="782" t="s">
        <v>1752</v>
      </c>
      <c r="F17" s="56">
        <f>'数据-取费表'!B35</f>
        <v>200</v>
      </c>
      <c r="G17" s="1590"/>
      <c r="H17" s="1646" t="s">
        <v>1830</v>
      </c>
      <c r="I17" s="782" t="s">
        <v>656</v>
      </c>
      <c r="J17" s="53">
        <f ca="1">ROUND(IF(项目基本情况!B11="自然人",J5*M17,J18+J19+J20),0)</f>
        <v>4693</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568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40544</v>
      </c>
      <c r="D19" s="259" t="s">
        <v>1757</v>
      </c>
      <c r="E19" s="3187"/>
      <c r="F19" s="56"/>
      <c r="G19" s="1589"/>
      <c r="H19" s="1645" t="s">
        <v>1885</v>
      </c>
      <c r="I19" s="782" t="s">
        <v>1758</v>
      </c>
      <c r="J19" s="53">
        <f ca="1">IF(K19="按租金收入计税",ROUND(J5*M19,1),ROUND(C29*F33*0.7,1))</f>
        <v>4628.7</v>
      </c>
      <c r="K19" s="809" t="s">
        <v>665</v>
      </c>
      <c r="L19" s="782" t="s">
        <v>1747</v>
      </c>
      <c r="M19" s="807">
        <f>IF(K19="按租金收入计税",'数据-取费表'!B51,'数据-取费表'!B50)</f>
        <v>1.2E-2</v>
      </c>
    </row>
    <row r="20" spans="1:33" s="2062" customFormat="1" ht="18" customHeight="1">
      <c r="A20" s="1646" t="s">
        <v>1889</v>
      </c>
      <c r="B20" s="782" t="s">
        <v>666</v>
      </c>
      <c r="C20" s="53">
        <f ca="1">ROUND(C19*F20,0)</f>
        <v>608</v>
      </c>
      <c r="D20" s="810" t="s">
        <v>1759</v>
      </c>
      <c r="E20" s="782" t="s">
        <v>1747</v>
      </c>
      <c r="F20" s="807">
        <f>'数据-取费表'!B37</f>
        <v>1.4999999999999999E-2</v>
      </c>
      <c r="G20" s="1590"/>
      <c r="H20" s="1648" t="s">
        <v>1880</v>
      </c>
      <c r="I20" s="339" t="s">
        <v>1760</v>
      </c>
      <c r="J20" s="54">
        <f ca="1">ROUND(M20*M21/10000,0)</f>
        <v>64</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45522.44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827</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3481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0.03</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-5520</v>
      </c>
      <c r="K25" s="2570" t="s">
        <v>1777</v>
      </c>
      <c r="L25" s="2571"/>
      <c r="M25" s="2572"/>
    </row>
    <row r="26" spans="1:33" ht="18" customHeight="1">
      <c r="A26" s="1645" t="s">
        <v>1831</v>
      </c>
      <c r="B26" s="782" t="s">
        <v>2438</v>
      </c>
      <c r="C26" s="53">
        <f ca="1">ROUND((C19+C20)*F26,0)</f>
        <v>6173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55104</v>
      </c>
      <c r="D29" s="2567"/>
      <c r="E29" s="2568"/>
      <c r="F29" s="2569"/>
      <c r="G29" s="1590"/>
      <c r="H29" s="821" t="s">
        <v>1787</v>
      </c>
      <c r="I29" s="822" t="s">
        <v>1788</v>
      </c>
      <c r="J29" s="823">
        <f ca="1">ROUND(J26/(1+F40)^F41,0)</f>
        <v>0</v>
      </c>
      <c r="K29" s="824" t="s">
        <v>1789</v>
      </c>
      <c r="L29" s="825"/>
      <c r="M29" s="826">
        <f ca="1">INDIRECT("'数据-取费表'!k"&amp;$G$1)</f>
        <v>46645.67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2219</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1126.0999999999999</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326.89999999999998</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735.5</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63.7</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45522.44</v>
      </c>
      <c r="G35" s="2060"/>
      <c r="H35" s="2063"/>
      <c r="I35" s="835" t="s">
        <v>1814</v>
      </c>
      <c r="J35" s="836">
        <f ca="1">ROUND(C13*J36,0)</f>
        <v>4684</v>
      </c>
      <c r="K35" s="2076"/>
      <c r="L35" s="2075"/>
      <c r="M35" s="2075"/>
    </row>
    <row r="36" spans="1:18" ht="18" customHeight="1">
      <c r="A36" s="1646" t="s">
        <v>1889</v>
      </c>
      <c r="B36" s="782" t="s">
        <v>1802</v>
      </c>
      <c r="C36" s="53">
        <f ca="1">ROUND(C29*F36,1)</f>
        <v>826.6</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82.7</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183.9</v>
      </c>
      <c r="D38" s="2567" t="s">
        <v>1805</v>
      </c>
      <c r="E38" s="2568" t="s">
        <v>1796</v>
      </c>
      <c r="F38" s="2564">
        <f ca="1">INDIRECT("'数据-取费表'!Am"&amp;$G$1)</f>
        <v>0.03</v>
      </c>
      <c r="G38" s="2060"/>
      <c r="H38" s="2075"/>
      <c r="I38" s="841" t="s">
        <v>1817</v>
      </c>
      <c r="J38" s="842"/>
      <c r="K38" s="2081"/>
      <c r="L38" s="2075"/>
      <c r="M38" s="2075"/>
    </row>
    <row r="39" spans="1:18" ht="24.6" customHeight="1" thickTop="1">
      <c r="A39" s="1827" t="s">
        <v>1894</v>
      </c>
      <c r="B39" s="3032" t="s">
        <v>2821</v>
      </c>
      <c r="C39" s="790">
        <f ca="1">C5-C30</f>
        <v>3910</v>
      </c>
      <c r="D39" s="2570" t="s">
        <v>1806</v>
      </c>
      <c r="E39" s="2571"/>
      <c r="F39" s="2572"/>
      <c r="G39" s="2060"/>
      <c r="H39" s="2075"/>
      <c r="I39" s="835" t="s">
        <v>1818</v>
      </c>
      <c r="J39" s="843">
        <f ca="1">ROUND(J35/C39,3)</f>
        <v>1.198</v>
      </c>
      <c r="K39" s="2081"/>
      <c r="L39" s="2075"/>
      <c r="M39" s="2075"/>
    </row>
    <row r="40" spans="1:18" ht="18" customHeight="1">
      <c r="A40" s="779" t="s">
        <v>1895</v>
      </c>
      <c r="B40" s="2230" t="s">
        <v>2303</v>
      </c>
      <c r="C40" s="781">
        <f ca="1">ROUND(C39*(1-((1+F42)/(1+F40))^F41)/(F40-F42),0)</f>
        <v>85968</v>
      </c>
      <c r="D40" s="812" t="s">
        <v>1807</v>
      </c>
      <c r="E40" s="782" t="s">
        <v>2419</v>
      </c>
      <c r="F40" s="792">
        <f ca="1">INDIRECT("'数据-取费表'!I"&amp;$G$1)</f>
        <v>5.5E-2</v>
      </c>
      <c r="G40" s="2060"/>
      <c r="H40" s="2060"/>
      <c r="I40" s="835" t="s">
        <v>1819</v>
      </c>
      <c r="J40" s="843">
        <f ca="1">1-J39</f>
        <v>-0.19799999999999995</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0.64100000000000001</v>
      </c>
      <c r="K42" s="2080"/>
      <c r="L42" s="1986"/>
      <c r="M42" s="1986"/>
    </row>
    <row r="43" spans="1:18" ht="18" customHeight="1" thickBot="1">
      <c r="A43" s="821" t="s">
        <v>1787</v>
      </c>
      <c r="B43" s="822" t="s">
        <v>1810</v>
      </c>
      <c r="C43" s="823">
        <f ca="1">ROUND(C40*10000/F43,0)</f>
        <v>18430</v>
      </c>
      <c r="D43" s="824" t="s">
        <v>1811</v>
      </c>
      <c r="E43" s="825" t="s">
        <v>1812</v>
      </c>
      <c r="F43" s="826">
        <f ca="1">INDIRECT("'数据-取费表'!k"&amp;$G$1)</f>
        <v>46645.67</v>
      </c>
      <c r="G43" s="2060"/>
      <c r="H43" s="1986"/>
      <c r="I43" s="845" t="s">
        <v>1822</v>
      </c>
      <c r="J43" s="846">
        <f ca="1">1-J42</f>
        <v>0.35899999999999999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-100160</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85968</v>
      </c>
      <c r="R48" s="2421" t="s">
        <v>2380</v>
      </c>
    </row>
    <row r="49" spans="1:18" s="2057" customFormat="1" ht="18" customHeight="1" thickBot="1">
      <c r="A49" s="784"/>
      <c r="B49" s="785"/>
      <c r="C49" s="786"/>
      <c r="D49" s="787"/>
      <c r="E49" s="782" t="s">
        <v>1739</v>
      </c>
      <c r="F49" s="783">
        <f ca="1">F7</f>
        <v>46645.67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55104</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-12497</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85968</v>
      </c>
      <c r="R54" s="2425" t="s">
        <v>2392</v>
      </c>
    </row>
    <row r="55" spans="1:18" s="2057" customFormat="1" ht="18" customHeight="1" thickTop="1" thickBot="1">
      <c r="A55" s="795">
        <v>2</v>
      </c>
      <c r="B55" s="796" t="s">
        <v>644</v>
      </c>
      <c r="C55" s="797">
        <f ca="1">C13</f>
        <v>55104</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55104</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973</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85968</v>
      </c>
      <c r="R57" s="2421" t="s">
        <v>2380</v>
      </c>
    </row>
    <row r="58" spans="1:18" s="2057" customFormat="1" ht="28.5" customHeight="1" thickBot="1">
      <c r="A58" s="1646" t="s">
        <v>1824</v>
      </c>
      <c r="B58" s="782" t="s">
        <v>656</v>
      </c>
      <c r="C58" s="53">
        <f ca="1">ROUND(IF(项目基本情况!B11="自然人",C47*F58,C59+C60+C61),1)</f>
        <v>63.7</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63.7</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45522.44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826.6</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85968</v>
      </c>
      <c r="R63" s="2425" t="s">
        <v>2392</v>
      </c>
    </row>
    <row r="64" spans="1:18" s="2057" customFormat="1" ht="16.5" thickBot="1">
      <c r="A64" s="1646" t="s">
        <v>1890</v>
      </c>
      <c r="B64" s="782" t="s">
        <v>679</v>
      </c>
      <c r="C64" s="53">
        <f ca="1">ROUND(C55*F64,1)</f>
        <v>82.7</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0.03</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-973</v>
      </c>
      <c r="D66" s="3179" t="s">
        <v>700</v>
      </c>
      <c r="E66" s="3182"/>
      <c r="F66" s="818"/>
      <c r="K66" s="2084"/>
      <c r="O66" s="2420" t="s">
        <v>2379</v>
      </c>
      <c r="P66" s="2421" t="s">
        <v>2409</v>
      </c>
      <c r="Q66" s="2422">
        <f ca="1">C40+J29</f>
        <v>85968</v>
      </c>
      <c r="R66" s="2421" t="s">
        <v>2380</v>
      </c>
    </row>
    <row r="67" spans="1:18" s="2057" customFormat="1" ht="20.25" thickBot="1">
      <c r="A67" s="779" t="s">
        <v>1780</v>
      </c>
      <c r="B67" s="2230" t="s">
        <v>2303</v>
      </c>
      <c r="C67" s="781">
        <f ca="1">ROUND(C66*(1-((1+F69)/(1+F67))^F68)/(F67-F69),0)</f>
        <v>-14192</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-12497</v>
      </c>
      <c r="R68" s="2428" t="s">
        <v>2416</v>
      </c>
    </row>
    <row r="69" spans="1:18" ht="20.25" thickBot="1">
      <c r="A69" s="788"/>
      <c r="B69" s="789"/>
      <c r="C69" s="790"/>
      <c r="D69" s="814"/>
      <c r="E69" s="782" t="s">
        <v>710</v>
      </c>
      <c r="F69" s="2369"/>
      <c r="O69" s="2423" t="s">
        <v>2384</v>
      </c>
      <c r="P69" s="2429" t="s">
        <v>2398</v>
      </c>
      <c r="Q69" s="2422">
        <f ca="1">ROUND(Q70-Q71*Q72,0)</f>
        <v>-774</v>
      </c>
      <c r="R69" s="2425"/>
    </row>
    <row r="70" spans="1:18" ht="15.75" thickBot="1">
      <c r="A70" s="821" t="s">
        <v>1787</v>
      </c>
      <c r="B70" s="822" t="s">
        <v>1810</v>
      </c>
      <c r="C70" s="823">
        <f ca="1">ROUND(C67*10000/F70,0)</f>
        <v>-3043</v>
      </c>
      <c r="D70" s="824" t="s">
        <v>1811</v>
      </c>
      <c r="E70" s="825" t="s">
        <v>1812</v>
      </c>
      <c r="F70" s="826">
        <f ca="1">F43</f>
        <v>46645.67</v>
      </c>
      <c r="O70" s="2423" t="s">
        <v>2399</v>
      </c>
      <c r="P70" s="2429" t="s">
        <v>2400</v>
      </c>
      <c r="Q70" s="2422">
        <f ca="1">C39</f>
        <v>3910</v>
      </c>
      <c r="R70" s="2421" t="s">
        <v>2380</v>
      </c>
    </row>
    <row r="71" spans="1:18" ht="15.75" thickBot="1">
      <c r="O71" s="2423" t="s">
        <v>2401</v>
      </c>
      <c r="P71" s="2429" t="s">
        <v>2402</v>
      </c>
      <c r="Q71" s="2422">
        <f ca="1">C13</f>
        <v>55104</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85968</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3646</v>
      </c>
      <c r="D1" s="3151" t="s">
        <v>3486</v>
      </c>
      <c r="E1" s="2409" t="s">
        <v>2374</v>
      </c>
      <c r="F1" s="2410">
        <f ca="1">J53</f>
        <v>30.270000000000003</v>
      </c>
      <c r="G1" s="772">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134186</v>
      </c>
      <c r="C2" s="2055"/>
      <c r="D2" s="2053"/>
      <c r="E2" s="2054"/>
      <c r="F2" s="2054"/>
      <c r="G2" s="1587"/>
      <c r="H2" s="2055"/>
      <c r="I2" s="2055"/>
      <c r="J2" s="2055"/>
      <c r="K2" s="2056"/>
      <c r="L2" s="2055"/>
      <c r="M2" s="2055"/>
    </row>
    <row r="3" spans="1:33" ht="18" customHeight="1" thickBot="1">
      <c r="A3" s="831" t="s">
        <v>1727</v>
      </c>
      <c r="B3" s="832">
        <f ca="1">IF(ISERROR(B2*10000/F43),0,ROUND(B2*10000/F43,0))</f>
        <v>11069</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8761</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8761</v>
      </c>
      <c r="D6" s="2519" t="s">
        <v>2462</v>
      </c>
      <c r="E6" s="782" t="s">
        <v>1738</v>
      </c>
      <c r="F6" s="783">
        <f ca="1">INDIRECT("'数据-取费表'!u"&amp;$G$1)</f>
        <v>2.2000000000000002</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121226.54</v>
      </c>
      <c r="G7" s="1589"/>
      <c r="H7" s="2511"/>
      <c r="I7" s="4268"/>
      <c r="J7" s="786"/>
      <c r="K7" s="787"/>
      <c r="L7" s="782" t="s">
        <v>1739</v>
      </c>
      <c r="M7" s="783">
        <f ca="1">F7</f>
        <v>121226.54</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0.1</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53677</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35326</v>
      </c>
      <c r="D14" s="1977" t="s">
        <v>1745</v>
      </c>
      <c r="E14" s="1978"/>
      <c r="F14" s="803"/>
      <c r="G14" s="1589"/>
      <c r="H14" s="1646" t="s">
        <v>1830</v>
      </c>
      <c r="I14" s="2229" t="s">
        <v>2825</v>
      </c>
      <c r="J14" s="53">
        <f ca="1">C29</f>
        <v>53677</v>
      </c>
      <c r="K14" s="26"/>
      <c r="L14" s="799"/>
      <c r="M14" s="800"/>
    </row>
    <row r="15" spans="1:33" s="2062" customFormat="1" ht="18" customHeight="1" thickBot="1">
      <c r="A15" s="1645" t="s">
        <v>1885</v>
      </c>
      <c r="B15" s="782" t="s">
        <v>647</v>
      </c>
      <c r="C15" s="53">
        <f ca="1">ROUND(C14*F15,0)</f>
        <v>1060</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5480</v>
      </c>
      <c r="K16" s="1819" t="s">
        <v>1750</v>
      </c>
      <c r="L16" s="2508"/>
      <c r="M16" s="2513"/>
    </row>
    <row r="17" spans="1:33" s="2062" customFormat="1" ht="18" customHeight="1">
      <c r="A17" s="1645" t="s">
        <v>1887</v>
      </c>
      <c r="B17" s="782" t="s">
        <v>653</v>
      </c>
      <c r="C17" s="53">
        <f ca="1">ROUND(F17*(F43+INDIRECT("'数据-取费表'!S"&amp;$G$1))/10000,0)</f>
        <v>2578</v>
      </c>
      <c r="D17" s="782" t="s">
        <v>1751</v>
      </c>
      <c r="E17" s="782" t="s">
        <v>1752</v>
      </c>
      <c r="F17" s="56">
        <f>'数据-取费表'!B35</f>
        <v>200</v>
      </c>
      <c r="G17" s="1590"/>
      <c r="H17" s="1646" t="s">
        <v>1830</v>
      </c>
      <c r="I17" s="782" t="s">
        <v>656</v>
      </c>
      <c r="J17" s="53">
        <f ca="1">ROUND(IF(项目基本情况!B11="自然人",J5*M17,J18+J19+J20),0)</f>
        <v>4675</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530</v>
      </c>
      <c r="D18" s="782" t="s">
        <v>1746</v>
      </c>
      <c r="E18" s="782" t="s">
        <v>1747</v>
      </c>
      <c r="F18" s="807">
        <f>'数据-取费表'!B36</f>
        <v>1.4999999999999999E-2</v>
      </c>
      <c r="G18" s="1590"/>
      <c r="H18" s="1645" t="s">
        <v>1884</v>
      </c>
      <c r="I18" s="782" t="s">
        <v>1755</v>
      </c>
      <c r="J18" s="53">
        <f ca="1">ROUND(J5*M18/1.05,1)</f>
        <v>0</v>
      </c>
      <c r="K18" s="2506"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39494</v>
      </c>
      <c r="D19" s="259" t="s">
        <v>1757</v>
      </c>
      <c r="E19" s="1980"/>
      <c r="F19" s="56"/>
      <c r="G19" s="1589"/>
      <c r="H19" s="1645" t="s">
        <v>1885</v>
      </c>
      <c r="I19" s="782" t="s">
        <v>1758</v>
      </c>
      <c r="J19" s="53">
        <f ca="1">IF(K19="按租金收入计税",ROUND(J5*M19,1),ROUND(C29*F33*0.7,1))</f>
        <v>4508.8999999999996</v>
      </c>
      <c r="K19" s="809" t="s">
        <v>665</v>
      </c>
      <c r="L19" s="782" t="s">
        <v>1747</v>
      </c>
      <c r="M19" s="807">
        <f>IF(K19="按租金收入计税",'数据-取费表'!B51,'数据-取费表'!B50)</f>
        <v>1.2E-2</v>
      </c>
    </row>
    <row r="20" spans="1:33" s="2062" customFormat="1" ht="18" customHeight="1">
      <c r="A20" s="1646" t="s">
        <v>1889</v>
      </c>
      <c r="B20" s="782" t="s">
        <v>666</v>
      </c>
      <c r="C20" s="53">
        <f ca="1">ROUND(C19*F20,0)</f>
        <v>592</v>
      </c>
      <c r="D20" s="810" t="s">
        <v>1759</v>
      </c>
      <c r="E20" s="782" t="s">
        <v>1747</v>
      </c>
      <c r="F20" s="807">
        <f>'数据-取费表'!B37</f>
        <v>1.4999999999999999E-2</v>
      </c>
      <c r="G20" s="1590"/>
      <c r="H20" s="1648" t="s">
        <v>1880</v>
      </c>
      <c r="I20" s="339" t="s">
        <v>1760</v>
      </c>
      <c r="J20" s="54">
        <f ca="1">ROUND(M20*M21/10000,0)</f>
        <v>166</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118307.4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805</v>
      </c>
      <c r="K22" s="2506"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3391</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32" t="s">
        <v>2821</v>
      </c>
      <c r="J25" s="790">
        <f ca="1">J5-J16</f>
        <v>-5480</v>
      </c>
      <c r="K25" s="2570" t="s">
        <v>1777</v>
      </c>
      <c r="L25" s="2571"/>
      <c r="M25" s="2572"/>
    </row>
    <row r="26" spans="1:33" ht="18" customHeight="1">
      <c r="A26" s="1645" t="s">
        <v>1831</v>
      </c>
      <c r="B26" s="782" t="s">
        <v>2438</v>
      </c>
      <c r="C26" s="53">
        <f ca="1">ROUND((C19+C20)*F26,0)</f>
        <v>6013</v>
      </c>
      <c r="D26" s="810" t="s">
        <v>1778</v>
      </c>
      <c r="E26" s="793" t="s">
        <v>1779</v>
      </c>
      <c r="F26" s="792">
        <f ca="1">INDIRECT("'数据-取费表'!q"&amp;$G$1)</f>
        <v>0.15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3.0000000000000001E-3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53677</v>
      </c>
      <c r="D29" s="2567"/>
      <c r="E29" s="2568"/>
      <c r="F29" s="2569"/>
      <c r="G29" s="1590"/>
      <c r="H29" s="821" t="s">
        <v>1787</v>
      </c>
      <c r="I29" s="822" t="s">
        <v>1788</v>
      </c>
      <c r="J29" s="823">
        <f ca="1">ROUND(J26/(1+F40)^F41,0)</f>
        <v>0</v>
      </c>
      <c r="K29" s="824" t="s">
        <v>1789</v>
      </c>
      <c r="L29" s="825"/>
      <c r="M29" s="826">
        <f ca="1">INDIRECT("'数据-取费表'!k"&amp;$G$1)</f>
        <v>121226.54</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2658</v>
      </c>
      <c r="D30" s="1819" t="s">
        <v>1791</v>
      </c>
      <c r="E30" s="2508"/>
      <c r="F30" s="2513"/>
      <c r="G30" s="2060"/>
      <c r="H30" s="2063"/>
      <c r="I30" s="2064"/>
      <c r="J30" s="2065"/>
      <c r="K30" s="2066"/>
      <c r="L30" s="2067"/>
      <c r="M30" s="2068"/>
    </row>
    <row r="31" spans="1:33" ht="18" customHeight="1">
      <c r="A31" s="1646" t="s">
        <v>1830</v>
      </c>
      <c r="B31" s="782" t="s">
        <v>656</v>
      </c>
      <c r="C31" s="53">
        <f ca="1">ROUND(IF(项目基本情况!B11="自然人",C5*F31,C32+C33+C34),1)</f>
        <v>1684.2</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467.3</v>
      </c>
      <c r="D32" s="1975"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1051.3</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165.6</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118307.4</v>
      </c>
      <c r="G35" s="2060"/>
      <c r="H35" s="2063"/>
      <c r="I35" s="835" t="s">
        <v>1814</v>
      </c>
      <c r="J35" s="836">
        <f ca="1">ROUND(C13*J36,0)</f>
        <v>4563</v>
      </c>
      <c r="K35" s="2076"/>
      <c r="L35" s="2075"/>
      <c r="M35" s="2075"/>
    </row>
    <row r="36" spans="1:18" ht="18" customHeight="1">
      <c r="A36" s="1646" t="s">
        <v>1889</v>
      </c>
      <c r="B36" s="782" t="s">
        <v>1802</v>
      </c>
      <c r="C36" s="53">
        <f ca="1">ROUND(C29*F36,1)</f>
        <v>805.2</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80.5</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87.6</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6103</v>
      </c>
      <c r="D39" s="2570" t="s">
        <v>1806</v>
      </c>
      <c r="E39" s="2571"/>
      <c r="F39" s="2572"/>
      <c r="G39" s="2060"/>
      <c r="H39" s="2075"/>
      <c r="I39" s="835" t="s">
        <v>1818</v>
      </c>
      <c r="J39" s="843">
        <f ca="1">ROUND(J35/C39,3)</f>
        <v>0.748</v>
      </c>
      <c r="K39" s="2081"/>
      <c r="L39" s="2075"/>
      <c r="M39" s="2075"/>
    </row>
    <row r="40" spans="1:18" ht="18" customHeight="1">
      <c r="A40" s="779" t="s">
        <v>1895</v>
      </c>
      <c r="B40" s="2230" t="s">
        <v>2303</v>
      </c>
      <c r="C40" s="781">
        <f ca="1">ROUND(C39*(1-((1+F42)/(1+F40))^F41)/(F40-F42),0)</f>
        <v>134186</v>
      </c>
      <c r="D40" s="812" t="s">
        <v>1807</v>
      </c>
      <c r="E40" s="782" t="s">
        <v>2419</v>
      </c>
      <c r="F40" s="792">
        <f ca="1">INDIRECT("'数据-取费表'!I"&amp;$G$1)</f>
        <v>5.5E-2</v>
      </c>
      <c r="G40" s="2060"/>
      <c r="H40" s="2060"/>
      <c r="I40" s="835" t="s">
        <v>1819</v>
      </c>
      <c r="J40" s="843">
        <f ca="1">1-J39</f>
        <v>0.252</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0.4</v>
      </c>
      <c r="K42" s="2080"/>
      <c r="L42" s="1986"/>
      <c r="M42" s="1986"/>
    </row>
    <row r="43" spans="1:18" ht="18" customHeight="1" thickBot="1">
      <c r="A43" s="821" t="s">
        <v>1787</v>
      </c>
      <c r="B43" s="822" t="s">
        <v>1810</v>
      </c>
      <c r="C43" s="823">
        <f ca="1">ROUND(C40*10000/F43,0)</f>
        <v>11069</v>
      </c>
      <c r="D43" s="824" t="s">
        <v>1811</v>
      </c>
      <c r="E43" s="825" t="s">
        <v>1812</v>
      </c>
      <c r="F43" s="826">
        <f ca="1">INDIRECT("'数据-取费表'!k"&amp;$G$1)</f>
        <v>121226.54</v>
      </c>
      <c r="G43" s="2060"/>
      <c r="H43" s="1986"/>
      <c r="I43" s="845" t="s">
        <v>1822</v>
      </c>
      <c r="J43" s="846">
        <f ca="1">1-J42</f>
        <v>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-149516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134186</v>
      </c>
      <c r="R48" s="2421" t="s">
        <v>2380</v>
      </c>
    </row>
    <row r="49" spans="1:18" s="2057" customFormat="1" ht="18" customHeight="1" thickBot="1">
      <c r="A49" s="784"/>
      <c r="B49" s="785"/>
      <c r="C49" s="786"/>
      <c r="D49" s="787"/>
      <c r="E49" s="782" t="s">
        <v>1739</v>
      </c>
      <c r="F49" s="783">
        <f ca="1">F7</f>
        <v>121226.54</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53677</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24878</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134186</v>
      </c>
      <c r="R54" s="2425" t="s">
        <v>2392</v>
      </c>
    </row>
    <row r="55" spans="1:18" s="2057" customFormat="1" ht="18" customHeight="1" thickTop="1" thickBot="1">
      <c r="A55" s="795">
        <v>2</v>
      </c>
      <c r="B55" s="796" t="s">
        <v>644</v>
      </c>
      <c r="C55" s="797">
        <f ca="1">C13</f>
        <v>53677</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53677</v>
      </c>
      <c r="D56" s="2661"/>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1051</v>
      </c>
      <c r="D57" s="26" t="s">
        <v>1750</v>
      </c>
      <c r="E57" s="2662"/>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134186</v>
      </c>
      <c r="R57" s="2421" t="s">
        <v>2380</v>
      </c>
    </row>
    <row r="58" spans="1:18" s="2057" customFormat="1" ht="28.5" customHeight="1" thickBot="1">
      <c r="A58" s="1646" t="s">
        <v>1824</v>
      </c>
      <c r="B58" s="782" t="s">
        <v>656</v>
      </c>
      <c r="C58" s="53">
        <f ca="1">ROUND(IF(项目基本情况!B11="自然人",C47*F58,C59+C60+C61),1)</f>
        <v>165.6</v>
      </c>
      <c r="D58" s="2660" t="s">
        <v>657</v>
      </c>
      <c r="E58" s="2661"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2661"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165.6</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118307.4</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805.2</v>
      </c>
      <c r="D63" s="2661" t="s">
        <v>1803</v>
      </c>
      <c r="E63" s="782" t="s">
        <v>1747</v>
      </c>
      <c r="F63" s="815">
        <f t="shared" ca="1" si="0"/>
        <v>1.4999999999999999E-2</v>
      </c>
      <c r="I63" s="2407" t="s">
        <v>2370</v>
      </c>
      <c r="J63" s="2408">
        <v>70</v>
      </c>
      <c r="K63" s="2408">
        <v>50</v>
      </c>
      <c r="L63" s="2408">
        <v>80</v>
      </c>
      <c r="M63" s="3125">
        <v>0.02</v>
      </c>
      <c r="O63" s="2420" t="s">
        <v>2391</v>
      </c>
      <c r="P63" s="2421" t="s">
        <v>2408</v>
      </c>
      <c r="Q63" s="2422">
        <f ca="1">Q57+Q58</f>
        <v>134186</v>
      </c>
      <c r="R63" s="2425" t="s">
        <v>2392</v>
      </c>
    </row>
    <row r="64" spans="1:18" s="2057" customFormat="1" ht="16.5" thickBot="1">
      <c r="A64" s="1646" t="s">
        <v>1890</v>
      </c>
      <c r="B64" s="782" t="s">
        <v>679</v>
      </c>
      <c r="C64" s="53">
        <f ca="1">ROUND(C55*F64,1)</f>
        <v>80.5</v>
      </c>
      <c r="D64" s="2661"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2661"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-1051</v>
      </c>
      <c r="D66" s="2660" t="s">
        <v>700</v>
      </c>
      <c r="E66" s="2659"/>
      <c r="F66" s="818"/>
      <c r="K66" s="2084"/>
      <c r="O66" s="2420" t="s">
        <v>2379</v>
      </c>
      <c r="P66" s="2421" t="s">
        <v>2409</v>
      </c>
      <c r="Q66" s="2422">
        <f ca="1">C40+J29</f>
        <v>134186</v>
      </c>
      <c r="R66" s="2421" t="s">
        <v>2380</v>
      </c>
    </row>
    <row r="67" spans="1:18" s="2057" customFormat="1" ht="20.25" thickBot="1">
      <c r="A67" s="779" t="s">
        <v>1780</v>
      </c>
      <c r="B67" s="2230" t="s">
        <v>2303</v>
      </c>
      <c r="C67" s="781">
        <f ca="1">ROUND(C66*(1-((1+F69)/(1+F67))^F68)/(F67-F69),0)</f>
        <v>-15330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24878</v>
      </c>
      <c r="R68" s="2428" t="s">
        <v>2416</v>
      </c>
    </row>
    <row r="69" spans="1:18" ht="20.25" thickBot="1">
      <c r="A69" s="788"/>
      <c r="B69" s="789"/>
      <c r="C69" s="790"/>
      <c r="D69" s="814"/>
      <c r="E69" s="782" t="s">
        <v>710</v>
      </c>
      <c r="F69" s="2369"/>
      <c r="O69" s="2423" t="s">
        <v>2384</v>
      </c>
      <c r="P69" s="2429" t="s">
        <v>2398</v>
      </c>
      <c r="Q69" s="2422">
        <f ca="1">ROUND(Q70-Q71*Q72,0)</f>
        <v>1540</v>
      </c>
      <c r="R69" s="2425"/>
    </row>
    <row r="70" spans="1:18" ht="15.75" thickBot="1">
      <c r="A70" s="821" t="s">
        <v>1787</v>
      </c>
      <c r="B70" s="822" t="s">
        <v>1810</v>
      </c>
      <c r="C70" s="823">
        <f ca="1">ROUND(C67*10000/F70,0)</f>
        <v>-1265</v>
      </c>
      <c r="D70" s="824" t="s">
        <v>1811</v>
      </c>
      <c r="E70" s="825" t="s">
        <v>1812</v>
      </c>
      <c r="F70" s="826">
        <f ca="1">F43</f>
        <v>121226.54</v>
      </c>
      <c r="O70" s="2423" t="s">
        <v>2399</v>
      </c>
      <c r="P70" s="2429" t="s">
        <v>2400</v>
      </c>
      <c r="Q70" s="2422">
        <f ca="1">C39</f>
        <v>6103</v>
      </c>
      <c r="R70" s="2421" t="s">
        <v>2380</v>
      </c>
    </row>
    <row r="71" spans="1:18" ht="15.75" thickBot="1">
      <c r="O71" s="2423" t="s">
        <v>2401</v>
      </c>
      <c r="P71" s="2429" t="s">
        <v>2402</v>
      </c>
      <c r="Q71" s="2422">
        <f ca="1">C13</f>
        <v>53677</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134186</v>
      </c>
      <c r="R76" s="2425"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4301" t="s">
        <v>2471</v>
      </c>
      <c r="B1" s="4302"/>
      <c r="C1" s="4303"/>
      <c r="D1" s="4304">
        <f>SUM(I10,I15,I20,I21,I23)</f>
        <v>0</v>
      </c>
      <c r="E1" s="4304"/>
      <c r="F1" s="4304"/>
      <c r="G1" s="4304"/>
      <c r="H1" s="4304"/>
      <c r="I1" s="4305"/>
    </row>
    <row r="2" spans="1:9">
      <c r="A2" s="4291" t="s">
        <v>2472</v>
      </c>
      <c r="B2" s="4292" t="s">
        <v>2473</v>
      </c>
      <c r="C2" s="4292"/>
      <c r="D2" s="2529" t="s">
        <v>2474</v>
      </c>
      <c r="E2" s="2529" t="s">
        <v>2475</v>
      </c>
      <c r="F2" s="2529" t="s">
        <v>2476</v>
      </c>
      <c r="G2" s="2529" t="s">
        <v>2477</v>
      </c>
      <c r="H2" s="2529" t="s">
        <v>2478</v>
      </c>
      <c r="I2" s="2530" t="s">
        <v>2479</v>
      </c>
    </row>
    <row r="3" spans="1:9">
      <c r="A3" s="4291"/>
      <c r="B3" s="4292" t="s">
        <v>2480</v>
      </c>
      <c r="C3" s="4292"/>
      <c r="D3" s="2531"/>
      <c r="E3" s="2529"/>
      <c r="F3" s="2532"/>
      <c r="G3" s="2532"/>
      <c r="H3" s="2533"/>
      <c r="I3" s="2534">
        <f>ROUND(D3*E3*F3*G3*H3/10000,0)</f>
        <v>0</v>
      </c>
    </row>
    <row r="4" spans="1:9">
      <c r="A4" s="4291"/>
      <c r="B4" s="4292" t="s">
        <v>2481</v>
      </c>
      <c r="C4" s="4292"/>
      <c r="D4" s="2531"/>
      <c r="E4" s="2529"/>
      <c r="F4" s="2532"/>
      <c r="G4" s="2532"/>
      <c r="H4" s="2533"/>
      <c r="I4" s="2534">
        <f t="shared" ref="I4:I9" si="0">ROUND(D4*E4*F4*G4*H4/10000,0)</f>
        <v>0</v>
      </c>
    </row>
    <row r="5" spans="1:9">
      <c r="A5" s="4291"/>
      <c r="B5" s="4292" t="s">
        <v>2482</v>
      </c>
      <c r="C5" s="4292"/>
      <c r="D5" s="2531"/>
      <c r="E5" s="2529"/>
      <c r="F5" s="2532"/>
      <c r="G5" s="2532"/>
      <c r="H5" s="2533"/>
      <c r="I5" s="2534">
        <f t="shared" si="0"/>
        <v>0</v>
      </c>
    </row>
    <row r="6" spans="1:9">
      <c r="A6" s="4291"/>
      <c r="B6" s="4292" t="s">
        <v>2483</v>
      </c>
      <c r="C6" s="4292"/>
      <c r="D6" s="2531"/>
      <c r="E6" s="2529"/>
      <c r="F6" s="2532"/>
      <c r="G6" s="2532"/>
      <c r="H6" s="2533"/>
      <c r="I6" s="2534">
        <f t="shared" si="0"/>
        <v>0</v>
      </c>
    </row>
    <row r="7" spans="1:9">
      <c r="A7" s="4291"/>
      <c r="B7" s="4292" t="s">
        <v>2484</v>
      </c>
      <c r="C7" s="4292"/>
      <c r="D7" s="2531"/>
      <c r="E7" s="2529"/>
      <c r="F7" s="2532"/>
      <c r="G7" s="2532"/>
      <c r="H7" s="2533"/>
      <c r="I7" s="2534">
        <f t="shared" si="0"/>
        <v>0</v>
      </c>
    </row>
    <row r="8" spans="1:9">
      <c r="A8" s="4291"/>
      <c r="B8" s="4292" t="s">
        <v>2485</v>
      </c>
      <c r="C8" s="4292"/>
      <c r="D8" s="2531"/>
      <c r="E8" s="2529"/>
      <c r="F8" s="2532"/>
      <c r="G8" s="2532"/>
      <c r="H8" s="2533"/>
      <c r="I8" s="2534">
        <f t="shared" si="0"/>
        <v>0</v>
      </c>
    </row>
    <row r="9" spans="1:9">
      <c r="A9" s="4291"/>
      <c r="B9" s="4292" t="s">
        <v>2486</v>
      </c>
      <c r="C9" s="4292"/>
      <c r="D9" s="2531"/>
      <c r="E9" s="2529"/>
      <c r="F9" s="2532"/>
      <c r="G9" s="2532"/>
      <c r="H9" s="2533"/>
      <c r="I9" s="2534">
        <f t="shared" si="0"/>
        <v>0</v>
      </c>
    </row>
    <row r="10" spans="1:9">
      <c r="A10" s="4291"/>
      <c r="B10" s="4293" t="s">
        <v>2487</v>
      </c>
      <c r="C10" s="4293"/>
      <c r="D10" s="2535">
        <v>527</v>
      </c>
      <c r="E10" s="2535" t="e">
        <f>ROUND(D1*10000/D10/H9,0)</f>
        <v>#DIV/0!</v>
      </c>
      <c r="F10" s="2536"/>
      <c r="G10" s="2536"/>
      <c r="H10" s="2537"/>
      <c r="I10" s="2538">
        <f>SUM(I3:I9)</f>
        <v>0</v>
      </c>
    </row>
    <row r="11" spans="1:9" ht="14.25">
      <c r="A11" s="4291" t="s">
        <v>2488</v>
      </c>
      <c r="B11" s="4292" t="s">
        <v>2489</v>
      </c>
      <c r="C11" s="4292"/>
      <c r="D11" s="2531" t="s">
        <v>2490</v>
      </c>
      <c r="E11" s="2531" t="s">
        <v>2491</v>
      </c>
      <c r="F11" s="2532" t="s">
        <v>2492</v>
      </c>
      <c r="G11" s="2532" t="s">
        <v>2493</v>
      </c>
      <c r="H11" s="2539" t="s">
        <v>2494</v>
      </c>
      <c r="I11" s="2530" t="s">
        <v>2495</v>
      </c>
    </row>
    <row r="12" spans="1:9">
      <c r="A12" s="4291"/>
      <c r="B12" s="4292" t="s">
        <v>2496</v>
      </c>
      <c r="C12" s="4292"/>
      <c r="D12" s="2531"/>
      <c r="E12" s="2531"/>
      <c r="F12" s="2532"/>
      <c r="G12" s="2533"/>
      <c r="H12" s="2540"/>
      <c r="I12" s="2530">
        <f>ROUND(D12*E12*F12*G12/10000,0)</f>
        <v>0</v>
      </c>
    </row>
    <row r="13" spans="1:9">
      <c r="A13" s="4291"/>
      <c r="B13" s="4292" t="s">
        <v>2497</v>
      </c>
      <c r="C13" s="4292"/>
      <c r="D13" s="2531"/>
      <c r="E13" s="2531"/>
      <c r="F13" s="2532"/>
      <c r="G13" s="2533"/>
      <c r="H13" s="2540"/>
      <c r="I13" s="2530">
        <f>ROUND(D13*E13*F13*G13/10000,0)</f>
        <v>0</v>
      </c>
    </row>
    <row r="14" spans="1:9">
      <c r="A14" s="4291"/>
      <c r="B14" s="4292" t="s">
        <v>2498</v>
      </c>
      <c r="C14" s="4292"/>
      <c r="D14" s="2531"/>
      <c r="E14" s="2531"/>
      <c r="F14" s="2532"/>
      <c r="G14" s="2533"/>
      <c r="H14" s="2540"/>
      <c r="I14" s="2530">
        <f>ROUND(D14*E14*F14*G14/10000,0)</f>
        <v>0</v>
      </c>
    </row>
    <row r="15" spans="1:9">
      <c r="A15" s="4291"/>
      <c r="B15" s="4293" t="s">
        <v>2487</v>
      </c>
      <c r="C15" s="4293"/>
      <c r="D15" s="2535"/>
      <c r="E15" s="2535">
        <f>SUM(E12:E14)</f>
        <v>0</v>
      </c>
      <c r="F15" s="2536"/>
      <c r="G15" s="2533"/>
      <c r="H15" s="2540"/>
      <c r="I15" s="2541">
        <f>SUM(I12:I14)</f>
        <v>0</v>
      </c>
    </row>
    <row r="16" spans="1:9" ht="24">
      <c r="A16" s="4291" t="s">
        <v>2499</v>
      </c>
      <c r="B16" s="4292" t="s">
        <v>2500</v>
      </c>
      <c r="C16" s="4292"/>
      <c r="D16" s="2531" t="s">
        <v>2501</v>
      </c>
      <c r="E16" s="2542" t="s">
        <v>2502</v>
      </c>
      <c r="F16" s="2532" t="s">
        <v>2503</v>
      </c>
      <c r="G16" s="2533" t="s">
        <v>2493</v>
      </c>
      <c r="H16" s="2539" t="s">
        <v>2494</v>
      </c>
      <c r="I16" s="2530" t="s">
        <v>2495</v>
      </c>
    </row>
    <row r="17" spans="1:9" ht="14.25">
      <c r="A17" s="4291"/>
      <c r="B17" s="4292" t="s">
        <v>2504</v>
      </c>
      <c r="C17" s="4292"/>
      <c r="D17" s="2531"/>
      <c r="E17" s="2531"/>
      <c r="F17" s="2532"/>
      <c r="G17" s="2533"/>
      <c r="H17" s="2543"/>
      <c r="I17" s="2544">
        <f>ROUND(D17*E17*F17*G17/10000,0)</f>
        <v>0</v>
      </c>
    </row>
    <row r="18" spans="1:9" ht="14.25">
      <c r="A18" s="4291"/>
      <c r="B18" s="4292" t="s">
        <v>2505</v>
      </c>
      <c r="C18" s="4292"/>
      <c r="D18" s="2531"/>
      <c r="E18" s="2531"/>
      <c r="F18" s="2532"/>
      <c r="G18" s="2533"/>
      <c r="H18" s="2543"/>
      <c r="I18" s="2544">
        <f>ROUND(D18*E18*F18*G18/10000,0)</f>
        <v>0</v>
      </c>
    </row>
    <row r="19" spans="1:9" ht="14.25">
      <c r="A19" s="4291"/>
      <c r="B19" s="4292" t="s">
        <v>2506</v>
      </c>
      <c r="C19" s="4292"/>
      <c r="D19" s="2531"/>
      <c r="E19" s="2531"/>
      <c r="F19" s="2532"/>
      <c r="G19" s="2533"/>
      <c r="H19" s="2543"/>
      <c r="I19" s="2544">
        <f>ROUND(D19*E19*F19*G19/10000,0)</f>
        <v>0</v>
      </c>
    </row>
    <row r="20" spans="1:9">
      <c r="A20" s="4291"/>
      <c r="B20" s="4293" t="s">
        <v>2487</v>
      </c>
      <c r="C20" s="4293"/>
      <c r="D20" s="2535">
        <f>SUM(D17:D19)</f>
        <v>0</v>
      </c>
      <c r="E20" s="2535"/>
      <c r="F20" s="2536"/>
      <c r="G20" s="2533"/>
      <c r="H20" s="2540"/>
      <c r="I20" s="2541">
        <f>SUM(I17:I19)</f>
        <v>0</v>
      </c>
    </row>
    <row r="21" spans="1:9">
      <c r="A21" s="4291" t="s">
        <v>2507</v>
      </c>
      <c r="B21" s="4294"/>
      <c r="C21" s="4294"/>
      <c r="D21" s="4294"/>
      <c r="E21" s="4294"/>
      <c r="F21" s="4294"/>
      <c r="G21" s="4294"/>
      <c r="H21" s="2545">
        <v>0.1</v>
      </c>
      <c r="I21" s="2538">
        <f>ROUND(I10*H21,0)</f>
        <v>0</v>
      </c>
    </row>
    <row r="22" spans="1:9" ht="14.25">
      <c r="A22" s="4295" t="s">
        <v>2508</v>
      </c>
      <c r="B22" s="4296"/>
      <c r="C22" s="4297"/>
      <c r="D22" s="2546" t="s">
        <v>2509</v>
      </c>
      <c r="E22" s="2546" t="s">
        <v>2510</v>
      </c>
      <c r="F22" s="2547" t="s">
        <v>2511</v>
      </c>
      <c r="G22" s="2547" t="s">
        <v>2512</v>
      </c>
      <c r="H22" s="2539" t="s">
        <v>2513</v>
      </c>
      <c r="I22" s="2530" t="s">
        <v>2514</v>
      </c>
    </row>
    <row r="23" spans="1:9" ht="14.25" thickBot="1">
      <c r="A23" s="4298"/>
      <c r="B23" s="4299"/>
      <c r="C23" s="4300"/>
      <c r="D23" s="2548"/>
      <c r="E23" s="2548"/>
      <c r="F23" s="2548"/>
      <c r="G23" s="2549"/>
      <c r="H23" s="2550"/>
      <c r="I23" s="2551">
        <f>ROUND(E23*D23*F23*(1-G23)/10000,0)</f>
        <v>0</v>
      </c>
    </row>
    <row r="26" spans="1:9">
      <c r="A26" s="2552" t="s">
        <v>2515</v>
      </c>
      <c r="B26" s="2552"/>
      <c r="C26" s="2552"/>
      <c r="D26" s="2552"/>
      <c r="E26" s="4288">
        <f>C27-C30-C31-C32</f>
        <v>0</v>
      </c>
      <c r="F26" s="4288"/>
      <c r="G26" s="4288"/>
      <c r="H26" s="3064" t="s">
        <v>2842</v>
      </c>
    </row>
    <row r="27" spans="1:9">
      <c r="A27" s="2553">
        <v>1</v>
      </c>
      <c r="B27" s="2554" t="s">
        <v>2516</v>
      </c>
      <c r="C27" s="2554"/>
      <c r="D27" s="2554"/>
      <c r="E27" s="4289"/>
      <c r="F27" s="4289"/>
      <c r="G27" s="4289"/>
    </row>
    <row r="28" spans="1:9">
      <c r="A28" s="2555" t="s">
        <v>2517</v>
      </c>
      <c r="B28" s="2554" t="s">
        <v>2518</v>
      </c>
      <c r="C28" s="2554"/>
      <c r="D28" s="2554"/>
      <c r="E28" s="4289"/>
      <c r="F28" s="4289"/>
      <c r="G28" s="4289"/>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4290"/>
      <c r="F32" s="4290"/>
      <c r="G32" s="4290"/>
    </row>
    <row r="33" spans="1:7" hidden="1">
      <c r="A33" s="4285" t="s">
        <v>2526</v>
      </c>
      <c r="B33" s="4286"/>
      <c r="C33" s="4286"/>
      <c r="D33" s="4287"/>
      <c r="E33" s="4288"/>
      <c r="F33" s="4288"/>
      <c r="G33" s="4288"/>
    </row>
    <row r="34" spans="1:7" hidden="1">
      <c r="A34" s="2557">
        <v>1</v>
      </c>
      <c r="B34" s="2554" t="s">
        <v>2527</v>
      </c>
      <c r="C34" s="2554"/>
      <c r="D34" s="2554"/>
      <c r="E34" s="4289"/>
      <c r="F34" s="4289"/>
      <c r="G34" s="4289"/>
    </row>
    <row r="35" spans="1:7" hidden="1">
      <c r="A35" s="2557">
        <v>2</v>
      </c>
      <c r="B35" s="2554" t="s">
        <v>2528</v>
      </c>
      <c r="C35" s="2554"/>
      <c r="D35" s="2554"/>
      <c r="E35" s="4289"/>
      <c r="F35" s="4289"/>
      <c r="G35" s="4289"/>
    </row>
    <row r="36" spans="1:7" hidden="1">
      <c r="A36" s="2557">
        <v>3</v>
      </c>
      <c r="B36" s="2554" t="s">
        <v>2529</v>
      </c>
      <c r="C36" s="2554"/>
      <c r="D36" s="2554"/>
      <c r="E36" s="4289"/>
      <c r="F36" s="4289"/>
      <c r="G36" s="4289"/>
    </row>
    <row r="37" spans="1:7" hidden="1">
      <c r="A37" s="2557">
        <v>4</v>
      </c>
      <c r="B37" s="2554" t="s">
        <v>2530</v>
      </c>
      <c r="C37" s="2554"/>
      <c r="D37" s="2554"/>
      <c r="E37" s="4289"/>
      <c r="F37" s="4289"/>
      <c r="G37" s="4289"/>
    </row>
    <row r="38" spans="1:7" hidden="1">
      <c r="A38" s="4285" t="s">
        <v>2531</v>
      </c>
      <c r="B38" s="4286"/>
      <c r="C38" s="4286"/>
      <c r="D38" s="4287"/>
      <c r="E38" s="4288"/>
      <c r="F38" s="4288"/>
      <c r="G38" s="4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2440</v>
      </c>
      <c r="B8" s="2494" t="s">
        <v>2442</v>
      </c>
      <c r="C8" s="2495"/>
      <c r="D8" s="747"/>
      <c r="E8" s="748"/>
      <c r="F8" s="748"/>
      <c r="G8" s="749"/>
    </row>
    <row r="9" spans="1:25" s="2181" customFormat="1" ht="13.5" customHeight="1">
      <c r="A9" s="2491" t="s">
        <v>2441</v>
      </c>
      <c r="B9" s="2494" t="s">
        <v>2443</v>
      </c>
      <c r="C9" s="2495"/>
      <c r="D9" s="747"/>
      <c r="E9" s="748"/>
      <c r="F9" s="748"/>
      <c r="G9" s="749"/>
    </row>
    <row r="10" spans="1:25" s="2181" customFormat="1" ht="36">
      <c r="A10" s="2491">
        <v>2</v>
      </c>
      <c r="B10" s="746" t="s">
        <v>613</v>
      </c>
      <c r="C10" s="747">
        <f>C11+C14+C15</f>
        <v>0</v>
      </c>
      <c r="D10" s="758">
        <f>'数据-汇总表'!E3</f>
        <v>446955.26</v>
      </c>
      <c r="E10" s="747">
        <f>'数据-取费表'!B31</f>
        <v>200</v>
      </c>
      <c r="F10" s="759"/>
      <c r="G10" s="757" t="s">
        <v>614</v>
      </c>
    </row>
    <row r="11" spans="1:25" s="2181" customFormat="1" ht="13.5" customHeight="1">
      <c r="A11" s="2491" t="s">
        <v>2440</v>
      </c>
      <c r="B11" s="750" t="s">
        <v>610</v>
      </c>
      <c r="C11" s="751">
        <f>'数据-取费表'!B29</f>
        <v>0</v>
      </c>
      <c r="D11" s="752"/>
      <c r="E11" s="751"/>
      <c r="F11" s="753"/>
      <c r="G11" s="2500" t="s">
        <v>2451</v>
      </c>
    </row>
    <row r="12" spans="1:25" s="2181" customFormat="1" ht="13.5" customHeight="1">
      <c r="A12" s="2498" t="s">
        <v>2448</v>
      </c>
      <c r="B12" s="754" t="s">
        <v>611</v>
      </c>
      <c r="C12" s="755">
        <f>ROUND(D12*E12/10000,0)</f>
        <v>1832</v>
      </c>
      <c r="D12" s="756">
        <f>'数据-汇总表'!E5</f>
        <v>152691.87</v>
      </c>
      <c r="E12" s="755">
        <f>'数据-取费表'!B27</f>
        <v>120</v>
      </c>
      <c r="F12" s="753"/>
      <c r="G12" s="757"/>
    </row>
    <row r="13" spans="1:25" s="2181" customFormat="1" ht="13.5" customHeight="1">
      <c r="A13" s="2498" t="s">
        <v>2447</v>
      </c>
      <c r="B13" s="754" t="s">
        <v>612</v>
      </c>
      <c r="C13" s="755">
        <f>ROUND(D13*E13/10000,0)</f>
        <v>3531</v>
      </c>
      <c r="D13" s="756">
        <f>'数据-汇总表'!E6</f>
        <v>294263.39</v>
      </c>
      <c r="E13" s="755">
        <f>'数据-取费表'!B28</f>
        <v>120</v>
      </c>
      <c r="F13" s="753"/>
      <c r="G13" s="757"/>
    </row>
    <row r="14" spans="1:25" s="2181" customFormat="1" ht="13.5" customHeight="1">
      <c r="A14" s="2491" t="s">
        <v>2441</v>
      </c>
      <c r="B14" s="2497" t="s">
        <v>2444</v>
      </c>
      <c r="C14" s="2495"/>
      <c r="D14" s="756"/>
      <c r="E14" s="755"/>
      <c r="F14" s="2496"/>
      <c r="G14" s="2499" t="s">
        <v>2449</v>
      </c>
    </row>
    <row r="15" spans="1:25" s="2181" customFormat="1" ht="13.5" customHeight="1">
      <c r="A15" s="2491" t="s">
        <v>2446</v>
      </c>
      <c r="B15" s="2497" t="s">
        <v>2445</v>
      </c>
      <c r="C15" s="2495"/>
      <c r="D15" s="756"/>
      <c r="E15" s="755"/>
      <c r="F15" s="2496"/>
      <c r="G15" s="2499" t="s">
        <v>2450</v>
      </c>
    </row>
    <row r="16" spans="1:25" s="2182" customFormat="1" ht="48">
      <c r="A16" s="2491">
        <v>3</v>
      </c>
      <c r="B16" s="746" t="s">
        <v>615</v>
      </c>
      <c r="C16" s="2495"/>
      <c r="D16" s="758"/>
      <c r="E16" s="747"/>
      <c r="F16" s="759"/>
      <c r="G16" s="757"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0.13</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0.86499999999999999</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4" sqref="C14:D3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2976</v>
      </c>
      <c r="D1" s="3151" t="s">
        <v>3486</v>
      </c>
      <c r="E1" s="2409" t="s">
        <v>2374</v>
      </c>
      <c r="F1" s="2410">
        <f ca="1">J53</f>
        <v>30.270000000000003</v>
      </c>
      <c r="G1" s="772">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20602</v>
      </c>
      <c r="C2" s="2055"/>
      <c r="D2" s="2053"/>
      <c r="E2" s="2054"/>
      <c r="F2" s="2054"/>
      <c r="G2" s="1587"/>
      <c r="H2" s="2055"/>
      <c r="I2" s="2055"/>
      <c r="J2" s="2055"/>
      <c r="K2" s="2056"/>
      <c r="L2" s="2055"/>
      <c r="M2" s="2055"/>
    </row>
    <row r="3" spans="1:33" ht="18" customHeight="1" thickBot="1">
      <c r="A3" s="831" t="s">
        <v>1727</v>
      </c>
      <c r="B3" s="832">
        <f ca="1">IF(ISERROR(B2*10000/F43),0,ROUND(B2*10000/F43,0))</f>
        <v>13734</v>
      </c>
      <c r="C3" s="2055"/>
      <c r="D3" s="2053"/>
      <c r="E3" s="2054"/>
      <c r="F3" s="2054"/>
      <c r="G3" s="1587"/>
      <c r="H3" s="774" t="s">
        <v>695</v>
      </c>
      <c r="I3" s="1361"/>
      <c r="J3" s="1361"/>
      <c r="K3" s="1588"/>
      <c r="L3" s="1361"/>
      <c r="M3" s="1361"/>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2458</v>
      </c>
      <c r="C5" s="55">
        <f ca="1">C6+C10+C12</f>
        <v>1281</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1281</v>
      </c>
      <c r="D6" s="2519" t="s">
        <v>2462</v>
      </c>
      <c r="E6" s="782" t="s">
        <v>1738</v>
      </c>
      <c r="F6" s="783">
        <f ca="1">INDIRECT("'数据-取费表'!u"&amp;$G$1)</f>
        <v>2.6</v>
      </c>
      <c r="G6" s="1589"/>
      <c r="H6" s="2526" t="s">
        <v>2468</v>
      </c>
      <c r="I6" s="4267" t="s">
        <v>2463</v>
      </c>
      <c r="J6" s="781">
        <f ca="1">ROUND(M6*M8*M7*(1-M9)/10000,0)</f>
        <v>0</v>
      </c>
      <c r="K6" s="339" t="s">
        <v>1737</v>
      </c>
      <c r="L6" s="782" t="s">
        <v>1738</v>
      </c>
      <c r="M6" s="783">
        <f ca="1">INDIRECT("'数据-取费表'!z"&amp;$G$1)</f>
        <v>0</v>
      </c>
    </row>
    <row r="7" spans="1:33" ht="18" customHeight="1">
      <c r="A7" s="2522"/>
      <c r="B7" s="4268"/>
      <c r="C7" s="786"/>
      <c r="D7" s="787"/>
      <c r="E7" s="782" t="s">
        <v>1739</v>
      </c>
      <c r="F7" s="783">
        <f ca="1">IF(INDIRECT("'数据-取费表'!ah"&amp;$G$1)="",INDIRECT("'数据-取费表'!k"&amp;$G$1),INDIRECT("'数据-取费表'!ah"&amp;$G$1))</f>
        <v>15000.31</v>
      </c>
      <c r="G7" s="1589"/>
      <c r="H7" s="2511"/>
      <c r="I7" s="4268"/>
      <c r="J7" s="786"/>
      <c r="K7" s="787"/>
      <c r="L7" s="782" t="s">
        <v>1739</v>
      </c>
      <c r="M7" s="783">
        <f ca="1">F7</f>
        <v>15000.31</v>
      </c>
    </row>
    <row r="8" spans="1:33" ht="18" customHeight="1">
      <c r="A8" s="2515"/>
      <c r="B8" s="4269"/>
      <c r="C8" s="786"/>
      <c r="D8" s="787"/>
      <c r="E8" s="782" t="s">
        <v>1740</v>
      </c>
      <c r="F8" s="783">
        <f ca="1">INDIRECT("'数据-取费表'!ai"&amp;$G$1)</f>
        <v>365</v>
      </c>
      <c r="G8" s="1589"/>
      <c r="H8" s="2511"/>
      <c r="I8" s="4269"/>
      <c r="J8" s="786"/>
      <c r="K8" s="787"/>
      <c r="L8" s="782" t="s">
        <v>1740</v>
      </c>
      <c r="M8" s="783">
        <f ca="1">INDIRECT("'数据-取费表'!ai"&amp;$G$1)</f>
        <v>365</v>
      </c>
    </row>
    <row r="9" spans="1:33" ht="18" customHeight="1">
      <c r="A9" s="784"/>
      <c r="B9" s="4270"/>
      <c r="C9" s="786"/>
      <c r="D9" s="787"/>
      <c r="E9" s="782" t="s">
        <v>1741</v>
      </c>
      <c r="F9" s="792">
        <f ca="1">INDIRECT("'数据-取费表'!w"&amp;$G$1)</f>
        <v>0.1</v>
      </c>
      <c r="G9" s="1589"/>
      <c r="H9" s="2527"/>
      <c r="I9" s="4269"/>
      <c r="J9" s="786"/>
      <c r="K9" s="787"/>
      <c r="L9" s="793" t="s">
        <v>1741</v>
      </c>
      <c r="M9" s="794">
        <f ca="1">INDIRECT("'数据-取费表'!ab"&amp;$G$1)</f>
        <v>0</v>
      </c>
    </row>
    <row r="10" spans="1:33" ht="18" customHeight="1">
      <c r="A10" s="1828" t="s">
        <v>2466</v>
      </c>
      <c r="B10" s="2516" t="s">
        <v>2459</v>
      </c>
      <c r="C10" s="797">
        <f ca="1">ROUND(IF(F10="押一",C6/12*F11,IF(F10="押二",C6/12*2*F11,IF(F10="押三",C6/12*3*F11,C11*F11))),0)</f>
        <v>0</v>
      </c>
      <c r="D10" s="2523" t="s">
        <v>2964</v>
      </c>
      <c r="E10" s="2520" t="s">
        <v>2464</v>
      </c>
      <c r="F10" s="2643"/>
      <c r="G10" s="1589"/>
      <c r="H10" s="2583" t="s">
        <v>2469</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2465</v>
      </c>
      <c r="F11" s="794">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1742</v>
      </c>
      <c r="C13" s="790">
        <f ca="1">ROUND(C29*F13,0)</f>
        <v>5349</v>
      </c>
      <c r="D13" s="1832" t="s">
        <v>2299</v>
      </c>
      <c r="E13" s="1832" t="s">
        <v>1744</v>
      </c>
      <c r="F13" s="2558">
        <f ca="1">INDIRECT("'数据-取费表'!y"&amp;$G$1)</f>
        <v>1</v>
      </c>
      <c r="G13" s="1589"/>
      <c r="H13" s="1827">
        <v>2</v>
      </c>
      <c r="I13" s="1825" t="s">
        <v>1742</v>
      </c>
      <c r="J13" s="1817">
        <f ca="1">ROUND(J14*J15,0)</f>
        <v>0</v>
      </c>
      <c r="K13" s="1819" t="s">
        <v>1743</v>
      </c>
      <c r="L13" s="2574"/>
      <c r="M13" s="2575"/>
    </row>
    <row r="14" spans="1:33" ht="18" customHeight="1">
      <c r="A14" s="1645" t="s">
        <v>1884</v>
      </c>
      <c r="B14" s="782" t="s">
        <v>645</v>
      </c>
      <c r="C14" s="802">
        <f ca="1">INDIRECT("'数据-取费表'!m"&amp;$G$1)+INDIRECT("'数据-取费表'!t"&amp;$G$1)</f>
        <v>3171</v>
      </c>
      <c r="D14" s="3179" t="s">
        <v>1745</v>
      </c>
      <c r="E14" s="3180"/>
      <c r="F14" s="803"/>
      <c r="G14" s="1589"/>
      <c r="H14" s="1646" t="s">
        <v>1830</v>
      </c>
      <c r="I14" s="2229" t="s">
        <v>2825</v>
      </c>
      <c r="J14" s="53">
        <f ca="1">C29</f>
        <v>5349</v>
      </c>
      <c r="K14" s="26"/>
      <c r="L14" s="799"/>
      <c r="M14" s="800"/>
    </row>
    <row r="15" spans="1:33" s="2062" customFormat="1" ht="18" customHeight="1" thickBot="1">
      <c r="A15" s="1645" t="s">
        <v>1885</v>
      </c>
      <c r="B15" s="782" t="s">
        <v>647</v>
      </c>
      <c r="C15" s="53">
        <f ca="1">ROUND(C14*F15,0)</f>
        <v>95</v>
      </c>
      <c r="D15" s="804" t="s">
        <v>1746</v>
      </c>
      <c r="E15" s="804" t="s">
        <v>1747</v>
      </c>
      <c r="F15" s="805">
        <f>'数据-取费表'!B33</f>
        <v>0.03</v>
      </c>
      <c r="G15" s="1590"/>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549</v>
      </c>
      <c r="K16" s="1819" t="s">
        <v>1750</v>
      </c>
      <c r="L16" s="3181"/>
      <c r="M16" s="2513"/>
    </row>
    <row r="17" spans="1:33" s="2062" customFormat="1" ht="18" customHeight="1">
      <c r="A17" s="1645" t="s">
        <v>1887</v>
      </c>
      <c r="B17" s="782" t="s">
        <v>653</v>
      </c>
      <c r="C17" s="53">
        <f ca="1">ROUND(F17*(F43+INDIRECT("'数据-取费表'!S"&amp;$G$1))/10000,0)</f>
        <v>319</v>
      </c>
      <c r="D17" s="782" t="s">
        <v>1751</v>
      </c>
      <c r="E17" s="782" t="s">
        <v>1752</v>
      </c>
      <c r="F17" s="56">
        <f>'数据-取费表'!B35</f>
        <v>200</v>
      </c>
      <c r="G17" s="1590"/>
      <c r="H17" s="1646" t="s">
        <v>1830</v>
      </c>
      <c r="I17" s="782" t="s">
        <v>656</v>
      </c>
      <c r="J17" s="53">
        <f ca="1">ROUND(IF(项目基本情况!B11="自然人",J5*M17,J18+J19+J20),0)</f>
        <v>469</v>
      </c>
      <c r="K17" s="3179" t="s">
        <v>1753</v>
      </c>
      <c r="L17" s="3177"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48</v>
      </c>
      <c r="D18" s="782" t="s">
        <v>1746</v>
      </c>
      <c r="E18" s="782" t="s">
        <v>1747</v>
      </c>
      <c r="F18" s="807">
        <f>'数据-取费表'!B36</f>
        <v>1.4999999999999999E-2</v>
      </c>
      <c r="G18" s="1590"/>
      <c r="H18" s="1645" t="s">
        <v>1884</v>
      </c>
      <c r="I18" s="782" t="s">
        <v>1755</v>
      </c>
      <c r="J18" s="53">
        <f ca="1">ROUND(J5*M18/1.05,1)</f>
        <v>0</v>
      </c>
      <c r="K18" s="3177"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3633</v>
      </c>
      <c r="D19" s="259" t="s">
        <v>1757</v>
      </c>
      <c r="E19" s="3187"/>
      <c r="F19" s="56"/>
      <c r="G19" s="1589"/>
      <c r="H19" s="1645" t="s">
        <v>1885</v>
      </c>
      <c r="I19" s="782" t="s">
        <v>1758</v>
      </c>
      <c r="J19" s="53">
        <f ca="1">IF(K19="按租金收入计税",ROUND(J5*M19,1),ROUND(C29*F33*0.7,1))</f>
        <v>449.3</v>
      </c>
      <c r="K19" s="809" t="s">
        <v>665</v>
      </c>
      <c r="L19" s="782" t="s">
        <v>1747</v>
      </c>
      <c r="M19" s="807">
        <f>IF(K19="按租金收入计税",'数据-取费表'!B51,'数据-取费表'!B50)</f>
        <v>1.2E-2</v>
      </c>
    </row>
    <row r="20" spans="1:33" s="2062" customFormat="1" ht="18" customHeight="1">
      <c r="A20" s="1646" t="s">
        <v>1889</v>
      </c>
      <c r="B20" s="782" t="s">
        <v>666</v>
      </c>
      <c r="C20" s="53">
        <f ca="1">ROUND(C19*F20,0)</f>
        <v>54</v>
      </c>
      <c r="D20" s="810" t="s">
        <v>1759</v>
      </c>
      <c r="E20" s="782" t="s">
        <v>1747</v>
      </c>
      <c r="F20" s="807">
        <f>'数据-取费表'!B37</f>
        <v>1.4999999999999999E-2</v>
      </c>
      <c r="G20" s="1590"/>
      <c r="H20" s="1648" t="s">
        <v>1880</v>
      </c>
      <c r="I20" s="339" t="s">
        <v>1760</v>
      </c>
      <c r="J20" s="54">
        <f ca="1">ROUND(M20*M21/10000,0)</f>
        <v>20</v>
      </c>
      <c r="K20" s="812" t="s">
        <v>1761</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28"/>
      <c r="I21" s="791"/>
      <c r="J21" s="69"/>
      <c r="K21" s="814"/>
      <c r="L21" s="782" t="s">
        <v>1766</v>
      </c>
      <c r="M21" s="783">
        <f ca="1">INDIRECT("'数据-取费表'!r"&amp;$G$1)</f>
        <v>14639.1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94" t="str">
        <f>IF(F23&lt;=1,"单利计息。","复利计息。")&amp;"建造成本、管理费用、销售费用产生的利息。"</f>
        <v>复利计息。建造成本、管理费用、销售费用产生的利息。</v>
      </c>
      <c r="E22" s="3187"/>
      <c r="F22" s="56"/>
      <c r="G22" s="1589"/>
      <c r="H22" s="1646" t="s">
        <v>1889</v>
      </c>
      <c r="I22" s="782" t="s">
        <v>1768</v>
      </c>
      <c r="J22" s="53">
        <f ca="1">ROUND(J14*M22,0)</f>
        <v>80</v>
      </c>
      <c r="K22" s="3177" t="s">
        <v>1769</v>
      </c>
      <c r="L22" s="782" t="s">
        <v>1747</v>
      </c>
      <c r="M22" s="815">
        <f ca="1">INDIRECT("'数据-取费表'!Ak"&amp;$G$1)</f>
        <v>1.4999999999999999E-2</v>
      </c>
    </row>
    <row r="23" spans="1:33" s="2062" customFormat="1" ht="18" customHeight="1">
      <c r="A23" s="1645" t="s">
        <v>1831</v>
      </c>
      <c r="B23" s="782" t="s">
        <v>2535</v>
      </c>
      <c r="C23" s="53">
        <f ca="1">ROUND(IF('数据-取费表'!B22&lt;=1,(C19+C20)*F24*F23/2,(C19+C20)*(POWER((1+F24),F23/2)-1)),0)</f>
        <v>312</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177"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187"/>
      <c r="F25" s="56"/>
      <c r="G25" s="1589"/>
      <c r="H25" s="1827" t="s">
        <v>1776</v>
      </c>
      <c r="I25" s="3032" t="s">
        <v>2821</v>
      </c>
      <c r="J25" s="790">
        <f ca="1">J5-J16</f>
        <v>-549</v>
      </c>
      <c r="K25" s="2570" t="s">
        <v>1777</v>
      </c>
      <c r="L25" s="2571"/>
      <c r="M25" s="2572"/>
    </row>
    <row r="26" spans="1:33" ht="18" customHeight="1">
      <c r="A26" s="1645" t="s">
        <v>1831</v>
      </c>
      <c r="B26" s="782" t="s">
        <v>2438</v>
      </c>
      <c r="C26" s="53">
        <f ca="1">ROUND((C19+C20)*F26,0)</f>
        <v>922</v>
      </c>
      <c r="D26" s="810" t="s">
        <v>1778</v>
      </c>
      <c r="E26" s="793" t="s">
        <v>1779</v>
      </c>
      <c r="F26" s="792">
        <f ca="1">INDIRECT("'数据-取费表'!q"&amp;$G$1)</f>
        <v>0.25</v>
      </c>
      <c r="G26" s="1589"/>
      <c r="H26" s="2524" t="s">
        <v>1780</v>
      </c>
      <c r="I26" s="2230" t="s">
        <v>2826</v>
      </c>
      <c r="J26" s="781">
        <f ca="1">IF(J5&lt;&gt;0,ROUND(J25*(1-((1+M28)/(1+M26))^M27)/(M26-M28),0),0)</f>
        <v>0</v>
      </c>
      <c r="K26" s="812" t="s">
        <v>1781</v>
      </c>
      <c r="L26" s="782" t="s">
        <v>2419</v>
      </c>
      <c r="M26" s="792">
        <f ca="1">INDIRECT("'数据-取费表'!I"&amp;$G$1)</f>
        <v>5.5E-2</v>
      </c>
    </row>
    <row r="27" spans="1:33" ht="18" customHeight="1">
      <c r="A27" s="1645" t="s">
        <v>1832</v>
      </c>
      <c r="B27" s="782" t="s">
        <v>686</v>
      </c>
      <c r="C27" s="53">
        <f ca="1">ROUND(F21*F26,4)</f>
        <v>5.0000000000000001E-3</v>
      </c>
      <c r="D27" s="810" t="s">
        <v>1782</v>
      </c>
      <c r="E27" s="804"/>
      <c r="F27" s="805"/>
      <c r="G27" s="1589"/>
      <c r="H27" s="2525"/>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5.33E-2</v>
      </c>
      <c r="D28" s="810" t="s">
        <v>2301</v>
      </c>
      <c r="E28" s="782" t="s">
        <v>1785</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5349</v>
      </c>
      <c r="D29" s="2567"/>
      <c r="E29" s="2568"/>
      <c r="F29" s="2569"/>
      <c r="G29" s="1590"/>
      <c r="H29" s="821" t="s">
        <v>1787</v>
      </c>
      <c r="I29" s="822" t="s">
        <v>1788</v>
      </c>
      <c r="J29" s="823">
        <f ca="1">ROUND(J26/(1+F40)^F41,0)</f>
        <v>0</v>
      </c>
      <c r="K29" s="824" t="s">
        <v>1789</v>
      </c>
      <c r="L29" s="825"/>
      <c r="M29" s="826">
        <f ca="1">INDIRECT("'数据-取费表'!k"&amp;$G$1)</f>
        <v>15000.31</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344</v>
      </c>
      <c r="D30" s="1819" t="s">
        <v>1791</v>
      </c>
      <c r="E30" s="3181"/>
      <c r="F30" s="2513"/>
      <c r="G30" s="2060"/>
      <c r="H30" s="2063"/>
      <c r="I30" s="2064"/>
      <c r="J30" s="2065"/>
      <c r="K30" s="2066"/>
      <c r="L30" s="2067"/>
      <c r="M30" s="2068"/>
    </row>
    <row r="31" spans="1:33" ht="18" customHeight="1">
      <c r="A31" s="1646" t="s">
        <v>1830</v>
      </c>
      <c r="B31" s="782" t="s">
        <v>656</v>
      </c>
      <c r="C31" s="53">
        <f ca="1">ROUND(IF(项目基本情况!B11="自然人",C5*F31,C32+C33+C34),1)</f>
        <v>242.5</v>
      </c>
      <c r="D31" s="3179" t="s">
        <v>1792</v>
      </c>
      <c r="E31" s="3177"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68.3</v>
      </c>
      <c r="D32" s="3177" t="s">
        <v>1795</v>
      </c>
      <c r="E32" s="782" t="s">
        <v>1796</v>
      </c>
      <c r="F32" s="807">
        <f>'数据-取费表'!B41</f>
        <v>5.6000000000000001E-2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153.69999999999999</v>
      </c>
      <c r="D33" s="809" t="s">
        <v>3485</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20.5</v>
      </c>
      <c r="D34" s="812" t="s">
        <v>1799</v>
      </c>
      <c r="E34" s="782" t="s">
        <v>1800</v>
      </c>
      <c r="F34" s="638">
        <f>'数据-取费表'!B52</f>
        <v>14</v>
      </c>
      <c r="G34" s="2060"/>
      <c r="H34" s="2063"/>
      <c r="I34" s="833" t="s">
        <v>1813</v>
      </c>
      <c r="J34" s="834"/>
      <c r="K34" s="2078"/>
      <c r="L34" s="2077"/>
      <c r="M34" s="2077"/>
    </row>
    <row r="35" spans="1:18" ht="18" customHeight="1">
      <c r="A35" s="813"/>
      <c r="B35" s="791"/>
      <c r="C35" s="69"/>
      <c r="D35" s="814"/>
      <c r="E35" s="782" t="s">
        <v>1801</v>
      </c>
      <c r="F35" s="783">
        <f ca="1">INDIRECT("'数据-取费表'!r"&amp;$G$1)</f>
        <v>14639.1</v>
      </c>
      <c r="G35" s="2060"/>
      <c r="H35" s="2063"/>
      <c r="I35" s="835" t="s">
        <v>1814</v>
      </c>
      <c r="J35" s="836">
        <f ca="1">ROUND(C13*J36,0)</f>
        <v>455</v>
      </c>
      <c r="K35" s="2076"/>
      <c r="L35" s="2075"/>
      <c r="M35" s="2075"/>
    </row>
    <row r="36" spans="1:18" ht="18" customHeight="1">
      <c r="A36" s="1646" t="s">
        <v>1889</v>
      </c>
      <c r="B36" s="782" t="s">
        <v>1802</v>
      </c>
      <c r="C36" s="53">
        <f ca="1">ROUND(C29*F36,1)</f>
        <v>80.2</v>
      </c>
      <c r="D36" s="3177"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8</v>
      </c>
      <c r="D37" s="3177"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12.8</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937</v>
      </c>
      <c r="D39" s="2570" t="s">
        <v>1806</v>
      </c>
      <c r="E39" s="2571"/>
      <c r="F39" s="2572"/>
      <c r="G39" s="2060"/>
      <c r="H39" s="2075"/>
      <c r="I39" s="835" t="s">
        <v>1818</v>
      </c>
      <c r="J39" s="843">
        <f ca="1">ROUND(J35/C39,3)</f>
        <v>0.48599999999999999</v>
      </c>
      <c r="K39" s="2081"/>
      <c r="L39" s="2075"/>
      <c r="M39" s="2075"/>
    </row>
    <row r="40" spans="1:18" ht="18" customHeight="1">
      <c r="A40" s="779" t="s">
        <v>1895</v>
      </c>
      <c r="B40" s="2230" t="s">
        <v>2303</v>
      </c>
      <c r="C40" s="781">
        <f ca="1">ROUND(C39*(1-((1+F42)/(1+F40))^F41)/(F40-F42),0)</f>
        <v>20602</v>
      </c>
      <c r="D40" s="812" t="s">
        <v>1807</v>
      </c>
      <c r="E40" s="782" t="s">
        <v>2419</v>
      </c>
      <c r="F40" s="792">
        <f ca="1">INDIRECT("'数据-取费表'!I"&amp;$G$1)</f>
        <v>5.5E-2</v>
      </c>
      <c r="G40" s="2060"/>
      <c r="H40" s="2060"/>
      <c r="I40" s="835" t="s">
        <v>1819</v>
      </c>
      <c r="J40" s="843">
        <f ca="1">1-J39</f>
        <v>0.51400000000000001</v>
      </c>
      <c r="K40" s="2081"/>
      <c r="L40" s="2060"/>
      <c r="M40" s="2060"/>
    </row>
    <row r="41" spans="1:18" ht="18" customHeight="1">
      <c r="A41" s="784"/>
      <c r="B41" s="785"/>
      <c r="C41" s="786"/>
      <c r="D41" s="819" t="s">
        <v>1808</v>
      </c>
      <c r="E41" s="782" t="s">
        <v>2954</v>
      </c>
      <c r="F41" s="820">
        <f ca="1">IF(INDIRECT("'数据-取费表'!af"&amp;$G$1)=0,INDIRECT("'数据-取费表'!ae"&amp;$G$1),INDIRECT("'数据-取费表'!af"&amp;$G$1))</f>
        <v>30.270000000000003</v>
      </c>
      <c r="G41" s="2060"/>
      <c r="H41" s="1986"/>
      <c r="I41" s="841" t="s">
        <v>1820</v>
      </c>
      <c r="J41" s="844"/>
      <c r="K41" s="2080"/>
      <c r="L41" s="1986"/>
      <c r="M41" s="1986"/>
    </row>
    <row r="42" spans="1:18" ht="18" customHeight="1">
      <c r="A42" s="788"/>
      <c r="B42" s="789"/>
      <c r="C42" s="790"/>
      <c r="D42" s="814"/>
      <c r="E42" s="782" t="s">
        <v>1809</v>
      </c>
      <c r="F42" s="792">
        <f ca="1">INDIRECT("'数据-取费表'!v"&amp;$G$1)</f>
        <v>3.5000000000000003E-2</v>
      </c>
      <c r="G42" s="2060"/>
      <c r="H42" s="1986"/>
      <c r="I42" s="845" t="s">
        <v>1821</v>
      </c>
      <c r="J42" s="843">
        <f ca="1">ROUND(C13/C40,3)</f>
        <v>0.26</v>
      </c>
      <c r="K42" s="2080"/>
      <c r="L42" s="1986"/>
      <c r="M42" s="1986"/>
    </row>
    <row r="43" spans="1:18" ht="18" customHeight="1" thickBot="1">
      <c r="A43" s="821" t="s">
        <v>1787</v>
      </c>
      <c r="B43" s="822" t="s">
        <v>1810</v>
      </c>
      <c r="C43" s="823">
        <f ca="1">ROUND(C40*10000/F43,0)</f>
        <v>13734</v>
      </c>
      <c r="D43" s="824" t="s">
        <v>1811</v>
      </c>
      <c r="E43" s="825" t="s">
        <v>1812</v>
      </c>
      <c r="F43" s="826">
        <f ca="1">INDIRECT("'数据-取费表'!k"&amp;$G$1)</f>
        <v>15000.31</v>
      </c>
      <c r="G43" s="2060"/>
      <c r="H43" s="1986"/>
      <c r="I43" s="845" t="s">
        <v>1822</v>
      </c>
      <c r="J43" s="846">
        <f ca="1">1-J42</f>
        <v>0.74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-22192</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636</v>
      </c>
      <c r="E48" s="2374" t="s">
        <v>2298</v>
      </c>
      <c r="F48" s="2375"/>
      <c r="G48" s="2088"/>
      <c r="I48" s="2381" t="s">
        <v>2344</v>
      </c>
      <c r="J48" s="2388" t="s">
        <v>2350</v>
      </c>
      <c r="K48" s="2389" t="s">
        <v>2351</v>
      </c>
      <c r="L48" s="2390">
        <f ca="1">INDIRECT("'数据-取费表'!f"&amp;$G$1)</f>
        <v>33.770000000000003</v>
      </c>
      <c r="O48" s="2420" t="s">
        <v>2379</v>
      </c>
      <c r="P48" s="2421" t="s">
        <v>2405</v>
      </c>
      <c r="Q48" s="2422">
        <f ca="1">C40+J29</f>
        <v>20602</v>
      </c>
      <c r="R48" s="2421" t="s">
        <v>2380</v>
      </c>
    </row>
    <row r="49" spans="1:18" s="2057" customFormat="1" ht="18" customHeight="1" thickBot="1">
      <c r="A49" s="784"/>
      <c r="B49" s="785"/>
      <c r="C49" s="786"/>
      <c r="D49" s="787"/>
      <c r="E49" s="782" t="s">
        <v>1739</v>
      </c>
      <c r="F49" s="783">
        <f ca="1">F7</f>
        <v>15000.31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1740</v>
      </c>
      <c r="F50" s="783">
        <f ca="1">F8</f>
        <v>365</v>
      </c>
      <c r="G50" s="2093"/>
      <c r="H50" s="2091"/>
      <c r="I50" s="2381" t="s">
        <v>2346</v>
      </c>
      <c r="J50" s="2394">
        <f>SUMPRODUCT((I63:I65=J47)*(J62:L62=J48)*(J63:L65))</f>
        <v>60</v>
      </c>
      <c r="K50" s="2392" t="s">
        <v>2353</v>
      </c>
      <c r="L50" s="2393"/>
      <c r="O50" s="2423" t="s">
        <v>2383</v>
      </c>
      <c r="P50" s="2421" t="s">
        <v>2407</v>
      </c>
      <c r="Q50" s="2422">
        <f ca="1">C29</f>
        <v>5349</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7790</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2965</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30.270000000000003</v>
      </c>
      <c r="K53" s="4283" t="s">
        <v>2956</v>
      </c>
      <c r="L53" s="4284"/>
      <c r="O53" s="2423" t="s">
        <v>2388</v>
      </c>
      <c r="P53" s="2421" t="s">
        <v>2389</v>
      </c>
      <c r="Q53" s="2422">
        <f ca="1">J53</f>
        <v>30.270000000000003</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20602</v>
      </c>
      <c r="R54" s="2425" t="s">
        <v>2392</v>
      </c>
    </row>
    <row r="55" spans="1:18" s="2057" customFormat="1" ht="18" customHeight="1" thickTop="1" thickBot="1">
      <c r="A55" s="795">
        <v>2</v>
      </c>
      <c r="B55" s="796" t="s">
        <v>644</v>
      </c>
      <c r="C55" s="797">
        <f ca="1">C13</f>
        <v>5349</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2304</v>
      </c>
      <c r="C56" s="53">
        <f ca="1">C29</f>
        <v>5349</v>
      </c>
      <c r="D56" s="3177"/>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109</v>
      </c>
      <c r="D57" s="26" t="s">
        <v>1750</v>
      </c>
      <c r="E57" s="3187"/>
      <c r="F57" s="56"/>
      <c r="I57" s="2402" t="s">
        <v>2358</v>
      </c>
      <c r="J57" s="2404" t="str">
        <f ca="1">IF(OR(M47="住宅",J51&lt;L48,J56="是"),"——",J51-L48)</f>
        <v>——</v>
      </c>
      <c r="K57" s="2381" t="s">
        <v>2363</v>
      </c>
      <c r="L57" s="2390" t="str">
        <f ca="1">IF(L48&lt;J51,"——",IF(L55="比较法",L49,IF(L55="基准地价",L50,L51)))</f>
        <v>——</v>
      </c>
      <c r="O57" s="2420" t="s">
        <v>2379</v>
      </c>
      <c r="P57" s="2421" t="s">
        <v>2409</v>
      </c>
      <c r="Q57" s="2422">
        <f ca="1">C40+J29</f>
        <v>20602</v>
      </c>
      <c r="R57" s="2421" t="s">
        <v>2380</v>
      </c>
    </row>
    <row r="58" spans="1:18" s="2057" customFormat="1" ht="28.5" customHeight="1" thickBot="1">
      <c r="A58" s="1646" t="s">
        <v>1824</v>
      </c>
      <c r="B58" s="782" t="s">
        <v>656</v>
      </c>
      <c r="C58" s="53">
        <f ca="1">ROUND(IF(项目基本情况!B11="自然人",C47*F58,C59+C60+C61),1)</f>
        <v>20.5</v>
      </c>
      <c r="D58" s="3179" t="s">
        <v>657</v>
      </c>
      <c r="E58" s="3177"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177" t="s">
        <v>1756</v>
      </c>
      <c r="E59" s="782" t="s">
        <v>1747</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1758</v>
      </c>
      <c r="C60" s="53">
        <f ca="1">IF(D60="按租金收入计税",ROUND(C47*F60,1),IF(D60="按房产原值计税",ROUND(C56*F60*0.7,1),INDIRECT("'数据-取费表'!Aj"&amp;$G$1)))</f>
        <v>0</v>
      </c>
      <c r="D60" s="3177" t="str">
        <f>D33</f>
        <v>按租金收入计税</v>
      </c>
      <c r="E60" s="782" t="s">
        <v>1747</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20.5</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14639.1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80.2</v>
      </c>
      <c r="D63" s="3177" t="s">
        <v>1803</v>
      </c>
      <c r="E63" s="782" t="s">
        <v>1747</v>
      </c>
      <c r="F63" s="815">
        <f t="shared" ca="1" si="0"/>
        <v>1.4999999999999999E-2</v>
      </c>
      <c r="I63" s="2407" t="s">
        <v>2370</v>
      </c>
      <c r="J63" s="2408">
        <v>70</v>
      </c>
      <c r="K63" s="2408">
        <v>50</v>
      </c>
      <c r="L63" s="2408">
        <v>80</v>
      </c>
      <c r="M63" s="3125">
        <v>0.02</v>
      </c>
      <c r="O63" s="2420" t="s">
        <v>2391</v>
      </c>
      <c r="P63" s="2421" t="s">
        <v>2408</v>
      </c>
      <c r="Q63" s="2422">
        <f ca="1">Q57+Q58</f>
        <v>20602</v>
      </c>
      <c r="R63" s="2425" t="s">
        <v>2392</v>
      </c>
    </row>
    <row r="64" spans="1:18" s="2057" customFormat="1" ht="16.5" thickBot="1">
      <c r="A64" s="1646" t="s">
        <v>1890</v>
      </c>
      <c r="B64" s="782" t="s">
        <v>679</v>
      </c>
      <c r="C64" s="53">
        <f ca="1">ROUND(C55*F64,1)</f>
        <v>8</v>
      </c>
      <c r="D64" s="3177" t="s">
        <v>680</v>
      </c>
      <c r="E64" s="782" t="s">
        <v>1747</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177" t="s">
        <v>683</v>
      </c>
      <c r="E65" s="782" t="s">
        <v>1747</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-109</v>
      </c>
      <c r="D66" s="3179" t="s">
        <v>700</v>
      </c>
      <c r="E66" s="3182"/>
      <c r="F66" s="818"/>
      <c r="K66" s="2084"/>
      <c r="O66" s="2420" t="s">
        <v>2379</v>
      </c>
      <c r="P66" s="2421" t="s">
        <v>2409</v>
      </c>
      <c r="Q66" s="2422">
        <f ca="1">C40+J29</f>
        <v>20602</v>
      </c>
      <c r="R66" s="2421" t="s">
        <v>2380</v>
      </c>
    </row>
    <row r="67" spans="1:18" s="2057" customFormat="1" ht="20.25" thickBot="1">
      <c r="A67" s="779" t="s">
        <v>1780</v>
      </c>
      <c r="B67" s="2230" t="s">
        <v>2303</v>
      </c>
      <c r="C67" s="781">
        <f ca="1">ROUND(C66*(1-((1+F69)/(1+F67))^F68)/(F67-F69),0)</f>
        <v>-1590</v>
      </c>
      <c r="D67" s="812" t="s">
        <v>704</v>
      </c>
      <c r="E67" s="782" t="s">
        <v>705</v>
      </c>
      <c r="F67" s="792">
        <f ca="1">F40</f>
        <v>5.5E-2</v>
      </c>
      <c r="K67" s="2084"/>
      <c r="O67" s="2420" t="s">
        <v>2381</v>
      </c>
      <c r="P67" s="2421" t="s">
        <v>2412</v>
      </c>
      <c r="Q67" s="2422">
        <f ca="1">L60</f>
        <v>0</v>
      </c>
      <c r="R67" s="2425" t="s">
        <v>2414</v>
      </c>
    </row>
    <row r="68" spans="1:18" ht="21.75" thickBot="1">
      <c r="A68" s="784"/>
      <c r="B68" s="785"/>
      <c r="C68" s="786"/>
      <c r="D68" s="819" t="s">
        <v>1808</v>
      </c>
      <c r="E68" s="782" t="s">
        <v>1784</v>
      </c>
      <c r="F68" s="820">
        <f ca="1">F41</f>
        <v>30.270000000000003</v>
      </c>
      <c r="O68" s="2423" t="s">
        <v>2383</v>
      </c>
      <c r="P68" s="2421" t="s">
        <v>2413</v>
      </c>
      <c r="Q68" s="2427">
        <f ca="1">L51</f>
        <v>7790</v>
      </c>
      <c r="R68" s="2428" t="s">
        <v>2416</v>
      </c>
    </row>
    <row r="69" spans="1:18" ht="20.25" thickBot="1">
      <c r="A69" s="788"/>
      <c r="B69" s="789"/>
      <c r="C69" s="790"/>
      <c r="D69" s="814"/>
      <c r="E69" s="782" t="s">
        <v>710</v>
      </c>
      <c r="F69" s="2369"/>
      <c r="O69" s="2423" t="s">
        <v>2384</v>
      </c>
      <c r="P69" s="2429" t="s">
        <v>2398</v>
      </c>
      <c r="Q69" s="2422">
        <f ca="1">ROUND(Q70-Q71*Q72,0)</f>
        <v>482</v>
      </c>
      <c r="R69" s="2425"/>
    </row>
    <row r="70" spans="1:18" ht="15.75" thickBot="1">
      <c r="A70" s="821" t="s">
        <v>1787</v>
      </c>
      <c r="B70" s="822" t="s">
        <v>1810</v>
      </c>
      <c r="C70" s="823">
        <f ca="1">ROUND(C67*10000/F70,0)</f>
        <v>-1060</v>
      </c>
      <c r="D70" s="824" t="s">
        <v>1811</v>
      </c>
      <c r="E70" s="825" t="s">
        <v>1812</v>
      </c>
      <c r="F70" s="826">
        <f ca="1">F43</f>
        <v>15000.31</v>
      </c>
      <c r="O70" s="2423" t="s">
        <v>2399</v>
      </c>
      <c r="P70" s="2429" t="s">
        <v>2400</v>
      </c>
      <c r="Q70" s="2422">
        <f ca="1">C39</f>
        <v>937</v>
      </c>
      <c r="R70" s="2421" t="s">
        <v>2380</v>
      </c>
    </row>
    <row r="71" spans="1:18" ht="15.75" thickBot="1">
      <c r="O71" s="2423" t="s">
        <v>2401</v>
      </c>
      <c r="P71" s="2429" t="s">
        <v>2402</v>
      </c>
      <c r="Q71" s="2422">
        <f ca="1">C13</f>
        <v>5349</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20602</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5" sqref="D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151" t="s">
        <v>3486</v>
      </c>
      <c r="E1" s="2409" t="s">
        <v>869</v>
      </c>
      <c r="F1" s="2410">
        <f ca="1">J53</f>
        <v>40.28</v>
      </c>
      <c r="G1" s="772">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629</v>
      </c>
      <c r="B2" s="773">
        <f ca="1">C40+J29+L46</f>
        <v>23425</v>
      </c>
      <c r="C2" s="2055"/>
      <c r="D2" s="2053"/>
      <c r="E2" s="2054"/>
      <c r="F2" s="2054"/>
      <c r="G2" s="1587"/>
      <c r="H2" s="2055"/>
      <c r="I2" s="2055"/>
      <c r="J2" s="2055"/>
      <c r="K2" s="2056"/>
      <c r="L2" s="2055"/>
      <c r="M2" s="2055"/>
    </row>
    <row r="3" spans="1:33" ht="18" customHeight="1" thickBot="1">
      <c r="A3" s="831" t="s">
        <v>794</v>
      </c>
      <c r="B3" s="832">
        <f ca="1">IF(ISERROR(B2*10000/F43),0,ROUND(B2*10000/F43,0))</f>
        <v>2764</v>
      </c>
      <c r="C3" s="2055"/>
      <c r="D3" s="2053"/>
      <c r="E3" s="2054"/>
      <c r="F3" s="2054"/>
      <c r="G3" s="1587"/>
      <c r="H3" s="774" t="s">
        <v>695</v>
      </c>
      <c r="I3" s="1361"/>
      <c r="J3" s="1361"/>
      <c r="K3" s="1588"/>
      <c r="L3" s="1361"/>
      <c r="M3" s="1361"/>
    </row>
    <row r="4" spans="1:33" ht="18" customHeight="1">
      <c r="A4" s="775" t="s">
        <v>1728</v>
      </c>
      <c r="B4" s="776" t="s">
        <v>631</v>
      </c>
      <c r="C4" s="776" t="s">
        <v>1730</v>
      </c>
      <c r="D4" s="776" t="s">
        <v>633</v>
      </c>
      <c r="E4" s="777" t="s">
        <v>1731</v>
      </c>
      <c r="F4" s="778"/>
      <c r="G4" s="1589"/>
      <c r="H4" s="775" t="s">
        <v>1728</v>
      </c>
      <c r="I4" s="776" t="s">
        <v>631</v>
      </c>
      <c r="J4" s="776" t="s">
        <v>1730</v>
      </c>
      <c r="K4" s="776" t="s">
        <v>633</v>
      </c>
      <c r="L4" s="777" t="s">
        <v>1731</v>
      </c>
      <c r="M4" s="778"/>
    </row>
    <row r="5" spans="1:33" ht="18" customHeight="1">
      <c r="A5" s="779">
        <v>1</v>
      </c>
      <c r="B5" s="780" t="s">
        <v>2458</v>
      </c>
      <c r="C5" s="55">
        <f ca="1">C6+C10+C12</f>
        <v>1670</v>
      </c>
      <c r="D5" s="2518" t="s">
        <v>2461</v>
      </c>
      <c r="E5" s="2512"/>
      <c r="F5" s="2513"/>
      <c r="G5" s="1589"/>
      <c r="H5" s="779">
        <v>1</v>
      </c>
      <c r="I5" s="780" t="s">
        <v>2458</v>
      </c>
      <c r="J5" s="55">
        <f ca="1">J6+J10+J12</f>
        <v>0</v>
      </c>
      <c r="K5" s="2518" t="s">
        <v>2461</v>
      </c>
      <c r="L5" s="2512"/>
      <c r="M5" s="2513"/>
    </row>
    <row r="6" spans="1:33" ht="18" customHeight="1">
      <c r="A6" s="1828" t="s">
        <v>1824</v>
      </c>
      <c r="B6" s="4267" t="s">
        <v>2463</v>
      </c>
      <c r="C6" s="781">
        <f ca="1">ROUND(F6*F8*F7*(1-F9)/10000,0)</f>
        <v>1670</v>
      </c>
      <c r="D6" s="2519" t="s">
        <v>2462</v>
      </c>
      <c r="E6" s="782" t="s">
        <v>637</v>
      </c>
      <c r="F6" s="783">
        <f ca="1">INDIRECT("'数据-取费表'!u"&amp;$G$1)</f>
        <v>0.6</v>
      </c>
      <c r="G6" s="1589"/>
      <c r="H6" s="2526" t="s">
        <v>1824</v>
      </c>
      <c r="I6" s="4267" t="s">
        <v>2463</v>
      </c>
      <c r="J6" s="781">
        <f ca="1">ROUND(M6*M8*M7*(1-M9)/10000,0)</f>
        <v>0</v>
      </c>
      <c r="K6" s="339" t="s">
        <v>1737</v>
      </c>
      <c r="L6" s="782" t="s">
        <v>637</v>
      </c>
      <c r="M6" s="783">
        <f ca="1">INDIRECT("'数据-取费表'!z"&amp;$G$1)</f>
        <v>0</v>
      </c>
    </row>
    <row r="7" spans="1:33" ht="18" customHeight="1">
      <c r="A7" s="2522"/>
      <c r="B7" s="4268"/>
      <c r="C7" s="786"/>
      <c r="D7" s="787"/>
      <c r="E7" s="782" t="s">
        <v>638</v>
      </c>
      <c r="F7" s="783">
        <f ca="1">IF(INDIRECT("'数据-取费表'!ah"&amp;$G$1)="",INDIRECT("'数据-取费表'!k"&amp;$G$1),INDIRECT("'数据-取费表'!ah"&amp;$G$1))</f>
        <v>84751.42</v>
      </c>
      <c r="G7" s="1589"/>
      <c r="H7" s="2511"/>
      <c r="I7" s="4268"/>
      <c r="J7" s="786"/>
      <c r="K7" s="787"/>
      <c r="L7" s="782" t="s">
        <v>638</v>
      </c>
      <c r="M7" s="783">
        <f ca="1">F7</f>
        <v>84751.42</v>
      </c>
    </row>
    <row r="8" spans="1:33" ht="18" customHeight="1">
      <c r="A8" s="2515"/>
      <c r="B8" s="4269"/>
      <c r="C8" s="786"/>
      <c r="D8" s="787"/>
      <c r="E8" s="782" t="s">
        <v>639</v>
      </c>
      <c r="F8" s="783">
        <f ca="1">INDIRECT("'数据-取费表'!ai"&amp;$G$1)</f>
        <v>365</v>
      </c>
      <c r="G8" s="1589"/>
      <c r="H8" s="2511"/>
      <c r="I8" s="4269"/>
      <c r="J8" s="786"/>
      <c r="K8" s="787"/>
      <c r="L8" s="782" t="s">
        <v>639</v>
      </c>
      <c r="M8" s="783">
        <f ca="1">INDIRECT("'数据-取费表'!ai"&amp;$G$1)</f>
        <v>365</v>
      </c>
    </row>
    <row r="9" spans="1:33" ht="18" customHeight="1">
      <c r="A9" s="784"/>
      <c r="B9" s="4270"/>
      <c r="C9" s="786"/>
      <c r="D9" s="787"/>
      <c r="E9" s="782" t="s">
        <v>640</v>
      </c>
      <c r="F9" s="792">
        <f ca="1">INDIRECT("'数据-取费表'!w"&amp;$G$1)</f>
        <v>0.1</v>
      </c>
      <c r="G9" s="1589"/>
      <c r="H9" s="2527"/>
      <c r="I9" s="4269"/>
      <c r="J9" s="786"/>
      <c r="K9" s="787"/>
      <c r="L9" s="793" t="s">
        <v>640</v>
      </c>
      <c r="M9" s="794">
        <f ca="1">INDIRECT("'数据-取费表'!ab"&amp;$G$1)</f>
        <v>0</v>
      </c>
    </row>
    <row r="10" spans="1:33" ht="18" customHeight="1">
      <c r="A10" s="1828" t="s">
        <v>1825</v>
      </c>
      <c r="B10" s="2516" t="s">
        <v>2459</v>
      </c>
      <c r="C10" s="797">
        <f ca="1">ROUND(IF(F10="押一",C6/12*F11,IF(F10="押二",C6/12*2*F11,IF(F10="押三",C6/12*3*F11,C11*F11))),0)</f>
        <v>0</v>
      </c>
      <c r="D10" s="2523" t="s">
        <v>2964</v>
      </c>
      <c r="E10" s="2520" t="s">
        <v>2464</v>
      </c>
      <c r="F10" s="2643"/>
      <c r="G10" s="1589"/>
      <c r="H10" s="2583" t="s">
        <v>1825</v>
      </c>
      <c r="I10" s="2588" t="s">
        <v>2459</v>
      </c>
      <c r="J10" s="781">
        <f ca="1">ROUND(IF(M10="押一",J6/12*M11,IF(M10="押二",J6/12*2*M11,IF(M10="押三",J6/12*3*M11,J11*M11))),0)</f>
        <v>0</v>
      </c>
      <c r="K10" s="2523" t="s">
        <v>2964</v>
      </c>
      <c r="L10" s="2520" t="s">
        <v>2464</v>
      </c>
      <c r="M10" s="2643"/>
    </row>
    <row r="11" spans="1:33" ht="18" customHeight="1">
      <c r="A11" s="788"/>
      <c r="B11" s="2517" t="s">
        <v>2573</v>
      </c>
      <c r="C11" s="2521"/>
      <c r="D11" s="787"/>
      <c r="E11" s="2520" t="s">
        <v>2456</v>
      </c>
      <c r="F11" s="794">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644</v>
      </c>
      <c r="C13" s="790">
        <f ca="1">ROUND(C29*F13,0)</f>
        <v>22951</v>
      </c>
      <c r="D13" s="1832" t="s">
        <v>2299</v>
      </c>
      <c r="E13" s="1832" t="s">
        <v>643</v>
      </c>
      <c r="F13" s="2558">
        <f ca="1">INDIRECT("'数据-取费表'!y"&amp;$G$1)</f>
        <v>1</v>
      </c>
      <c r="G13" s="1589"/>
      <c r="H13" s="1827">
        <v>2</v>
      </c>
      <c r="I13" s="1825" t="s">
        <v>644</v>
      </c>
      <c r="J13" s="1817">
        <f ca="1">ROUND(J14*J15,0)</f>
        <v>0</v>
      </c>
      <c r="K13" s="1819" t="s">
        <v>1743</v>
      </c>
      <c r="L13" s="2574"/>
      <c r="M13" s="2575"/>
    </row>
    <row r="14" spans="1:33" ht="18" customHeight="1">
      <c r="A14" s="1645" t="s">
        <v>1831</v>
      </c>
      <c r="B14" s="782" t="s">
        <v>645</v>
      </c>
      <c r="C14" s="802">
        <f ca="1">INDIRECT("'数据-取费表'!m"&amp;$G$1)+INDIRECT("'数据-取费表'!t"&amp;$G$1)</f>
        <v>16222</v>
      </c>
      <c r="D14" s="3414" t="s">
        <v>1745</v>
      </c>
      <c r="E14" s="3415"/>
      <c r="F14" s="803"/>
      <c r="G14" s="1589"/>
      <c r="H14" s="1646" t="s">
        <v>1824</v>
      </c>
      <c r="I14" s="2229" t="s">
        <v>2824</v>
      </c>
      <c r="J14" s="53">
        <f ca="1">C29</f>
        <v>22951</v>
      </c>
      <c r="K14" s="26"/>
      <c r="L14" s="799"/>
      <c r="M14" s="800"/>
    </row>
    <row r="15" spans="1:33" s="2062" customFormat="1" ht="18" customHeight="1" thickBot="1">
      <c r="A15" s="1645" t="s">
        <v>1832</v>
      </c>
      <c r="B15" s="782" t="s">
        <v>647</v>
      </c>
      <c r="C15" s="53">
        <f ca="1">ROUND(C14*F15,0)</f>
        <v>487</v>
      </c>
      <c r="D15" s="804" t="s">
        <v>648</v>
      </c>
      <c r="E15" s="804" t="s">
        <v>649</v>
      </c>
      <c r="F15" s="805">
        <f>'数据-取费表'!B33</f>
        <v>0.03</v>
      </c>
      <c r="G15" s="1590"/>
      <c r="H15" s="2573" t="s">
        <v>1889</v>
      </c>
      <c r="I15" s="2568" t="s">
        <v>643</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1833</v>
      </c>
      <c r="B16" s="782" t="s">
        <v>650</v>
      </c>
      <c r="C16" s="53">
        <f ca="1">ROUND(INDIRECT("'数据-取费表'!m"&amp;$G$1)*F16,0)</f>
        <v>0</v>
      </c>
      <c r="D16" s="782" t="s">
        <v>648</v>
      </c>
      <c r="E16" s="782" t="s">
        <v>649</v>
      </c>
      <c r="F16" s="807">
        <f ca="1">IF(INDIRECT("'数据-取费表'!c"&amp;$G$1)="住宅",'数据-取费表'!B34,0)</f>
        <v>0</v>
      </c>
      <c r="G16" s="1589"/>
      <c r="H16" s="1827" t="s">
        <v>1748</v>
      </c>
      <c r="I16" s="1825" t="s">
        <v>651</v>
      </c>
      <c r="J16" s="790">
        <f ca="1">ROUND(J17+J22+J23+J24,0)</f>
        <v>2388</v>
      </c>
      <c r="K16" s="1819" t="s">
        <v>652</v>
      </c>
      <c r="L16" s="3416"/>
      <c r="M16" s="2513"/>
    </row>
    <row r="17" spans="1:33" s="2062" customFormat="1" ht="18" customHeight="1">
      <c r="A17" s="1645" t="s">
        <v>1887</v>
      </c>
      <c r="B17" s="782" t="s">
        <v>653</v>
      </c>
      <c r="C17" s="53">
        <f ca="1">ROUND(F17*(F43+INDIRECT("'数据-取费表'!S"&amp;$G$1))/10000,0)</f>
        <v>1802</v>
      </c>
      <c r="D17" s="782" t="s">
        <v>654</v>
      </c>
      <c r="E17" s="782" t="s">
        <v>1752</v>
      </c>
      <c r="F17" s="56">
        <f>'数据-取费表'!B35</f>
        <v>200</v>
      </c>
      <c r="G17" s="1590"/>
      <c r="H17" s="1646" t="s">
        <v>1824</v>
      </c>
      <c r="I17" s="782" t="s">
        <v>656</v>
      </c>
      <c r="J17" s="53">
        <f ca="1">ROUND(IF(项目基本情况!B11="自然人",J5*M17,J18+J19+J20),0)</f>
        <v>2044</v>
      </c>
      <c r="K17" s="3414" t="s">
        <v>657</v>
      </c>
      <c r="L17" s="3413"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243</v>
      </c>
      <c r="D18" s="782" t="s">
        <v>648</v>
      </c>
      <c r="E18" s="782" t="s">
        <v>649</v>
      </c>
      <c r="F18" s="807">
        <f>'数据-取费表'!B36</f>
        <v>1.4999999999999999E-2</v>
      </c>
      <c r="G18" s="1590"/>
      <c r="H18" s="1645" t="s">
        <v>1831</v>
      </c>
      <c r="I18" s="782" t="s">
        <v>1755</v>
      </c>
      <c r="J18" s="53">
        <f ca="1">ROUND(J5*M18/1.05,1)</f>
        <v>0</v>
      </c>
      <c r="K18" s="3413" t="s">
        <v>661</v>
      </c>
      <c r="L18" s="782" t="s">
        <v>649</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1824</v>
      </c>
      <c r="B19" s="782" t="s">
        <v>662</v>
      </c>
      <c r="C19" s="53">
        <f ca="1">SUM(C14:C18)</f>
        <v>18754</v>
      </c>
      <c r="D19" s="259" t="s">
        <v>663</v>
      </c>
      <c r="E19" s="3418"/>
      <c r="F19" s="56"/>
      <c r="G19" s="1589"/>
      <c r="H19" s="1645" t="s">
        <v>1832</v>
      </c>
      <c r="I19" s="782" t="s">
        <v>664</v>
      </c>
      <c r="J19" s="53">
        <f ca="1">IF(K19="按租金收入计税",ROUND(J5*M19,1),ROUND(C29*F33*0.7,1))</f>
        <v>1927.9</v>
      </c>
      <c r="K19" s="809" t="s">
        <v>665</v>
      </c>
      <c r="L19" s="782" t="s">
        <v>649</v>
      </c>
      <c r="M19" s="807">
        <f>IF(K19="按租金收入计税",'数据-取费表'!B51,'数据-取费表'!B50)</f>
        <v>1.2E-2</v>
      </c>
    </row>
    <row r="20" spans="1:33" s="2062" customFormat="1" ht="18" customHeight="1">
      <c r="A20" s="1646" t="s">
        <v>1889</v>
      </c>
      <c r="B20" s="782" t="s">
        <v>666</v>
      </c>
      <c r="C20" s="53">
        <f ca="1">ROUND(C19*F20,0)</f>
        <v>281</v>
      </c>
      <c r="D20" s="810" t="s">
        <v>1759</v>
      </c>
      <c r="E20" s="782" t="s">
        <v>649</v>
      </c>
      <c r="F20" s="807">
        <f>'数据-取费表'!B37</f>
        <v>1.4999999999999999E-2</v>
      </c>
      <c r="G20" s="1590"/>
      <c r="H20" s="1648" t="s">
        <v>1833</v>
      </c>
      <c r="I20" s="339" t="s">
        <v>1760</v>
      </c>
      <c r="J20" s="54">
        <f ca="1">ROUND(M20*M21/10000,0)</f>
        <v>116</v>
      </c>
      <c r="K20" s="812" t="s">
        <v>669</v>
      </c>
      <c r="L20" s="782" t="s">
        <v>1762</v>
      </c>
      <c r="M20" s="638">
        <f>'数据-取费表'!B52</f>
        <v>14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671</v>
      </c>
      <c r="C21" s="53" t="s">
        <v>1764</v>
      </c>
      <c r="D21" s="810" t="s">
        <v>2300</v>
      </c>
      <c r="E21" s="782" t="s">
        <v>1765</v>
      </c>
      <c r="F21" s="807">
        <f>'数据-取费表'!B38</f>
        <v>0.02</v>
      </c>
      <c r="G21" s="1590"/>
      <c r="H21" s="2528"/>
      <c r="I21" s="791"/>
      <c r="J21" s="69"/>
      <c r="K21" s="814"/>
      <c r="L21" s="782" t="s">
        <v>1766</v>
      </c>
      <c r="M21" s="783">
        <f ca="1">INDIRECT("'数据-取费表'!r"&amp;$G$1)</f>
        <v>82710.61</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675</v>
      </c>
      <c r="C22" s="53"/>
      <c r="D22" s="2594" t="str">
        <f>IF(F23&lt;=1,"单利计息。","复利计息。")&amp;"建造成本、管理费用、销售费用产生的利息。"</f>
        <v>复利计息。建造成本、管理费用、销售费用产生的利息。</v>
      </c>
      <c r="E22" s="3418"/>
      <c r="F22" s="56"/>
      <c r="G22" s="1589"/>
      <c r="H22" s="1646" t="s">
        <v>1889</v>
      </c>
      <c r="I22" s="782" t="s">
        <v>676</v>
      </c>
      <c r="J22" s="53">
        <f ca="1">ROUND(J14*M22,0)</f>
        <v>344</v>
      </c>
      <c r="K22" s="3413" t="s">
        <v>1769</v>
      </c>
      <c r="L22" s="782" t="s">
        <v>649</v>
      </c>
      <c r="M22" s="815">
        <f ca="1">INDIRECT("'数据-取费表'!Ak"&amp;$G$1)</f>
        <v>1.4999999999999999E-2</v>
      </c>
    </row>
    <row r="23" spans="1:33" s="2062" customFormat="1" ht="18" customHeight="1">
      <c r="A23" s="1645" t="s">
        <v>1831</v>
      </c>
      <c r="B23" s="782" t="s">
        <v>2437</v>
      </c>
      <c r="C23" s="53">
        <f ca="1">ROUND(IF('数据-取费表'!B22&lt;=1,(C19+C20)*F24*F23/2,(C19+C20)*(POWER((1+F24),F23/2)-1)),0)</f>
        <v>1610</v>
      </c>
      <c r="D23" s="2593" t="str">
        <f>IF(F23&lt;=1,"(建造成本+管理费用)×利率×(建设周期÷2)","(建造成本+管理费用)×((1+利率)^(建设周期÷2)-1)")</f>
        <v>(建造成本+管理费用)×((1+利率)^(建设周期÷2)-1)</v>
      </c>
      <c r="E23" s="782" t="s">
        <v>1770</v>
      </c>
      <c r="F23" s="638">
        <f>'数据-取费表'!B20</f>
        <v>3.5</v>
      </c>
      <c r="G23" s="1590"/>
      <c r="H23" s="1646" t="s">
        <v>1890</v>
      </c>
      <c r="I23" s="782" t="s">
        <v>679</v>
      </c>
      <c r="J23" s="53">
        <f ca="1">ROUND(J13*M23,0)</f>
        <v>0</v>
      </c>
      <c r="K23" s="3413" t="s">
        <v>680</v>
      </c>
      <c r="L23" s="782" t="s">
        <v>649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1.6999999999999999E-3</v>
      </c>
      <c r="D24" s="2593" t="str">
        <f>IF(F23&lt;=1,"销售费用×利率×(建设周期÷2)","销售费用×((1+利率)^(建设周期÷2)-1)")</f>
        <v>销售费用×((1+利率)^(建设周期÷2)-1)</v>
      </c>
      <c r="E24" s="782" t="s">
        <v>1773</v>
      </c>
      <c r="F24" s="817">
        <f ca="1">'数据-取费表'!B40</f>
        <v>4.7500000000000001E-2</v>
      </c>
      <c r="G24" s="1590"/>
      <c r="H24" s="2573" t="s">
        <v>1891</v>
      </c>
      <c r="I24" s="2568" t="s">
        <v>666</v>
      </c>
      <c r="J24" s="2566">
        <f ca="1">ROUND(J5*M24,0)</f>
        <v>0</v>
      </c>
      <c r="K24" s="2567" t="s">
        <v>1774</v>
      </c>
      <c r="L24" s="2568" t="s">
        <v>649</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3418"/>
      <c r="F25" s="56"/>
      <c r="G25" s="1589"/>
      <c r="H25" s="1827" t="s">
        <v>1776</v>
      </c>
      <c r="I25" s="3032" t="s">
        <v>2821</v>
      </c>
      <c r="J25" s="790">
        <f ca="1">J5-J16</f>
        <v>-2388</v>
      </c>
      <c r="K25" s="2570" t="s">
        <v>700</v>
      </c>
      <c r="L25" s="2571"/>
      <c r="M25" s="2572"/>
    </row>
    <row r="26" spans="1:33" ht="18" customHeight="1">
      <c r="A26" s="1645" t="s">
        <v>1831</v>
      </c>
      <c r="B26" s="782" t="s">
        <v>2438</v>
      </c>
      <c r="C26" s="53">
        <f ca="1">ROUND((C19+C20)*F26,0)</f>
        <v>571</v>
      </c>
      <c r="D26" s="810" t="s">
        <v>701</v>
      </c>
      <c r="E26" s="793" t="s">
        <v>702</v>
      </c>
      <c r="F26" s="792">
        <f ca="1">INDIRECT("'数据-取费表'!q"&amp;$G$1)</f>
        <v>0.03</v>
      </c>
      <c r="G26" s="1589"/>
      <c r="H26" s="2524" t="s">
        <v>1780</v>
      </c>
      <c r="I26" s="2230" t="s">
        <v>2826</v>
      </c>
      <c r="J26" s="781">
        <f ca="1">IF(J5&lt;&gt;0,ROUND(J25*(1-((1+M28)/(1+M26))^M27)/(M26-M28),0),0)</f>
        <v>0</v>
      </c>
      <c r="K26" s="812" t="s">
        <v>704</v>
      </c>
      <c r="L26" s="782" t="s">
        <v>2419</v>
      </c>
      <c r="M26" s="792">
        <f ca="1">INDIRECT("'数据-取费表'!I"&amp;$G$1)</f>
        <v>0.05</v>
      </c>
    </row>
    <row r="27" spans="1:33" ht="18" customHeight="1">
      <c r="A27" s="1645" t="s">
        <v>1832</v>
      </c>
      <c r="B27" s="782" t="s">
        <v>686</v>
      </c>
      <c r="C27" s="53">
        <f ca="1">ROUND(F21*F26,4)</f>
        <v>5.9999999999999995E-4</v>
      </c>
      <c r="D27" s="810" t="s">
        <v>1782</v>
      </c>
      <c r="E27" s="804"/>
      <c r="F27" s="805"/>
      <c r="G27" s="1589"/>
      <c r="H27" s="2525"/>
      <c r="I27" s="785"/>
      <c r="J27" s="786"/>
      <c r="K27" s="819" t="s">
        <v>707</v>
      </c>
      <c r="L27" s="782" t="s">
        <v>708</v>
      </c>
      <c r="M27" s="820">
        <f ca="1">INDIRECT("'数据-取费表'!ag"&amp;$G$1)</f>
        <v>0</v>
      </c>
    </row>
    <row r="28" spans="1:33" s="2062" customFormat="1" ht="18" customHeight="1">
      <c r="A28" s="1647" t="s">
        <v>1841</v>
      </c>
      <c r="B28" s="782" t="s">
        <v>687</v>
      </c>
      <c r="C28" s="53">
        <f>ROUND(F28/(1+'数据-取费表'!C42),4)</f>
        <v>5.33E-2</v>
      </c>
      <c r="D28" s="810" t="s">
        <v>2301</v>
      </c>
      <c r="E28" s="782" t="s">
        <v>649</v>
      </c>
      <c r="F28" s="807">
        <f>'数据-取费表'!B41</f>
        <v>5.6000000000000001E-2</v>
      </c>
      <c r="G28" s="1590"/>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2302</v>
      </c>
      <c r="C29" s="2566">
        <f ca="1">ROUND((C19+C20+C23+C26)/(1-F21-C24-C27-C28),0)</f>
        <v>22951</v>
      </c>
      <c r="D29" s="2567"/>
      <c r="E29" s="2568"/>
      <c r="F29" s="2569"/>
      <c r="G29" s="1590"/>
      <c r="H29" s="821" t="s">
        <v>1787</v>
      </c>
      <c r="I29" s="822" t="s">
        <v>1788</v>
      </c>
      <c r="J29" s="823">
        <f ca="1">ROUND(J26/(1+F40)^F41,0)</f>
        <v>0</v>
      </c>
      <c r="K29" s="824" t="s">
        <v>1789</v>
      </c>
      <c r="L29" s="825"/>
      <c r="M29" s="826">
        <f ca="1">INDIRECT("'数据-取费表'!k"&amp;$G$1)</f>
        <v>84751.42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0">
        <f ca="1">ROUND(C31+C36+C37+C38,0)</f>
        <v>801</v>
      </c>
      <c r="D30" s="1819" t="s">
        <v>652</v>
      </c>
      <c r="E30" s="3416"/>
      <c r="F30" s="2513"/>
      <c r="G30" s="2060"/>
      <c r="H30" s="2063"/>
      <c r="I30" s="2064"/>
      <c r="J30" s="2065"/>
      <c r="K30" s="2066"/>
      <c r="L30" s="2067"/>
      <c r="M30" s="2068"/>
    </row>
    <row r="31" spans="1:33" ht="18" customHeight="1">
      <c r="A31" s="1646" t="s">
        <v>1824</v>
      </c>
      <c r="B31" s="782" t="s">
        <v>656</v>
      </c>
      <c r="C31" s="53">
        <f ca="1">ROUND(IF(项目基本情况!B11="自然人",C5*F31,C32+C33+C34),1)</f>
        <v>405.3</v>
      </c>
      <c r="D31" s="3414" t="s">
        <v>657</v>
      </c>
      <c r="E31" s="34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1755</v>
      </c>
      <c r="C32" s="53">
        <f ca="1">ROUND(C5*F32/1.05,1)</f>
        <v>89.1</v>
      </c>
      <c r="D32" s="3413" t="s">
        <v>661</v>
      </c>
      <c r="E32" s="782" t="s">
        <v>649</v>
      </c>
      <c r="F32" s="807">
        <f>'数据-取费表'!B41</f>
        <v>5.6000000000000001E-2</v>
      </c>
      <c r="G32" s="2060"/>
      <c r="H32" s="2069"/>
      <c r="I32" s="2070"/>
      <c r="J32" s="2071"/>
      <c r="K32" s="2072"/>
      <c r="L32" s="2073"/>
      <c r="M32" s="2074"/>
    </row>
    <row r="33" spans="1:18" ht="18" customHeight="1">
      <c r="A33" s="1645" t="s">
        <v>1832</v>
      </c>
      <c r="B33" s="782" t="s">
        <v>664</v>
      </c>
      <c r="C33" s="53">
        <f ca="1">IF(D33="按租金收入计税",ROUND(C5*F33,1),IF(D33="按房产原值计税",ROUND(C29*F33*0.7,1),INDIRECT("'数据-取费表'!Aj"&amp;$G$1)))</f>
        <v>200.4</v>
      </c>
      <c r="D33" s="809" t="s">
        <v>3485</v>
      </c>
      <c r="E33" s="782" t="s">
        <v>649</v>
      </c>
      <c r="F33" s="807">
        <f>IF(D33="按租金收入计税",'数据-取费表'!B51,'数据-取费表'!B50)</f>
        <v>0.12</v>
      </c>
      <c r="G33" s="2060"/>
      <c r="H33" s="2075"/>
      <c r="I33" s="2075"/>
      <c r="J33" s="2075"/>
      <c r="K33" s="2076"/>
      <c r="L33" s="2075"/>
      <c r="M33" s="2075"/>
    </row>
    <row r="34" spans="1:18" ht="18" customHeight="1">
      <c r="A34" s="1648" t="s">
        <v>1833</v>
      </c>
      <c r="B34" s="339" t="s">
        <v>1760</v>
      </c>
      <c r="C34" s="54">
        <f ca="1">ROUND(F34*F35/10000,1)</f>
        <v>115.8</v>
      </c>
      <c r="D34" s="812" t="s">
        <v>669</v>
      </c>
      <c r="E34" s="782" t="s">
        <v>1762</v>
      </c>
      <c r="F34" s="638">
        <f>'数据-取费表'!B52</f>
        <v>14</v>
      </c>
      <c r="G34" s="2060"/>
      <c r="H34" s="2063"/>
      <c r="I34" s="833" t="s">
        <v>1813</v>
      </c>
      <c r="J34" s="834"/>
      <c r="K34" s="2078"/>
      <c r="L34" s="2077"/>
      <c r="M34" s="2077"/>
    </row>
    <row r="35" spans="1:18" ht="18" customHeight="1">
      <c r="A35" s="813"/>
      <c r="B35" s="791"/>
      <c r="C35" s="69"/>
      <c r="D35" s="814"/>
      <c r="E35" s="782" t="s">
        <v>1766</v>
      </c>
      <c r="F35" s="783">
        <f ca="1">INDIRECT("'数据-取费表'!r"&amp;$G$1)</f>
        <v>82710.61</v>
      </c>
      <c r="G35" s="2060"/>
      <c r="H35" s="2063"/>
      <c r="I35" s="835" t="s">
        <v>1814</v>
      </c>
      <c r="J35" s="836">
        <f ca="1">ROUND(C13*J36,0)</f>
        <v>1951</v>
      </c>
      <c r="K35" s="2076"/>
      <c r="L35" s="2075"/>
      <c r="M35" s="2075"/>
    </row>
    <row r="36" spans="1:18" ht="18" customHeight="1">
      <c r="A36" s="1646" t="s">
        <v>1889</v>
      </c>
      <c r="B36" s="782" t="s">
        <v>676</v>
      </c>
      <c r="C36" s="53">
        <f ca="1">ROUND(C29*F36,1)</f>
        <v>344.3</v>
      </c>
      <c r="D36" s="3413" t="s">
        <v>691</v>
      </c>
      <c r="E36" s="782" t="s">
        <v>649</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34.4</v>
      </c>
      <c r="D37" s="3413" t="s">
        <v>680</v>
      </c>
      <c r="E37" s="782" t="s">
        <v>649</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16.7</v>
      </c>
      <c r="D38" s="2567" t="s">
        <v>1774</v>
      </c>
      <c r="E38" s="2568" t="s">
        <v>649</v>
      </c>
      <c r="F38" s="2564">
        <f ca="1">INDIRECT("'数据-取费表'!Am"&amp;$G$1)</f>
        <v>0.01</v>
      </c>
      <c r="G38" s="2060"/>
      <c r="H38" s="2075"/>
      <c r="I38" s="841" t="s">
        <v>1817</v>
      </c>
      <c r="J38" s="842"/>
      <c r="K38" s="2081"/>
      <c r="L38" s="2075"/>
      <c r="M38" s="2075"/>
    </row>
    <row r="39" spans="1:18" ht="24.6" customHeight="1" thickTop="1">
      <c r="A39" s="1827" t="s">
        <v>1776</v>
      </c>
      <c r="B39" s="3032" t="s">
        <v>2821</v>
      </c>
      <c r="C39" s="790">
        <f ca="1">C5-C30</f>
        <v>869</v>
      </c>
      <c r="D39" s="2570" t="s">
        <v>700</v>
      </c>
      <c r="E39" s="2571"/>
      <c r="F39" s="2572"/>
      <c r="G39" s="2060"/>
      <c r="H39" s="2075"/>
      <c r="I39" s="835" t="s">
        <v>1818</v>
      </c>
      <c r="J39" s="843">
        <f ca="1">ROUND(J35/C39,3)</f>
        <v>2.2450000000000001</v>
      </c>
      <c r="K39" s="2081"/>
      <c r="L39" s="2075"/>
      <c r="M39" s="2075"/>
    </row>
    <row r="40" spans="1:18" ht="18" customHeight="1">
      <c r="A40" s="779" t="s">
        <v>1780</v>
      </c>
      <c r="B40" s="2230" t="s">
        <v>2303</v>
      </c>
      <c r="C40" s="781">
        <f ca="1">ROUND(C39*(1-((1+F42)/(1+F40))^F41)/(F40-F42),0)</f>
        <v>23425</v>
      </c>
      <c r="D40" s="812" t="s">
        <v>704</v>
      </c>
      <c r="E40" s="782" t="s">
        <v>2419</v>
      </c>
      <c r="F40" s="792">
        <f ca="1">INDIRECT("'数据-取费表'!I"&amp;$G$1)</f>
        <v>0.05</v>
      </c>
      <c r="G40" s="2060"/>
      <c r="H40" s="2060"/>
      <c r="I40" s="835" t="s">
        <v>1819</v>
      </c>
      <c r="J40" s="843">
        <f ca="1">1-J39</f>
        <v>-1.2450000000000001</v>
      </c>
      <c r="K40" s="2081"/>
      <c r="L40" s="2060"/>
      <c r="M40" s="2060"/>
    </row>
    <row r="41" spans="1:18" ht="18" customHeight="1">
      <c r="A41" s="784"/>
      <c r="B41" s="785"/>
      <c r="C41" s="786"/>
      <c r="D41" s="819" t="s">
        <v>1808</v>
      </c>
      <c r="E41" s="782" t="s">
        <v>708</v>
      </c>
      <c r="F41" s="820">
        <f ca="1">IF(INDIRECT("'数据-取费表'!af"&amp;$G$1)=0,INDIRECT("'数据-取费表'!ae"&amp;$G$1),INDIRECT("'数据-取费表'!af"&amp;$G$1))</f>
        <v>40.28</v>
      </c>
      <c r="G41" s="2060"/>
      <c r="H41" s="1986"/>
      <c r="I41" s="841" t="s">
        <v>1820</v>
      </c>
      <c r="J41" s="844"/>
      <c r="K41" s="2080"/>
      <c r="L41" s="1986"/>
      <c r="M41" s="1986"/>
    </row>
    <row r="42" spans="1:18" ht="18" customHeight="1">
      <c r="A42" s="788"/>
      <c r="B42" s="789"/>
      <c r="C42" s="790"/>
      <c r="D42" s="814"/>
      <c r="E42" s="782" t="s">
        <v>1786</v>
      </c>
      <c r="F42" s="792">
        <f ca="1">INDIRECT("'数据-取费表'!v"&amp;$G$1)</f>
        <v>0.03</v>
      </c>
      <c r="G42" s="2060"/>
      <c r="H42" s="1986"/>
      <c r="I42" s="845" t="s">
        <v>1821</v>
      </c>
      <c r="J42" s="843">
        <f ca="1">ROUND(C13/C40,3)</f>
        <v>0.98</v>
      </c>
      <c r="K42" s="2080"/>
      <c r="L42" s="1986"/>
      <c r="M42" s="1986"/>
    </row>
    <row r="43" spans="1:18" ht="18" customHeight="1" thickBot="1">
      <c r="A43" s="821" t="s">
        <v>1787</v>
      </c>
      <c r="B43" s="822" t="s">
        <v>1810</v>
      </c>
      <c r="C43" s="823">
        <f ca="1">ROUND(C40*10000/F43,0)</f>
        <v>2764</v>
      </c>
      <c r="D43" s="824" t="s">
        <v>1811</v>
      </c>
      <c r="E43" s="825" t="s">
        <v>1812</v>
      </c>
      <c r="F43" s="826">
        <f ca="1">INDIRECT("'数据-取费表'!k"&amp;$G$1)</f>
        <v>84751.42</v>
      </c>
      <c r="G43" s="2060"/>
      <c r="H43" s="1986"/>
      <c r="I43" s="845" t="s">
        <v>1822</v>
      </c>
      <c r="J43" s="846">
        <f ca="1">1-J42</f>
        <v>2.0000000000000018E-2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6">
        <f ca="1">C67-C40</f>
        <v>-31938</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635</v>
      </c>
      <c r="C47" s="2596">
        <f ca="1">C48+C52+C54</f>
        <v>0</v>
      </c>
      <c r="D47" s="2083"/>
      <c r="E47" s="2083"/>
      <c r="F47" s="2083"/>
      <c r="I47" s="2380" t="s">
        <v>2343</v>
      </c>
      <c r="J47" s="2385" t="s">
        <v>3484</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1870</v>
      </c>
      <c r="B48" s="2665" t="s">
        <v>2538</v>
      </c>
      <c r="C48" s="2372">
        <f ca="1">ROUND(F48*F50*F49*(1-F51)/10000,0)</f>
        <v>0</v>
      </c>
      <c r="D48" s="2373" t="s">
        <v>636</v>
      </c>
      <c r="E48" s="2374" t="s">
        <v>2298</v>
      </c>
      <c r="F48" s="2375"/>
      <c r="G48" s="2088"/>
      <c r="I48" s="2381" t="s">
        <v>2344</v>
      </c>
      <c r="J48" s="2388" t="s">
        <v>2350</v>
      </c>
      <c r="K48" s="2389" t="s">
        <v>2351</v>
      </c>
      <c r="L48" s="2390">
        <f ca="1">INDIRECT("'数据-取费表'!f"&amp;$G$1)</f>
        <v>43.78</v>
      </c>
      <c r="O48" s="2420" t="s">
        <v>2379</v>
      </c>
      <c r="P48" s="2421" t="s">
        <v>2405</v>
      </c>
      <c r="Q48" s="2422">
        <f ca="1">C40+J29</f>
        <v>23425</v>
      </c>
      <c r="R48" s="2421" t="s">
        <v>2380</v>
      </c>
    </row>
    <row r="49" spans="1:18" s="2057" customFormat="1" ht="18" customHeight="1" thickBot="1">
      <c r="A49" s="784"/>
      <c r="B49" s="785"/>
      <c r="C49" s="786"/>
      <c r="D49" s="787"/>
      <c r="E49" s="782" t="s">
        <v>638</v>
      </c>
      <c r="F49" s="783">
        <f ca="1">F7</f>
        <v>84751.42</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4"/>
      <c r="B50" s="785"/>
      <c r="C50" s="786"/>
      <c r="D50" s="787"/>
      <c r="E50" s="782" t="s">
        <v>639</v>
      </c>
      <c r="F50" s="783">
        <f ca="1">F8</f>
        <v>365</v>
      </c>
      <c r="G50" s="2093"/>
      <c r="H50" s="2091"/>
      <c r="I50" s="2381" t="s">
        <v>2346</v>
      </c>
      <c r="J50" s="2394">
        <f>SUMPRODUCT((I63:I65=J47)*(J62:L62=J48)*(J63:L65))</f>
        <v>60</v>
      </c>
      <c r="K50" s="2392" t="s">
        <v>2353</v>
      </c>
      <c r="L50" s="2393"/>
      <c r="O50" s="2423" t="s">
        <v>2383</v>
      </c>
      <c r="P50" s="2421" t="s">
        <v>2407</v>
      </c>
      <c r="Q50" s="2422">
        <f ca="1">C29</f>
        <v>22951</v>
      </c>
      <c r="R50" s="2421" t="s">
        <v>2380</v>
      </c>
    </row>
    <row r="51" spans="1:18" s="2057" customFormat="1" ht="18" customHeight="1" thickBot="1">
      <c r="A51" s="784"/>
      <c r="B51" s="785"/>
      <c r="C51" s="786"/>
      <c r="D51" s="787"/>
      <c r="E51" s="782" t="s">
        <v>640</v>
      </c>
      <c r="F51" s="2369"/>
      <c r="H51" s="2091"/>
      <c r="I51" s="2382" t="s">
        <v>2347</v>
      </c>
      <c r="J51" s="2395">
        <f>IF(J49="",J50,J49+J50-YEAR('数据-取费表'!B2))</f>
        <v>60</v>
      </c>
      <c r="K51" s="2381" t="s">
        <v>2354</v>
      </c>
      <c r="L51" s="2396">
        <f ca="1">ROUND(-PV(INDIRECT("'数据-取费表'!h"&amp;$G$1),L48,(C39-C13*J36),0),0)</f>
        <v>-20541</v>
      </c>
      <c r="O51" s="2423" t="s">
        <v>2384</v>
      </c>
      <c r="P51" s="2421" t="s">
        <v>2385</v>
      </c>
      <c r="Q51" s="2424" t="e">
        <f ca="1">J58</f>
        <v>#VALUE!</v>
      </c>
      <c r="R51" s="2425"/>
    </row>
    <row r="52" spans="1:18" s="2057" customFormat="1" ht="18" customHeight="1" thickBot="1">
      <c r="A52" s="779" t="s">
        <v>2536</v>
      </c>
      <c r="B52" s="2516" t="s">
        <v>2459</v>
      </c>
      <c r="C52" s="797">
        <f ca="1">ROUND(IF(F52="押一",C48/12*F11,IF(F52="押二",C48/12*2*F11,IF(F52="押三",C48/12*3*F11,C53*F11))),0)</f>
        <v>0</v>
      </c>
      <c r="D52" s="2523" t="s">
        <v>2964</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4"/>
      <c r="B53" s="2517" t="s">
        <v>2573</v>
      </c>
      <c r="C53" s="2521"/>
      <c r="D53" s="2523"/>
      <c r="E53" s="2520"/>
      <c r="F53" s="798"/>
      <c r="I53" s="2384" t="s">
        <v>2348</v>
      </c>
      <c r="J53" s="2398">
        <f ca="1">IF(M47="住宅",J51,IF(D1="——",MIN(J51,L48),IF(D1="土地（套用方法）",MIN(J51,L48-'数据-取费表'!B20))))</f>
        <v>40.28</v>
      </c>
      <c r="K53" s="4283" t="s">
        <v>2956</v>
      </c>
      <c r="L53" s="4284"/>
      <c r="O53" s="2423" t="s">
        <v>2388</v>
      </c>
      <c r="P53" s="2421" t="s">
        <v>2389</v>
      </c>
      <c r="Q53" s="2422">
        <f ca="1">J53</f>
        <v>40.28</v>
      </c>
      <c r="R53" s="2421" t="s">
        <v>2390</v>
      </c>
    </row>
    <row r="54" spans="1:18" s="2057" customFormat="1" ht="18" customHeight="1" thickBot="1">
      <c r="A54" s="2559" t="s">
        <v>2467</v>
      </c>
      <c r="B54" s="2560" t="s">
        <v>2460</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23425</v>
      </c>
      <c r="R54" s="2425" t="s">
        <v>2392</v>
      </c>
    </row>
    <row r="55" spans="1:18" s="2057" customFormat="1" ht="18" customHeight="1" thickTop="1" thickBot="1">
      <c r="A55" s="795">
        <v>2</v>
      </c>
      <c r="B55" s="796" t="s">
        <v>644</v>
      </c>
      <c r="C55" s="797">
        <f ca="1">C13</f>
        <v>22951</v>
      </c>
      <c r="D55" s="793"/>
      <c r="E55" s="793"/>
      <c r="F55" s="798"/>
      <c r="I55" s="3122" t="s">
        <v>2355</v>
      </c>
      <c r="J55" s="3121" t="e">
        <f ca="1">ROUND(IF(J47="钢混",J57/J50,1-(1-2%)*(J50-J57)/J50),3)</f>
        <v>#VALUE!</v>
      </c>
      <c r="K55" s="2399" t="s">
        <v>2356</v>
      </c>
      <c r="L55" s="2400"/>
      <c r="O55" s="2426" t="s">
        <v>2411</v>
      </c>
      <c r="P55" s="1589"/>
      <c r="Q55" s="1601"/>
      <c r="R55" s="1589"/>
    </row>
    <row r="56" spans="1:18" s="2057" customFormat="1" ht="42.75" customHeight="1" thickBot="1">
      <c r="A56" s="1647"/>
      <c r="B56" s="2229" t="s">
        <v>2302</v>
      </c>
      <c r="C56" s="53">
        <f ca="1">C29</f>
        <v>22951</v>
      </c>
      <c r="D56" s="3413"/>
      <c r="E56" s="782"/>
      <c r="F56" s="807"/>
      <c r="I56" s="2401" t="s">
        <v>2357</v>
      </c>
      <c r="J56" s="3145" t="s">
        <v>1678</v>
      </c>
      <c r="K56" s="2381" t="s">
        <v>2362</v>
      </c>
      <c r="L56" s="2390" t="str">
        <f ca="1">IF(L48&lt;J51,"——",L48-J51)</f>
        <v>——</v>
      </c>
      <c r="O56" s="2417" t="s">
        <v>2375</v>
      </c>
      <c r="P56" s="2418" t="s">
        <v>2376</v>
      </c>
      <c r="Q56" s="2419" t="s">
        <v>2377</v>
      </c>
      <c r="R56" s="2418" t="s">
        <v>2378</v>
      </c>
    </row>
    <row r="57" spans="1:18" s="2057" customFormat="1" ht="28.5" customHeight="1" thickBot="1">
      <c r="A57" s="795" t="s">
        <v>1748</v>
      </c>
      <c r="B57" s="796" t="s">
        <v>651</v>
      </c>
      <c r="C57" s="797">
        <f ca="1">ROUND(C58+C63+C64+C65,0)</f>
        <v>495</v>
      </c>
      <c r="D57" s="26" t="s">
        <v>652</v>
      </c>
      <c r="E57" s="3418"/>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23425</v>
      </c>
      <c r="R57" s="2421" t="s">
        <v>2380</v>
      </c>
    </row>
    <row r="58" spans="1:18" s="2057" customFormat="1" ht="28.5" customHeight="1" thickBot="1">
      <c r="A58" s="1646" t="s">
        <v>1824</v>
      </c>
      <c r="B58" s="782" t="s">
        <v>656</v>
      </c>
      <c r="C58" s="53">
        <f ca="1">ROUND(IF(项目基本情况!B11="自然人",C47*F58,C59+C60+C61),1)</f>
        <v>115.8</v>
      </c>
      <c r="D58" s="3414" t="s">
        <v>657</v>
      </c>
      <c r="E58" s="3413" t="s">
        <v>690</v>
      </c>
      <c r="F58" s="808" t="str">
        <f ca="1">IF(项目基本情况!B11="企业","",IF(INDIRECT("'数据-取费表'!c"&amp;$G$1)="住宅",5%,IF(F48*F49*F50/12/(1+'数据-取费表'!C42)&gt;20000,12%,7%)))</f>
        <v/>
      </c>
      <c r="I58" s="2402" t="s">
        <v>2359</v>
      </c>
      <c r="J58" s="3123"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1831</v>
      </c>
      <c r="B59" s="782" t="s">
        <v>660</v>
      </c>
      <c r="C59" s="53">
        <f ca="1">ROUND(C47*F59/1.05,1)</f>
        <v>0</v>
      </c>
      <c r="D59" s="3413" t="s">
        <v>661</v>
      </c>
      <c r="E59" s="782" t="s">
        <v>649</v>
      </c>
      <c r="F59" s="807">
        <f t="shared" ref="F59:F65" si="0">F32</f>
        <v>5.6000000000000001E-2</v>
      </c>
      <c r="I59" s="2402" t="s">
        <v>2360</v>
      </c>
      <c r="J59" s="2404" t="str">
        <f ca="1">IF(OR(M47="住宅",J51&lt;L48,J56="是"),"——",ROUND(C29*J58,0))</f>
        <v>——</v>
      </c>
      <c r="K59" s="3152"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1832</v>
      </c>
      <c r="B60" s="782" t="s">
        <v>664</v>
      </c>
      <c r="C60" s="53">
        <f ca="1">IF(D60="按租金收入计税",ROUND(C47*F60,1),IF(D60="按房产原值计税",ROUND(C56*F60*0.7,1),INDIRECT("'数据-取费表'!Aj"&amp;$G$1)))</f>
        <v>0</v>
      </c>
      <c r="D60" s="3413" t="str">
        <f>D33</f>
        <v>按租金收入计税</v>
      </c>
      <c r="E60" s="782" t="s">
        <v>649</v>
      </c>
      <c r="F60" s="807">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1833</v>
      </c>
      <c r="B61" s="339" t="s">
        <v>668</v>
      </c>
      <c r="C61" s="54">
        <f ca="1">ROUND(F61*F62/10000,1)</f>
        <v>115.8</v>
      </c>
      <c r="D61" s="812" t="s">
        <v>669</v>
      </c>
      <c r="E61" s="782" t="s">
        <v>670</v>
      </c>
      <c r="F61" s="638">
        <f t="shared" si="0"/>
        <v>14</v>
      </c>
      <c r="K61" s="2084"/>
      <c r="O61" s="2423" t="s">
        <v>2386</v>
      </c>
      <c r="P61" s="2421" t="s">
        <v>2394</v>
      </c>
      <c r="Q61" s="2422" t="e">
        <f ca="1">L58</f>
        <v>#DIV/0!</v>
      </c>
      <c r="R61" s="2425" t="s">
        <v>2395</v>
      </c>
    </row>
    <row r="62" spans="1:18" s="2057" customFormat="1" ht="15.75" thickBot="1">
      <c r="A62" s="813"/>
      <c r="B62" s="791"/>
      <c r="C62" s="69"/>
      <c r="D62" s="814"/>
      <c r="E62" s="782" t="s">
        <v>674</v>
      </c>
      <c r="F62" s="783">
        <f t="shared" ca="1" si="0"/>
        <v>82710.61</v>
      </c>
      <c r="I62" s="2407" t="s">
        <v>2367</v>
      </c>
      <c r="J62" s="2408" t="s">
        <v>2368</v>
      </c>
      <c r="K62" s="2408" t="s">
        <v>2369</v>
      </c>
      <c r="L62" s="2408" t="s">
        <v>2350</v>
      </c>
      <c r="M62" s="3124" t="s">
        <v>2932</v>
      </c>
      <c r="O62" s="2423" t="s">
        <v>2388</v>
      </c>
      <c r="P62" s="2421" t="str">
        <f>K59</f>
        <v>建设期及建筑物耐用年限下的土地年期修正系数Kn</v>
      </c>
      <c r="Q62" s="2422" t="e">
        <f ca="1">L59</f>
        <v>#DIV/0!</v>
      </c>
      <c r="R62" s="2425" t="s">
        <v>2397</v>
      </c>
    </row>
    <row r="63" spans="1:18" s="2057" customFormat="1" ht="15.75" thickBot="1">
      <c r="A63" s="1646" t="s">
        <v>1889</v>
      </c>
      <c r="B63" s="782" t="s">
        <v>676</v>
      </c>
      <c r="C63" s="53">
        <f ca="1">ROUND(C56*F63,1)</f>
        <v>344.3</v>
      </c>
      <c r="D63" s="3413" t="s">
        <v>691</v>
      </c>
      <c r="E63" s="782" t="s">
        <v>649</v>
      </c>
      <c r="F63" s="815">
        <f t="shared" ca="1" si="0"/>
        <v>1.4999999999999999E-2</v>
      </c>
      <c r="I63" s="2407" t="s">
        <v>2370</v>
      </c>
      <c r="J63" s="2408">
        <v>70</v>
      </c>
      <c r="K63" s="2408">
        <v>50</v>
      </c>
      <c r="L63" s="2408">
        <v>80</v>
      </c>
      <c r="M63" s="3125">
        <v>0.02</v>
      </c>
      <c r="O63" s="2420" t="s">
        <v>2391</v>
      </c>
      <c r="P63" s="2421" t="s">
        <v>2408</v>
      </c>
      <c r="Q63" s="2422">
        <f ca="1">Q57+Q58</f>
        <v>23425</v>
      </c>
      <c r="R63" s="2425" t="s">
        <v>2392</v>
      </c>
    </row>
    <row r="64" spans="1:18" s="2057" customFormat="1" ht="16.5" thickBot="1">
      <c r="A64" s="1646" t="s">
        <v>1890</v>
      </c>
      <c r="B64" s="782" t="s">
        <v>679</v>
      </c>
      <c r="C64" s="53">
        <f ca="1">ROUND(C55*F64,1)</f>
        <v>34.4</v>
      </c>
      <c r="D64" s="3413" t="s">
        <v>680</v>
      </c>
      <c r="E64" s="782" t="s">
        <v>649</v>
      </c>
      <c r="F64" s="816">
        <f t="shared" ca="1" si="0"/>
        <v>1.5E-3</v>
      </c>
      <c r="I64" s="2407" t="s">
        <v>2371</v>
      </c>
      <c r="J64" s="2408">
        <v>50</v>
      </c>
      <c r="K64" s="2408">
        <v>35</v>
      </c>
      <c r="L64" s="2408">
        <v>60</v>
      </c>
      <c r="M64" s="3126">
        <v>0</v>
      </c>
      <c r="O64" s="2426" t="s">
        <v>2415</v>
      </c>
      <c r="P64" s="1589"/>
      <c r="Q64" s="1601"/>
      <c r="R64" s="1589"/>
    </row>
    <row r="65" spans="1:18" s="2057" customFormat="1" ht="15.75" thickBot="1">
      <c r="A65" s="1646" t="s">
        <v>1891</v>
      </c>
      <c r="B65" s="782" t="s">
        <v>666</v>
      </c>
      <c r="C65" s="53">
        <f ca="1">ROUND(C47*F65,1)</f>
        <v>0</v>
      </c>
      <c r="D65" s="3413" t="s">
        <v>683</v>
      </c>
      <c r="E65" s="782" t="s">
        <v>649</v>
      </c>
      <c r="F65" s="792">
        <f t="shared" ca="1" si="0"/>
        <v>0.01</v>
      </c>
      <c r="I65" s="2407" t="s">
        <v>2372</v>
      </c>
      <c r="J65" s="2408">
        <v>40</v>
      </c>
      <c r="K65" s="2408">
        <v>30</v>
      </c>
      <c r="L65" s="2408">
        <v>50</v>
      </c>
      <c r="M65" s="3125">
        <v>0.02</v>
      </c>
      <c r="O65" s="2417" t="s">
        <v>2375</v>
      </c>
      <c r="P65" s="2418" t="s">
        <v>2376</v>
      </c>
      <c r="Q65" s="2419" t="s">
        <v>2377</v>
      </c>
      <c r="R65" s="2418" t="s">
        <v>2378</v>
      </c>
    </row>
    <row r="66" spans="1:18" s="2057" customFormat="1" ht="24.75" thickBot="1">
      <c r="A66" s="795" t="s">
        <v>1776</v>
      </c>
      <c r="B66" s="3033" t="s">
        <v>2821</v>
      </c>
      <c r="C66" s="797">
        <f ca="1">C47-C57</f>
        <v>-495</v>
      </c>
      <c r="D66" s="3414" t="s">
        <v>700</v>
      </c>
      <c r="E66" s="3417"/>
      <c r="F66" s="818"/>
      <c r="K66" s="2084"/>
      <c r="O66" s="2420" t="s">
        <v>2379</v>
      </c>
      <c r="P66" s="2421" t="s">
        <v>2405</v>
      </c>
      <c r="Q66" s="2422">
        <f ca="1">C40+J29</f>
        <v>23425</v>
      </c>
      <c r="R66" s="2421" t="s">
        <v>2380</v>
      </c>
    </row>
    <row r="67" spans="1:18" s="2057" customFormat="1" ht="20.25" thickBot="1">
      <c r="A67" s="779" t="s">
        <v>1780</v>
      </c>
      <c r="B67" s="2230" t="s">
        <v>2303</v>
      </c>
      <c r="C67" s="781">
        <f ca="1">ROUND(C66*(1-((1+F69)/(1+F67))^F68)/(F67-F69),0)</f>
        <v>-8513</v>
      </c>
      <c r="D67" s="812" t="s">
        <v>704</v>
      </c>
      <c r="E67" s="782" t="s">
        <v>705</v>
      </c>
      <c r="F67" s="792">
        <f ca="1">F40</f>
        <v>0.05</v>
      </c>
      <c r="K67" s="2084"/>
      <c r="O67" s="2420" t="s">
        <v>2381</v>
      </c>
      <c r="P67" s="2421" t="s">
        <v>2412</v>
      </c>
      <c r="Q67" s="2422">
        <f ca="1">L60</f>
        <v>0</v>
      </c>
      <c r="R67" s="2425" t="s">
        <v>2414</v>
      </c>
    </row>
    <row r="68" spans="1:18" ht="21.75" thickBot="1">
      <c r="A68" s="784"/>
      <c r="B68" s="785"/>
      <c r="C68" s="786"/>
      <c r="D68" s="819" t="s">
        <v>1808</v>
      </c>
      <c r="E68" s="782" t="s">
        <v>708</v>
      </c>
      <c r="F68" s="820">
        <f ca="1">F41</f>
        <v>40.28</v>
      </c>
      <c r="O68" s="2423" t="s">
        <v>2383</v>
      </c>
      <c r="P68" s="2421" t="s">
        <v>2413</v>
      </c>
      <c r="Q68" s="2427">
        <f ca="1">L51</f>
        <v>-20541</v>
      </c>
      <c r="R68" s="2428" t="s">
        <v>2416</v>
      </c>
    </row>
    <row r="69" spans="1:18" ht="20.25" thickBot="1">
      <c r="A69" s="788"/>
      <c r="B69" s="789"/>
      <c r="C69" s="790"/>
      <c r="D69" s="814"/>
      <c r="E69" s="782" t="s">
        <v>710</v>
      </c>
      <c r="F69" s="2369"/>
      <c r="O69" s="2423" t="s">
        <v>2384</v>
      </c>
      <c r="P69" s="2429" t="s">
        <v>2398</v>
      </c>
      <c r="Q69" s="2422">
        <f ca="1">ROUND(Q70-Q71*Q72,0)</f>
        <v>-1082</v>
      </c>
      <c r="R69" s="2425"/>
    </row>
    <row r="70" spans="1:18" ht="15.75" thickBot="1">
      <c r="A70" s="821" t="s">
        <v>1787</v>
      </c>
      <c r="B70" s="822" t="s">
        <v>1810</v>
      </c>
      <c r="C70" s="823">
        <f ca="1">ROUND(C67*10000/F70,0)</f>
        <v>-1004</v>
      </c>
      <c r="D70" s="824" t="s">
        <v>1811</v>
      </c>
      <c r="E70" s="825" t="s">
        <v>1812</v>
      </c>
      <c r="F70" s="826">
        <f ca="1">F43</f>
        <v>84751.42</v>
      </c>
      <c r="O70" s="2423" t="s">
        <v>2399</v>
      </c>
      <c r="P70" s="2429" t="s">
        <v>2400</v>
      </c>
      <c r="Q70" s="2422">
        <f ca="1">C39</f>
        <v>869</v>
      </c>
      <c r="R70" s="2421" t="s">
        <v>2380</v>
      </c>
    </row>
    <row r="71" spans="1:18" ht="15.75" thickBot="1">
      <c r="O71" s="2423" t="s">
        <v>2401</v>
      </c>
      <c r="P71" s="2429" t="s">
        <v>2402</v>
      </c>
      <c r="Q71" s="2422">
        <f ca="1">C13</f>
        <v>22951</v>
      </c>
      <c r="R71" s="2421" t="s">
        <v>2380</v>
      </c>
    </row>
    <row r="72" spans="1:18" ht="15.75" thickBot="1">
      <c r="O72" s="2423" t="s">
        <v>2403</v>
      </c>
      <c r="P72" s="2429" t="s">
        <v>2404</v>
      </c>
      <c r="Q72" s="2424">
        <f ca="1">J36</f>
        <v>8.5000000000000006E-2</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23425</v>
      </c>
      <c r="R76" s="2425" t="s">
        <v>2392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I47" sqref="I47"/>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4363</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156311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10237</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212" t="s">
        <v>522</v>
      </c>
      <c r="D4" s="4213"/>
      <c r="E4" s="4237" t="s">
        <v>523</v>
      </c>
      <c r="F4" s="4238"/>
      <c r="G4" s="4212" t="s">
        <v>524</v>
      </c>
      <c r="H4" s="4213"/>
      <c r="I4" s="4212" t="s">
        <v>525</v>
      </c>
      <c r="J4" s="4213"/>
      <c r="K4" s="851" t="s">
        <v>526</v>
      </c>
      <c r="L4" s="2131"/>
      <c r="M4" s="2132"/>
      <c r="N4" s="2132"/>
      <c r="O4" s="2132"/>
      <c r="P4" s="4214" t="s">
        <v>527</v>
      </c>
      <c r="Q4" s="4215"/>
      <c r="R4" s="4200" t="s">
        <v>523</v>
      </c>
      <c r="S4" s="4201"/>
      <c r="T4" s="4200" t="s">
        <v>524</v>
      </c>
      <c r="U4" s="4201"/>
      <c r="V4" s="4220" t="s">
        <v>525</v>
      </c>
      <c r="W4" s="4220"/>
      <c r="X4" s="1564"/>
      <c r="Y4" s="4200" t="s">
        <v>527</v>
      </c>
      <c r="Z4" s="4201"/>
      <c r="AA4" s="4195" t="s">
        <v>523</v>
      </c>
      <c r="AB4" s="4195" t="s">
        <v>524</v>
      </c>
      <c r="AC4" s="4195" t="s">
        <v>525</v>
      </c>
    </row>
    <row r="5" spans="1:29" ht="15">
      <c r="A5" s="513"/>
      <c r="B5" s="514"/>
      <c r="C5" s="4223" t="s">
        <v>2917</v>
      </c>
      <c r="D5" s="4224"/>
      <c r="E5" s="4306" t="s">
        <v>4339</v>
      </c>
      <c r="F5" s="4240"/>
      <c r="G5" s="4307" t="s">
        <v>4365</v>
      </c>
      <c r="H5" s="4224"/>
      <c r="I5" s="4307" t="s">
        <v>4369</v>
      </c>
      <c r="J5" s="4224"/>
      <c r="K5" s="852"/>
      <c r="L5" s="2131"/>
      <c r="M5" s="2132"/>
      <c r="N5" s="2132"/>
      <c r="O5" s="2132"/>
      <c r="P5" s="4216"/>
      <c r="Q5" s="4217"/>
      <c r="R5" s="4202"/>
      <c r="S5" s="4203"/>
      <c r="T5" s="4202"/>
      <c r="U5" s="4203"/>
      <c r="V5" s="4220"/>
      <c r="W5" s="4220"/>
      <c r="X5" s="1564"/>
      <c r="Y5" s="4202"/>
      <c r="Z5" s="4203"/>
      <c r="AA5" s="4196"/>
      <c r="AB5" s="4196"/>
      <c r="AC5" s="4196"/>
    </row>
    <row r="6" spans="1:29" ht="15.75" thickBot="1">
      <c r="A6" s="515"/>
      <c r="B6" s="516"/>
      <c r="C6" s="4221" t="s">
        <v>2921</v>
      </c>
      <c r="D6" s="4222"/>
      <c r="E6" s="4308" t="s">
        <v>4366</v>
      </c>
      <c r="F6" s="4242"/>
      <c r="G6" s="4309" t="s">
        <v>4367</v>
      </c>
      <c r="H6" s="4222"/>
      <c r="I6" s="4309" t="s">
        <v>4368</v>
      </c>
      <c r="J6" s="4222"/>
      <c r="K6" s="852" t="s">
        <v>528</v>
      </c>
      <c r="L6" s="2131"/>
      <c r="M6" s="2132"/>
      <c r="N6" s="2132"/>
      <c r="O6" s="2132"/>
      <c r="P6" s="4218"/>
      <c r="Q6" s="4219"/>
      <c r="R6" s="4202"/>
      <c r="S6" s="4203"/>
      <c r="T6" s="4204"/>
      <c r="U6" s="4205"/>
      <c r="V6" s="4220"/>
      <c r="W6" s="4220"/>
      <c r="X6" s="1564"/>
      <c r="Y6" s="4204"/>
      <c r="Z6" s="4205"/>
      <c r="AA6" s="4197"/>
      <c r="AB6" s="4197"/>
      <c r="AC6" s="4197"/>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198" t="s">
        <v>530</v>
      </c>
      <c r="Q7" s="4207"/>
      <c r="R7" s="1565" t="s">
        <v>13</v>
      </c>
      <c r="S7" s="1566">
        <f t="shared" ref="S7:S15" si="0">F7</f>
        <v>100</v>
      </c>
      <c r="T7" s="1565" t="s">
        <v>13</v>
      </c>
      <c r="U7" s="1566">
        <f t="shared" ref="U7:U15" si="1">H7</f>
        <v>100</v>
      </c>
      <c r="V7" s="1565" t="s">
        <v>13</v>
      </c>
      <c r="W7" s="1566">
        <f t="shared" ref="W7:W15" si="2">J7</f>
        <v>100</v>
      </c>
      <c r="X7" s="1567"/>
      <c r="Y7" s="4198" t="s">
        <v>530</v>
      </c>
      <c r="Z7" s="4199"/>
      <c r="AA7" s="1568">
        <f>D7/F7</f>
        <v>1</v>
      </c>
      <c r="AB7" s="1568">
        <f>D7/H7</f>
        <v>1</v>
      </c>
      <c r="AC7" s="1568">
        <f>D7/J7</f>
        <v>1</v>
      </c>
    </row>
    <row r="8" spans="1:29" s="1218" customFormat="1" ht="15.75" thickBot="1">
      <c r="A8" s="2935"/>
      <c r="B8" s="2942" t="s">
        <v>531</v>
      </c>
      <c r="C8" s="523" t="s">
        <v>576</v>
      </c>
      <c r="D8" s="518">
        <v>100</v>
      </c>
      <c r="E8" s="854" t="s">
        <v>4357</v>
      </c>
      <c r="F8" s="520">
        <f>SUMIF(61:61,E8,62:62)-SUMIF(61:61,C8,62:62)+100</f>
        <v>100</v>
      </c>
      <c r="G8" s="523" t="s">
        <v>4357</v>
      </c>
      <c r="H8" s="518">
        <f>SUMIF(61:61,G8,62:62)-SUMIF(61:61,C8,62:62)+100</f>
        <v>100</v>
      </c>
      <c r="I8" s="854" t="s">
        <v>4357</v>
      </c>
      <c r="J8" s="518">
        <f>SUMIF(61:61,I8,62:62)-SUMIF(61:61,C8,62:62)+100</f>
        <v>100</v>
      </c>
      <c r="K8" s="853"/>
      <c r="L8" s="2133"/>
      <c r="M8" s="2134"/>
      <c r="N8" s="2134"/>
      <c r="O8" s="2134"/>
      <c r="P8" s="4198" t="s">
        <v>533</v>
      </c>
      <c r="Q8" s="4199"/>
      <c r="R8" s="1565" t="s">
        <v>13</v>
      </c>
      <c r="S8" s="1566">
        <f t="shared" si="0"/>
        <v>100</v>
      </c>
      <c r="T8" s="1565" t="s">
        <v>13</v>
      </c>
      <c r="U8" s="1566">
        <f t="shared" si="1"/>
        <v>100</v>
      </c>
      <c r="V8" s="1565" t="s">
        <v>13</v>
      </c>
      <c r="W8" s="1566">
        <f t="shared" si="2"/>
        <v>100</v>
      </c>
      <c r="X8" s="1567"/>
      <c r="Y8" s="4198" t="s">
        <v>533</v>
      </c>
      <c r="Z8" s="4199"/>
      <c r="AA8" s="1568">
        <f t="shared" ref="AA8:AA46" si="3">D8/F8</f>
        <v>1</v>
      </c>
      <c r="AB8" s="1568">
        <f t="shared" ref="AB8:AB46" si="4">D8/H8</f>
        <v>1</v>
      </c>
      <c r="AC8" s="1568">
        <f t="shared" ref="AC8:AC46" si="5">D8/J8</f>
        <v>1</v>
      </c>
    </row>
    <row r="9" spans="1:29" s="1218" customFormat="1" ht="15">
      <c r="A9" s="2936"/>
      <c r="B9" s="2943" t="s">
        <v>2755</v>
      </c>
      <c r="C9" s="3409" t="s">
        <v>4358</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206" t="s">
        <v>535</v>
      </c>
      <c r="Q9" s="1149" t="str">
        <f t="shared" ref="Q9:Q15" si="6">B9</f>
        <v>用途</v>
      </c>
      <c r="R9" s="1565" t="s">
        <v>8</v>
      </c>
      <c r="S9" s="1566">
        <f t="shared" si="0"/>
        <v>100</v>
      </c>
      <c r="T9" s="1565" t="s">
        <v>8</v>
      </c>
      <c r="U9" s="1566">
        <f t="shared" si="1"/>
        <v>100</v>
      </c>
      <c r="V9" s="1565" t="s">
        <v>8</v>
      </c>
      <c r="W9" s="1566">
        <f t="shared" si="2"/>
        <v>100</v>
      </c>
      <c r="X9" s="1567"/>
      <c r="Y9" s="4121" t="s">
        <v>536</v>
      </c>
      <c r="Z9" s="1148" t="str">
        <f t="shared" ref="Z9:Z15" si="7">Q9</f>
        <v>用途</v>
      </c>
      <c r="AA9" s="1568">
        <f t="shared" si="3"/>
        <v>1</v>
      </c>
      <c r="AB9" s="1568">
        <f t="shared" si="4"/>
        <v>1</v>
      </c>
      <c r="AC9" s="1568">
        <f t="shared" si="5"/>
        <v>1</v>
      </c>
    </row>
    <row r="10" spans="1:29" s="1336" customFormat="1" ht="27">
      <c r="A10" s="2937"/>
      <c r="B10" s="2942" t="s">
        <v>2756</v>
      </c>
      <c r="C10" s="859" t="s">
        <v>4359</v>
      </c>
      <c r="D10" s="253">
        <v>100</v>
      </c>
      <c r="E10" s="859" t="s">
        <v>4359</v>
      </c>
      <c r="F10" s="861">
        <f>SUMIF(65:65,E10,66:66)-SUMIF(65:65,C10,66:66)+100</f>
        <v>100</v>
      </c>
      <c r="G10" s="859" t="s">
        <v>4359</v>
      </c>
      <c r="H10" s="253">
        <f>SUMIF(65:65,G10,66:66)-SUMIF(65:65,C10,66:66)+100</f>
        <v>100</v>
      </c>
      <c r="I10" s="859" t="s">
        <v>4359</v>
      </c>
      <c r="J10" s="253">
        <f>SUMIF(65:65,I10,66:66)-SUMIF(65:65,C10,66:66)+100</f>
        <v>100</v>
      </c>
      <c r="K10" s="862">
        <v>1</v>
      </c>
      <c r="L10" s="2136"/>
      <c r="M10" s="2176"/>
      <c r="N10" s="2176"/>
      <c r="O10" s="2137"/>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75" thickBot="1">
      <c r="A11" s="2938"/>
      <c r="B11" s="2942" t="s">
        <v>2757</v>
      </c>
      <c r="C11" s="531">
        <f>'数据-汇总表'!I5</f>
        <v>1.0900000000000001</v>
      </c>
      <c r="D11" s="253">
        <v>100</v>
      </c>
      <c r="E11" s="532">
        <v>0.89</v>
      </c>
      <c r="F11" s="861">
        <f>LOOKUP(E11,68:68,69:69)-LOOKUP(C11,68:68,69:69)+100</f>
        <v>102</v>
      </c>
      <c r="G11" s="3412">
        <v>0.94</v>
      </c>
      <c r="H11" s="254">
        <f>LOOKUP(G11,68:68,69:69)-LOOKUP(C11,68:68,69:69)+100</f>
        <v>102</v>
      </c>
      <c r="I11" s="531">
        <v>0.56000000000000005</v>
      </c>
      <c r="J11" s="253">
        <f>LOOKUP(I11,68:68,69:69)-LOOKUP(C11,68:68,69:69)+100</f>
        <v>102</v>
      </c>
      <c r="K11" s="862">
        <v>2</v>
      </c>
      <c r="L11" s="2138"/>
      <c r="M11" s="2132"/>
      <c r="N11" s="2132"/>
      <c r="O11" s="2139"/>
      <c r="P11" s="4206"/>
      <c r="Q11" s="1149" t="str">
        <f t="shared" si="6"/>
        <v>容积率</v>
      </c>
      <c r="R11" s="1565" t="s">
        <v>11</v>
      </c>
      <c r="S11" s="1566">
        <f t="shared" si="0"/>
        <v>102</v>
      </c>
      <c r="T11" s="1565" t="s">
        <v>11</v>
      </c>
      <c r="U11" s="1566">
        <f t="shared" si="1"/>
        <v>102</v>
      </c>
      <c r="V11" s="1565" t="s">
        <v>11</v>
      </c>
      <c r="W11" s="1566">
        <f t="shared" si="2"/>
        <v>102</v>
      </c>
      <c r="X11" s="1567"/>
      <c r="Y11" s="4121"/>
      <c r="Z11" s="1148" t="str">
        <f t="shared" si="7"/>
        <v>容积率</v>
      </c>
      <c r="AA11" s="1568">
        <f t="shared" si="3"/>
        <v>0.98039215686274506</v>
      </c>
      <c r="AB11" s="1568">
        <f t="shared" si="4"/>
        <v>0.98039215686274506</v>
      </c>
      <c r="AC11" s="1568">
        <f t="shared" si="5"/>
        <v>0.98039215686274506</v>
      </c>
    </row>
    <row r="12" spans="1:29" s="1218" customFormat="1" ht="15" hidden="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206"/>
      <c r="Q12" s="1149">
        <f t="shared" si="6"/>
        <v>0</v>
      </c>
      <c r="R12" s="1565" t="s">
        <v>11</v>
      </c>
      <c r="S12" s="1566">
        <f t="shared" si="0"/>
        <v>100</v>
      </c>
      <c r="T12" s="1565" t="s">
        <v>11</v>
      </c>
      <c r="U12" s="1566">
        <f t="shared" si="1"/>
        <v>100</v>
      </c>
      <c r="V12" s="1565" t="s">
        <v>11</v>
      </c>
      <c r="W12" s="1566">
        <f t="shared" si="2"/>
        <v>100</v>
      </c>
      <c r="X12" s="1567"/>
      <c r="Y12" s="4121"/>
      <c r="Z12" s="1148">
        <f t="shared" si="7"/>
        <v>0</v>
      </c>
      <c r="AA12" s="1568">
        <f>D12/F12</f>
        <v>1</v>
      </c>
      <c r="AB12" s="1568">
        <f>D12/H12</f>
        <v>1</v>
      </c>
      <c r="AC12" s="1568">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206"/>
      <c r="Q13" s="1149">
        <f t="shared" si="6"/>
        <v>0</v>
      </c>
      <c r="R13" s="1565" t="s">
        <v>11</v>
      </c>
      <c r="S13" s="1566">
        <f t="shared" si="0"/>
        <v>100</v>
      </c>
      <c r="T13" s="1565" t="s">
        <v>11</v>
      </c>
      <c r="U13" s="1566">
        <f t="shared" si="1"/>
        <v>100</v>
      </c>
      <c r="V13" s="1565" t="s">
        <v>11</v>
      </c>
      <c r="W13" s="1566">
        <f t="shared" si="2"/>
        <v>100</v>
      </c>
      <c r="X13" s="1567"/>
      <c r="Y13" s="4121"/>
      <c r="Z13" s="1148">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206"/>
      <c r="Q14" s="1149">
        <f t="shared" si="6"/>
        <v>0</v>
      </c>
      <c r="R14" s="1565" t="s">
        <v>11</v>
      </c>
      <c r="S14" s="1566">
        <f t="shared" si="0"/>
        <v>100</v>
      </c>
      <c r="T14" s="1565" t="s">
        <v>11</v>
      </c>
      <c r="U14" s="1566">
        <f t="shared" si="1"/>
        <v>100</v>
      </c>
      <c r="V14" s="1565" t="s">
        <v>11</v>
      </c>
      <c r="W14" s="1566">
        <f t="shared" si="2"/>
        <v>100</v>
      </c>
      <c r="X14" s="1567"/>
      <c r="Y14" s="4121"/>
      <c r="Z14" s="1148">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105</v>
      </c>
      <c r="I15" s="548"/>
      <c r="J15" s="547">
        <f>SUMIF(76:76,I16,77:77)-SUMIF(76:76,C16,77:77)+100</f>
        <v>105</v>
      </c>
      <c r="K15" s="866">
        <v>5</v>
      </c>
      <c r="L15" s="2140"/>
      <c r="M15" s="2132"/>
      <c r="N15" s="2132"/>
      <c r="O15" s="2139"/>
      <c r="P15" s="4208" t="s">
        <v>540</v>
      </c>
      <c r="Q15" s="1569" t="str">
        <f t="shared" si="6"/>
        <v>居住社区成熟度</v>
      </c>
      <c r="R15" s="1570" t="s">
        <v>11</v>
      </c>
      <c r="S15" s="1571">
        <f t="shared" si="0"/>
        <v>100</v>
      </c>
      <c r="T15" s="1570" t="s">
        <v>11</v>
      </c>
      <c r="U15" s="1571">
        <f t="shared" si="1"/>
        <v>105</v>
      </c>
      <c r="V15" s="1570" t="s">
        <v>11</v>
      </c>
      <c r="W15" s="1571">
        <f t="shared" si="2"/>
        <v>105</v>
      </c>
      <c r="X15" s="1564"/>
      <c r="Y15" s="4208" t="s">
        <v>540</v>
      </c>
      <c r="Z15" s="1572" t="str">
        <f t="shared" si="7"/>
        <v>居住社区成熟度</v>
      </c>
      <c r="AA15" s="1573">
        <f t="shared" si="3"/>
        <v>1</v>
      </c>
      <c r="AB15" s="1573">
        <f t="shared" si="4"/>
        <v>0.95238095238095233</v>
      </c>
      <c r="AC15" s="1573">
        <f t="shared" si="5"/>
        <v>0.95238095238095233</v>
      </c>
    </row>
    <row r="16" spans="1:29" ht="15">
      <c r="A16" s="530"/>
      <c r="B16" s="867"/>
      <c r="C16" s="574" t="s">
        <v>4360</v>
      </c>
      <c r="D16" s="553"/>
      <c r="E16" s="574" t="s">
        <v>4360</v>
      </c>
      <c r="F16" s="555"/>
      <c r="G16" s="574" t="s">
        <v>4361</v>
      </c>
      <c r="H16" s="557"/>
      <c r="I16" s="574" t="s">
        <v>4361</v>
      </c>
      <c r="J16" s="553"/>
      <c r="K16" s="868"/>
      <c r="L16" s="2140"/>
      <c r="M16" s="2132"/>
      <c r="N16" s="2132"/>
      <c r="O16" s="2139"/>
      <c r="P16" s="4209"/>
      <c r="Q16" s="1569"/>
      <c r="R16" s="1570"/>
      <c r="S16" s="1571"/>
      <c r="T16" s="1570"/>
      <c r="U16" s="1571"/>
      <c r="V16" s="1570"/>
      <c r="W16" s="1571"/>
      <c r="X16" s="1564"/>
      <c r="Y16" s="4209"/>
      <c r="Z16" s="1572"/>
      <c r="AA16" s="1573">
        <v>1</v>
      </c>
      <c r="AB16" s="1573">
        <v>1</v>
      </c>
      <c r="AC16" s="1573">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09"/>
      <c r="Q17" s="1569" t="str">
        <f>B17</f>
        <v>交通便捷度</v>
      </c>
      <c r="R17" s="1570" t="s">
        <v>11</v>
      </c>
      <c r="S17" s="1571">
        <f>F17</f>
        <v>100</v>
      </c>
      <c r="T17" s="1570" t="s">
        <v>11</v>
      </c>
      <c r="U17" s="1571">
        <f>H17</f>
        <v>100</v>
      </c>
      <c r="V17" s="1570" t="s">
        <v>11</v>
      </c>
      <c r="W17" s="1571">
        <f>J17</f>
        <v>100</v>
      </c>
      <c r="X17" s="1564"/>
      <c r="Y17" s="4209"/>
      <c r="Z17" s="1572" t="str">
        <f>Q17</f>
        <v>交通便捷度</v>
      </c>
      <c r="AA17" s="1573">
        <f t="shared" si="3"/>
        <v>1</v>
      </c>
      <c r="AB17" s="1573">
        <f t="shared" si="4"/>
        <v>1</v>
      </c>
      <c r="AC17" s="1573">
        <f t="shared" si="5"/>
        <v>1</v>
      </c>
    </row>
    <row r="18" spans="1:29" ht="15">
      <c r="A18" s="530"/>
      <c r="B18" s="593"/>
      <c r="C18" s="3441" t="s">
        <v>4419</v>
      </c>
      <c r="D18" s="557"/>
      <c r="E18" s="871" t="s">
        <v>4361</v>
      </c>
      <c r="F18" s="561"/>
      <c r="G18" s="871" t="s">
        <v>4361</v>
      </c>
      <c r="H18" s="553"/>
      <c r="I18" s="871" t="s">
        <v>4361</v>
      </c>
      <c r="J18" s="553"/>
      <c r="K18" s="868"/>
      <c r="L18" s="2140"/>
      <c r="M18" s="2132"/>
      <c r="N18" s="2132"/>
      <c r="O18" s="2139"/>
      <c r="P18" s="4209"/>
      <c r="Q18" s="1569"/>
      <c r="R18" s="1570"/>
      <c r="S18" s="1571"/>
      <c r="T18" s="1570"/>
      <c r="U18" s="1571"/>
      <c r="V18" s="1570"/>
      <c r="W18" s="1571"/>
      <c r="X18" s="1564"/>
      <c r="Y18" s="4209"/>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103</v>
      </c>
      <c r="I19" s="568"/>
      <c r="J19" s="557">
        <f>SUMIF(80:80,I20,81:81)-SUMIF(80:80,C20,81:81)+100</f>
        <v>103</v>
      </c>
      <c r="K19" s="866">
        <v>3</v>
      </c>
      <c r="L19" s="2140"/>
      <c r="M19" s="2132"/>
      <c r="N19" s="2132"/>
      <c r="O19" s="2139"/>
      <c r="P19" s="4209"/>
      <c r="Q19" s="1569" t="str">
        <f>B19</f>
        <v>公共配套设施</v>
      </c>
      <c r="R19" s="1570" t="s">
        <v>11</v>
      </c>
      <c r="S19" s="1571">
        <f>F19</f>
        <v>100</v>
      </c>
      <c r="T19" s="1570" t="s">
        <v>11</v>
      </c>
      <c r="U19" s="1571">
        <f>H19</f>
        <v>103</v>
      </c>
      <c r="V19" s="1570" t="s">
        <v>11</v>
      </c>
      <c r="W19" s="1571">
        <f>J19</f>
        <v>103</v>
      </c>
      <c r="X19" s="1564"/>
      <c r="Y19" s="4209"/>
      <c r="Z19" s="1572" t="str">
        <f>Q19</f>
        <v>公共配套设施</v>
      </c>
      <c r="AA19" s="1573">
        <f t="shared" si="3"/>
        <v>1</v>
      </c>
      <c r="AB19" s="1573">
        <f t="shared" si="4"/>
        <v>0.970873786407767</v>
      </c>
      <c r="AC19" s="1573">
        <f t="shared" si="5"/>
        <v>0.970873786407767</v>
      </c>
    </row>
    <row r="20" spans="1:29" ht="15">
      <c r="A20" s="530"/>
      <c r="B20" s="593"/>
      <c r="C20" s="574" t="s">
        <v>4361</v>
      </c>
      <c r="D20" s="553"/>
      <c r="E20" s="574" t="s">
        <v>4361</v>
      </c>
      <c r="F20" s="555"/>
      <c r="G20" s="574" t="s">
        <v>4362</v>
      </c>
      <c r="H20" s="553"/>
      <c r="I20" s="574" t="s">
        <v>4362</v>
      </c>
      <c r="J20" s="553"/>
      <c r="K20" s="868"/>
      <c r="L20" s="2140"/>
      <c r="M20" s="2132"/>
      <c r="N20" s="2132"/>
      <c r="O20" s="2139"/>
      <c r="P20" s="4209"/>
      <c r="Q20" s="1569"/>
      <c r="R20" s="1570"/>
      <c r="S20" s="1571"/>
      <c r="T20" s="1570"/>
      <c r="U20" s="1571"/>
      <c r="V20" s="1570"/>
      <c r="W20" s="1571"/>
      <c r="X20" s="1564"/>
      <c r="Y20" s="4209"/>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09"/>
      <c r="Q21" s="2601" t="str">
        <f>B21</f>
        <v>基础设施水平</v>
      </c>
      <c r="R21" s="1570" t="s">
        <v>11</v>
      </c>
      <c r="S21" s="1571">
        <f>F21</f>
        <v>100</v>
      </c>
      <c r="T21" s="1570" t="s">
        <v>11</v>
      </c>
      <c r="U21" s="1571">
        <f>H21</f>
        <v>100</v>
      </c>
      <c r="V21" s="1570" t="s">
        <v>11</v>
      </c>
      <c r="W21" s="1571">
        <f>J21</f>
        <v>100</v>
      </c>
      <c r="X21" s="2603"/>
      <c r="Y21" s="4209"/>
      <c r="Z21" s="2602" t="str">
        <f>Q21</f>
        <v>基础设施水平</v>
      </c>
      <c r="AA21" s="1573">
        <f t="shared" ref="AA21" si="8">D21/F21</f>
        <v>1</v>
      </c>
      <c r="AB21" s="1573">
        <f t="shared" ref="AB21" si="9">D21/H21</f>
        <v>1</v>
      </c>
      <c r="AC21" s="1573">
        <f t="shared" ref="AC21" si="10">D21/J21</f>
        <v>1</v>
      </c>
    </row>
    <row r="22" spans="1:29" ht="15">
      <c r="A22" s="530"/>
      <c r="B22" s="920"/>
      <c r="C22" s="871" t="s">
        <v>4350</v>
      </c>
      <c r="D22" s="553"/>
      <c r="E22" s="871" t="s">
        <v>4350</v>
      </c>
      <c r="F22" s="555"/>
      <c r="G22" s="871" t="s">
        <v>4350</v>
      </c>
      <c r="H22" s="553"/>
      <c r="I22" s="871" t="s">
        <v>4350</v>
      </c>
      <c r="J22" s="553"/>
      <c r="K22" s="2621"/>
      <c r="L22" s="2140"/>
      <c r="M22" s="2132"/>
      <c r="N22" s="2132"/>
      <c r="O22" s="2139"/>
      <c r="P22" s="4209"/>
      <c r="Q22" s="2601"/>
      <c r="R22" s="1570"/>
      <c r="S22" s="1571"/>
      <c r="T22" s="1570"/>
      <c r="U22" s="1571"/>
      <c r="V22" s="1570"/>
      <c r="W22" s="1571"/>
      <c r="X22" s="2603"/>
      <c r="Y22" s="4209"/>
      <c r="Z22" s="2602"/>
      <c r="AA22" s="1573">
        <v>1</v>
      </c>
      <c r="AB22" s="1573">
        <v>1</v>
      </c>
      <c r="AC22" s="1573">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3</v>
      </c>
      <c r="L23" s="2140"/>
      <c r="M23" s="2132"/>
      <c r="N23" s="2132"/>
      <c r="O23" s="2139"/>
      <c r="P23" s="4209"/>
      <c r="Q23" s="1569" t="str">
        <f>B23</f>
        <v>自然及人文环境</v>
      </c>
      <c r="R23" s="1570" t="s">
        <v>11</v>
      </c>
      <c r="S23" s="1571">
        <f>F23</f>
        <v>100</v>
      </c>
      <c r="T23" s="1570" t="s">
        <v>11</v>
      </c>
      <c r="U23" s="1571">
        <f>H23</f>
        <v>100</v>
      </c>
      <c r="V23" s="1570" t="s">
        <v>11</v>
      </c>
      <c r="W23" s="1571">
        <f>J23</f>
        <v>100</v>
      </c>
      <c r="X23" s="1564"/>
      <c r="Y23" s="4209"/>
      <c r="Z23" s="1572" t="str">
        <f>Q23</f>
        <v>自然及人文环境</v>
      </c>
      <c r="AA23" s="1573">
        <f t="shared" si="3"/>
        <v>1</v>
      </c>
      <c r="AB23" s="1573">
        <f t="shared" si="4"/>
        <v>1</v>
      </c>
      <c r="AC23" s="1573">
        <f t="shared" si="5"/>
        <v>1</v>
      </c>
    </row>
    <row r="24" spans="1:29" ht="15.75" thickBot="1">
      <c r="A24" s="530"/>
      <c r="B24" s="593"/>
      <c r="C24" s="574" t="s">
        <v>4362</v>
      </c>
      <c r="D24" s="553"/>
      <c r="E24" s="574" t="s">
        <v>4362</v>
      </c>
      <c r="F24" s="555"/>
      <c r="G24" s="574" t="s">
        <v>4362</v>
      </c>
      <c r="H24" s="553"/>
      <c r="I24" s="574" t="s">
        <v>4362</v>
      </c>
      <c r="J24" s="553"/>
      <c r="K24" s="868"/>
      <c r="L24" s="2140"/>
      <c r="M24" s="2132"/>
      <c r="N24" s="2132"/>
      <c r="O24" s="2139"/>
      <c r="P24" s="4209"/>
      <c r="Q24" s="1569"/>
      <c r="R24" s="1570"/>
      <c r="S24" s="1571"/>
      <c r="T24" s="1570"/>
      <c r="U24" s="1571"/>
      <c r="V24" s="1570"/>
      <c r="W24" s="1571"/>
      <c r="X24" s="1564"/>
      <c r="Y24" s="4209"/>
      <c r="Z24" s="1572"/>
      <c r="AA24" s="1573">
        <v>1</v>
      </c>
      <c r="AB24" s="1573">
        <v>1</v>
      </c>
      <c r="AC24" s="1573">
        <v>1</v>
      </c>
    </row>
    <row r="25" spans="1:29" ht="15" hidden="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09"/>
      <c r="Q25" s="1569" t="str">
        <f t="shared" ref="Q25:Q46" si="11">B25</f>
        <v>楼层-1</v>
      </c>
      <c r="R25" s="1570" t="s">
        <v>11</v>
      </c>
      <c r="S25" s="1571">
        <f>F25</f>
        <v>100</v>
      </c>
      <c r="T25" s="1570" t="s">
        <v>11</v>
      </c>
      <c r="U25" s="1571">
        <f>H25</f>
        <v>100</v>
      </c>
      <c r="V25" s="1570" t="s">
        <v>11</v>
      </c>
      <c r="W25" s="1571">
        <f>J25</f>
        <v>100</v>
      </c>
      <c r="X25" s="1564"/>
      <c r="Y25" s="4209"/>
      <c r="Z25" s="1572" t="str">
        <f>Q25</f>
        <v>楼层-1</v>
      </c>
      <c r="AA25" s="1573">
        <f t="shared" si="3"/>
        <v>1</v>
      </c>
      <c r="AB25" s="1573">
        <f t="shared" si="4"/>
        <v>1</v>
      </c>
      <c r="AC25" s="1573">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09"/>
      <c r="Q26" s="1569" t="str">
        <f t="shared" si="11"/>
        <v>朝向</v>
      </c>
      <c r="R26" s="1570" t="s">
        <v>11</v>
      </c>
      <c r="S26" s="1571">
        <f>F26</f>
        <v>100</v>
      </c>
      <c r="T26" s="1570" t="s">
        <v>11</v>
      </c>
      <c r="U26" s="1571">
        <f>H26</f>
        <v>100</v>
      </c>
      <c r="V26" s="1570" t="s">
        <v>11</v>
      </c>
      <c r="W26" s="1571">
        <f>J26</f>
        <v>100</v>
      </c>
      <c r="X26" s="1564"/>
      <c r="Y26" s="4209"/>
      <c r="Z26" s="1572" t="str">
        <f>Q26</f>
        <v>朝向</v>
      </c>
      <c r="AA26" s="1573">
        <f t="shared" si="3"/>
        <v>1</v>
      </c>
      <c r="AB26" s="1573">
        <f t="shared" si="4"/>
        <v>1</v>
      </c>
      <c r="AC26" s="1573">
        <f t="shared" si="5"/>
        <v>1</v>
      </c>
    </row>
    <row r="27" spans="1:29" s="1218"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09"/>
      <c r="Q27" s="1149">
        <f t="shared" si="11"/>
        <v>0</v>
      </c>
      <c r="R27" s="1565" t="s">
        <v>11</v>
      </c>
      <c r="S27" s="1566">
        <f>F27</f>
        <v>100</v>
      </c>
      <c r="T27" s="1565" t="s">
        <v>11</v>
      </c>
      <c r="U27" s="1566">
        <f>H27</f>
        <v>100</v>
      </c>
      <c r="V27" s="1565" t="s">
        <v>11</v>
      </c>
      <c r="W27" s="1566">
        <f>J27</f>
        <v>100</v>
      </c>
      <c r="X27" s="1567"/>
      <c r="Y27" s="4209"/>
      <c r="Z27" s="1148">
        <f>Q27</f>
        <v>0</v>
      </c>
      <c r="AA27" s="1573">
        <f>D27/F27</f>
        <v>1</v>
      </c>
      <c r="AB27" s="1573">
        <f>D27/H27</f>
        <v>1</v>
      </c>
      <c r="AC27" s="1573">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09"/>
      <c r="Q28" s="1569">
        <f t="shared" si="11"/>
        <v>0</v>
      </c>
      <c r="R28" s="1570" t="s">
        <v>11</v>
      </c>
      <c r="S28" s="1571">
        <f t="shared" ref="S28:S46" si="12">F28</f>
        <v>100</v>
      </c>
      <c r="T28" s="1570" t="s">
        <v>11</v>
      </c>
      <c r="U28" s="1571">
        <f t="shared" ref="U28:U46" si="13">H28</f>
        <v>100</v>
      </c>
      <c r="V28" s="1570" t="s">
        <v>11</v>
      </c>
      <c r="W28" s="1571">
        <f t="shared" ref="W28:W46" si="14">J28</f>
        <v>100</v>
      </c>
      <c r="X28" s="1564"/>
      <c r="Y28" s="4209"/>
      <c r="Z28" s="1572">
        <f t="shared" ref="Z28:Z46" si="15">Q28</f>
        <v>0</v>
      </c>
      <c r="AA28" s="1573">
        <f t="shared" si="3"/>
        <v>1</v>
      </c>
      <c r="AB28" s="1573">
        <f t="shared" si="4"/>
        <v>1</v>
      </c>
      <c r="AC28" s="1573">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09"/>
      <c r="Q29" s="1569">
        <f t="shared" si="11"/>
        <v>0</v>
      </c>
      <c r="R29" s="1570" t="s">
        <v>11</v>
      </c>
      <c r="S29" s="1571">
        <f t="shared" si="12"/>
        <v>100</v>
      </c>
      <c r="T29" s="1570" t="s">
        <v>11</v>
      </c>
      <c r="U29" s="1571">
        <f t="shared" si="13"/>
        <v>100</v>
      </c>
      <c r="V29" s="1570" t="s">
        <v>11</v>
      </c>
      <c r="W29" s="1571">
        <f t="shared" si="14"/>
        <v>100</v>
      </c>
      <c r="X29" s="1564"/>
      <c r="Y29" s="4209"/>
      <c r="Z29" s="1572">
        <f t="shared" si="15"/>
        <v>0</v>
      </c>
      <c r="AA29" s="1573">
        <f t="shared" si="3"/>
        <v>1</v>
      </c>
      <c r="AB29" s="1573">
        <f t="shared" si="4"/>
        <v>1</v>
      </c>
      <c r="AC29" s="1573">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09"/>
      <c r="Q30" s="1569">
        <f t="shared" si="11"/>
        <v>0</v>
      </c>
      <c r="R30" s="1570" t="s">
        <v>11</v>
      </c>
      <c r="S30" s="1571">
        <f t="shared" si="12"/>
        <v>100</v>
      </c>
      <c r="T30" s="1570" t="s">
        <v>11</v>
      </c>
      <c r="U30" s="1571">
        <f t="shared" si="13"/>
        <v>100</v>
      </c>
      <c r="V30" s="1570" t="s">
        <v>11</v>
      </c>
      <c r="W30" s="1571">
        <f t="shared" si="14"/>
        <v>100</v>
      </c>
      <c r="X30" s="1564"/>
      <c r="Y30" s="4209"/>
      <c r="Z30" s="1572">
        <f t="shared" si="15"/>
        <v>0</v>
      </c>
      <c r="AA30" s="1573">
        <f t="shared" si="3"/>
        <v>1</v>
      </c>
      <c r="AB30" s="1573">
        <f t="shared" si="4"/>
        <v>1</v>
      </c>
      <c r="AC30" s="1573">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09"/>
      <c r="Q31" s="1569">
        <f t="shared" si="11"/>
        <v>0</v>
      </c>
      <c r="R31" s="1570" t="s">
        <v>11</v>
      </c>
      <c r="S31" s="1571">
        <f t="shared" si="12"/>
        <v>100</v>
      </c>
      <c r="T31" s="1570" t="s">
        <v>11</v>
      </c>
      <c r="U31" s="1571">
        <f t="shared" si="13"/>
        <v>100</v>
      </c>
      <c r="V31" s="1570" t="s">
        <v>11</v>
      </c>
      <c r="W31" s="1571">
        <f t="shared" si="14"/>
        <v>100</v>
      </c>
      <c r="X31" s="1564"/>
      <c r="Y31" s="4209"/>
      <c r="Z31" s="1572">
        <f t="shared" si="15"/>
        <v>0</v>
      </c>
      <c r="AA31" s="1573">
        <f t="shared" si="3"/>
        <v>1</v>
      </c>
      <c r="AB31" s="1573">
        <f t="shared" si="4"/>
        <v>1</v>
      </c>
      <c r="AC31" s="1573">
        <f t="shared" si="5"/>
        <v>1</v>
      </c>
    </row>
    <row r="32" spans="1:29" ht="15">
      <c r="A32" s="2929" t="s">
        <v>2754</v>
      </c>
      <c r="B32" s="172" t="s">
        <v>724</v>
      </c>
      <c r="C32" s="876" t="s">
        <v>3016</v>
      </c>
      <c r="D32" s="595">
        <v>100</v>
      </c>
      <c r="E32" s="877" t="s">
        <v>3016</v>
      </c>
      <c r="F32" s="573">
        <f>SUMIF(100:100,E32,101:101)-SUMIF(100:100,C32,101:101)+100</f>
        <v>100</v>
      </c>
      <c r="G32" s="876" t="s">
        <v>3016</v>
      </c>
      <c r="H32" s="595">
        <f>SUMIF(100:100,G32,101:101)-SUMIF(100:100,C32,101:101)+100</f>
        <v>100</v>
      </c>
      <c r="I32" s="877" t="s">
        <v>3016</v>
      </c>
      <c r="J32" s="538">
        <f>SUMIF(100:100,I32,101:101)-SUMIF(100:100,C32,101:101)+100</f>
        <v>100</v>
      </c>
      <c r="K32" s="862">
        <v>5</v>
      </c>
      <c r="L32" s="2140"/>
      <c r="M32" s="2132"/>
      <c r="N32" s="2132"/>
      <c r="O32" s="2139"/>
      <c r="P32" s="4210" t="s">
        <v>550</v>
      </c>
      <c r="Q32" s="1569" t="str">
        <f t="shared" si="11"/>
        <v>建筑类型</v>
      </c>
      <c r="R32" s="1570" t="s">
        <v>11</v>
      </c>
      <c r="S32" s="1571">
        <f t="shared" si="12"/>
        <v>100</v>
      </c>
      <c r="T32" s="1570" t="s">
        <v>11</v>
      </c>
      <c r="U32" s="1571">
        <f t="shared" si="13"/>
        <v>100</v>
      </c>
      <c r="V32" s="1570" t="s">
        <v>11</v>
      </c>
      <c r="W32" s="1571">
        <f t="shared" si="14"/>
        <v>100</v>
      </c>
      <c r="X32" s="1564"/>
      <c r="Y32" s="4211" t="s">
        <v>550</v>
      </c>
      <c r="Z32" s="1572" t="str">
        <f t="shared" si="15"/>
        <v>建筑类型</v>
      </c>
      <c r="AA32" s="1573">
        <f t="shared" si="3"/>
        <v>1</v>
      </c>
      <c r="AB32" s="1573">
        <f t="shared" si="4"/>
        <v>1</v>
      </c>
      <c r="AC32" s="1573">
        <f t="shared" si="5"/>
        <v>1</v>
      </c>
    </row>
    <row r="33" spans="1:29" s="1337" customFormat="1" ht="15">
      <c r="A33" s="601"/>
      <c r="B33" s="525" t="s">
        <v>725</v>
      </c>
      <c r="C33" s="878">
        <f>'数据-汇总表'!E3</f>
        <v>446955.26</v>
      </c>
      <c r="D33" s="253">
        <v>100</v>
      </c>
      <c r="E33" s="532">
        <v>31955.57</v>
      </c>
      <c r="F33" s="861">
        <f>LOOKUP(E33,103:103,104:104)-LOOKUP(C33,103:103,104:104)+100</f>
        <v>100</v>
      </c>
      <c r="G33" s="531">
        <v>62024.78</v>
      </c>
      <c r="H33" s="253">
        <f>LOOKUP(G33,103:103,104:104)-LOOKUP(C33,103:103,104:104)+100</f>
        <v>100</v>
      </c>
      <c r="I33" s="532">
        <v>238206</v>
      </c>
      <c r="J33" s="253">
        <f>LOOKUP(I33,103:103,104:104)-LOOKUP(C33,103:103,104:104)+100</f>
        <v>100</v>
      </c>
      <c r="K33" s="863"/>
      <c r="L33" s="2138"/>
      <c r="M33" s="2169"/>
      <c r="N33" s="2169"/>
      <c r="O33" s="2141"/>
      <c r="P33" s="4211"/>
      <c r="Q33" s="1602" t="str">
        <f t="shared" si="11"/>
        <v>项目建筑规模</v>
      </c>
      <c r="R33" s="1574" t="s">
        <v>11</v>
      </c>
      <c r="S33" s="1575">
        <f t="shared" si="12"/>
        <v>100</v>
      </c>
      <c r="T33" s="1574" t="s">
        <v>11</v>
      </c>
      <c r="U33" s="1575">
        <f t="shared" si="13"/>
        <v>100</v>
      </c>
      <c r="V33" s="1574" t="s">
        <v>11</v>
      </c>
      <c r="W33" s="1575">
        <f t="shared" si="14"/>
        <v>100</v>
      </c>
      <c r="X33" s="1576"/>
      <c r="Y33" s="4211"/>
      <c r="Z33" s="1577" t="str">
        <f t="shared" si="15"/>
        <v>项目建筑规模</v>
      </c>
      <c r="AA33" s="1573">
        <f t="shared" si="3"/>
        <v>1</v>
      </c>
      <c r="AB33" s="1573">
        <f t="shared" si="4"/>
        <v>1</v>
      </c>
      <c r="AC33" s="1573">
        <f t="shared" si="5"/>
        <v>1</v>
      </c>
    </row>
    <row r="34" spans="1:29" ht="15">
      <c r="A34" s="592"/>
      <c r="B34" s="525" t="s">
        <v>726</v>
      </c>
      <c r="C34" s="879" t="s">
        <v>3484</v>
      </c>
      <c r="D34" s="538">
        <v>100</v>
      </c>
      <c r="E34" s="880" t="s">
        <v>3484</v>
      </c>
      <c r="F34" s="573">
        <f>SUMIF(105:105,E34,106:106)-SUMIF(105:105,C34,106:106)+100</f>
        <v>100</v>
      </c>
      <c r="G34" s="879" t="s">
        <v>3484</v>
      </c>
      <c r="H34" s="538">
        <f>SUMIF(105:105,G34,106:106)-SUMIF(105:105,C34,106:106)+100</f>
        <v>100</v>
      </c>
      <c r="I34" s="880" t="s">
        <v>3484</v>
      </c>
      <c r="J34" s="538">
        <f>SUMIF(105:105,I34,106:106)-SUMIF(105:105,C34,106:106)+100</f>
        <v>100</v>
      </c>
      <c r="K34" s="862">
        <v>2</v>
      </c>
      <c r="L34" s="2140"/>
      <c r="M34" s="2132"/>
      <c r="N34" s="2132"/>
      <c r="O34" s="2139"/>
      <c r="P34" s="4211"/>
      <c r="Q34" s="1569" t="str">
        <f t="shared" si="11"/>
        <v>建筑结构</v>
      </c>
      <c r="R34" s="1570" t="s">
        <v>11</v>
      </c>
      <c r="S34" s="1571">
        <f t="shared" si="12"/>
        <v>100</v>
      </c>
      <c r="T34" s="1570" t="s">
        <v>11</v>
      </c>
      <c r="U34" s="1571">
        <f t="shared" si="13"/>
        <v>100</v>
      </c>
      <c r="V34" s="1570" t="s">
        <v>11</v>
      </c>
      <c r="W34" s="1571">
        <f t="shared" si="14"/>
        <v>100</v>
      </c>
      <c r="X34" s="1564"/>
      <c r="Y34" s="4211"/>
      <c r="Z34" s="1572" t="str">
        <f t="shared" si="15"/>
        <v>建筑结构</v>
      </c>
      <c r="AA34" s="1573">
        <f t="shared" si="3"/>
        <v>1</v>
      </c>
      <c r="AB34" s="1573">
        <f t="shared" si="4"/>
        <v>1</v>
      </c>
      <c r="AC34" s="1573">
        <f t="shared" si="5"/>
        <v>1</v>
      </c>
    </row>
    <row r="35" spans="1:29" ht="15">
      <c r="A35" s="592"/>
      <c r="B35" s="525" t="s">
        <v>727</v>
      </c>
      <c r="C35" s="597" t="s">
        <v>4344</v>
      </c>
      <c r="D35" s="538">
        <v>100</v>
      </c>
      <c r="E35" s="872" t="s">
        <v>4344</v>
      </c>
      <c r="F35" s="573">
        <f>SUMIF(107:107,E35,108:108)-SUMIF(107:107,C35,108:108)+100</f>
        <v>100</v>
      </c>
      <c r="G35" s="597" t="s">
        <v>4344</v>
      </c>
      <c r="H35" s="538">
        <f>SUMIF(107:107,G35,108:108)-SUMIF(107:107,C35,108:108)+100</f>
        <v>100</v>
      </c>
      <c r="I35" s="872" t="s">
        <v>4344</v>
      </c>
      <c r="J35" s="538">
        <f>SUMIF(107:107,I35,108:108)-SUMIF(107:107,C35,108:108)+100</f>
        <v>100</v>
      </c>
      <c r="K35" s="862">
        <v>2</v>
      </c>
      <c r="L35" s="2140"/>
      <c r="M35" s="2132"/>
      <c r="N35" s="2132"/>
      <c r="O35" s="2139"/>
      <c r="P35" s="4211"/>
      <c r="Q35" s="1569" t="str">
        <f t="shared" si="11"/>
        <v>建筑品质</v>
      </c>
      <c r="R35" s="1570" t="s">
        <v>11</v>
      </c>
      <c r="S35" s="1571">
        <f t="shared" si="12"/>
        <v>100</v>
      </c>
      <c r="T35" s="1570" t="s">
        <v>11</v>
      </c>
      <c r="U35" s="1571">
        <f t="shared" si="13"/>
        <v>100</v>
      </c>
      <c r="V35" s="1570" t="s">
        <v>11</v>
      </c>
      <c r="W35" s="1571">
        <f t="shared" si="14"/>
        <v>100</v>
      </c>
      <c r="X35" s="1564"/>
      <c r="Y35" s="4211"/>
      <c r="Z35" s="1572" t="str">
        <f t="shared" si="15"/>
        <v>建筑品质</v>
      </c>
      <c r="AA35" s="1573">
        <f t="shared" si="3"/>
        <v>1</v>
      </c>
      <c r="AB35" s="1573">
        <f t="shared" si="4"/>
        <v>1</v>
      </c>
      <c r="AC35" s="1573">
        <f t="shared" si="5"/>
        <v>1</v>
      </c>
    </row>
    <row r="36" spans="1:29" ht="15">
      <c r="A36" s="592"/>
      <c r="B36" s="525" t="s">
        <v>728</v>
      </c>
      <c r="C36" s="597" t="s">
        <v>4346</v>
      </c>
      <c r="D36" s="538">
        <v>100</v>
      </c>
      <c r="E36" s="872" t="s">
        <v>4346</v>
      </c>
      <c r="F36" s="573">
        <f>SUMIF(109:109,E36,110:110)-SUMIF(109:109,C36,110:110)+100</f>
        <v>100</v>
      </c>
      <c r="G36" s="597" t="s">
        <v>4346</v>
      </c>
      <c r="H36" s="538">
        <f>SUMIF(109:109,G36,110:110)-SUMIF(109:109,C36,110:110)+100</f>
        <v>100</v>
      </c>
      <c r="I36" s="872" t="s">
        <v>4346</v>
      </c>
      <c r="J36" s="538">
        <f>SUMIF(109:109,I36,110:110)-SUMIF(109:109,C36,110:110)+100</f>
        <v>100</v>
      </c>
      <c r="K36" s="862">
        <v>2</v>
      </c>
      <c r="L36" s="2140"/>
      <c r="M36" s="2132"/>
      <c r="N36" s="2132"/>
      <c r="O36" s="2139"/>
      <c r="P36" s="4211"/>
      <c r="Q36" s="1569" t="str">
        <f t="shared" si="11"/>
        <v>公共部分装修</v>
      </c>
      <c r="R36" s="1570" t="s">
        <v>11</v>
      </c>
      <c r="S36" s="1571">
        <f t="shared" si="12"/>
        <v>100</v>
      </c>
      <c r="T36" s="1570" t="s">
        <v>11</v>
      </c>
      <c r="U36" s="1571">
        <f t="shared" si="13"/>
        <v>100</v>
      </c>
      <c r="V36" s="1570" t="s">
        <v>11</v>
      </c>
      <c r="W36" s="1571">
        <f t="shared" si="14"/>
        <v>100</v>
      </c>
      <c r="X36" s="1564"/>
      <c r="Y36" s="4211"/>
      <c r="Z36" s="1572" t="str">
        <f t="shared" si="15"/>
        <v>公共部分装修</v>
      </c>
      <c r="AA36" s="1573">
        <f t="shared" si="3"/>
        <v>1</v>
      </c>
      <c r="AB36" s="1573">
        <f t="shared" si="4"/>
        <v>1</v>
      </c>
      <c r="AC36" s="1573">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11"/>
      <c r="Q37" s="1149" t="str">
        <f t="shared" si="11"/>
        <v>成新度</v>
      </c>
      <c r="R37" s="1565" t="s">
        <v>11</v>
      </c>
      <c r="S37" s="1566">
        <f t="shared" si="12"/>
        <v>100</v>
      </c>
      <c r="T37" s="1565" t="s">
        <v>11</v>
      </c>
      <c r="U37" s="1566">
        <f t="shared" si="13"/>
        <v>100</v>
      </c>
      <c r="V37" s="1565" t="s">
        <v>11</v>
      </c>
      <c r="W37" s="1566">
        <f t="shared" si="14"/>
        <v>100</v>
      </c>
      <c r="X37" s="1567"/>
      <c r="Y37" s="4211"/>
      <c r="Z37" s="1148" t="str">
        <f t="shared" si="15"/>
        <v>成新度</v>
      </c>
      <c r="AA37" s="1568">
        <f t="shared" si="3"/>
        <v>1</v>
      </c>
      <c r="AB37" s="1568">
        <f t="shared" si="4"/>
        <v>1</v>
      </c>
      <c r="AC37" s="1568">
        <f t="shared" si="5"/>
        <v>1</v>
      </c>
    </row>
    <row r="38" spans="1:29" ht="15">
      <c r="A38" s="592"/>
      <c r="B38" s="525" t="s">
        <v>730</v>
      </c>
      <c r="C38" s="597" t="s">
        <v>4348</v>
      </c>
      <c r="D38" s="538">
        <v>100</v>
      </c>
      <c r="E38" s="872" t="s">
        <v>4348</v>
      </c>
      <c r="F38" s="573">
        <f>SUMIF(114:114,E38,115:115)-SUMIF(114:114,C38,115:115)+100</f>
        <v>100</v>
      </c>
      <c r="G38" s="597" t="s">
        <v>4348</v>
      </c>
      <c r="H38" s="538">
        <f>SUMIF(114:114,G38,115:115)-SUMIF(114:114,C38,115:115)+100</f>
        <v>100</v>
      </c>
      <c r="I38" s="872" t="s">
        <v>4348</v>
      </c>
      <c r="J38" s="538">
        <f>SUMIF(114:114,I38,115:115)-SUMIF(114:114,C38,115:115)+100</f>
        <v>100</v>
      </c>
      <c r="K38" s="862">
        <v>2</v>
      </c>
      <c r="L38" s="2140"/>
      <c r="M38" s="2132"/>
      <c r="N38" s="2132"/>
      <c r="O38" s="2139"/>
      <c r="P38" s="4211" t="s">
        <v>550</v>
      </c>
      <c r="Q38" s="1569" t="str">
        <f t="shared" si="11"/>
        <v>物业管理</v>
      </c>
      <c r="R38" s="1570" t="s">
        <v>11</v>
      </c>
      <c r="S38" s="1571">
        <f t="shared" si="12"/>
        <v>100</v>
      </c>
      <c r="T38" s="1570" t="s">
        <v>11</v>
      </c>
      <c r="U38" s="1571">
        <f t="shared" si="13"/>
        <v>100</v>
      </c>
      <c r="V38" s="1570" t="s">
        <v>11</v>
      </c>
      <c r="W38" s="1571">
        <f t="shared" si="14"/>
        <v>100</v>
      </c>
      <c r="X38" s="1564"/>
      <c r="Y38" s="4211" t="s">
        <v>550</v>
      </c>
      <c r="Z38" s="1572" t="str">
        <f t="shared" si="15"/>
        <v>物业管理</v>
      </c>
      <c r="AA38" s="1573">
        <f t="shared" si="3"/>
        <v>1</v>
      </c>
      <c r="AB38" s="1573">
        <f t="shared" si="4"/>
        <v>1</v>
      </c>
      <c r="AC38" s="1573">
        <f t="shared" si="5"/>
        <v>1</v>
      </c>
    </row>
    <row r="39" spans="1:29" ht="15">
      <c r="A39" s="592"/>
      <c r="B39" s="1893" t="s">
        <v>2564</v>
      </c>
      <c r="C39" s="597" t="s">
        <v>4350</v>
      </c>
      <c r="D39" s="538">
        <v>100</v>
      </c>
      <c r="E39" s="872" t="s">
        <v>4350</v>
      </c>
      <c r="F39" s="573">
        <f>SUMIF(116:116,E39,117:117)-SUMIF(116:116,C39,117:117)+100</f>
        <v>100</v>
      </c>
      <c r="G39" s="597" t="s">
        <v>4350</v>
      </c>
      <c r="H39" s="538">
        <f>SUMIF(116:116,G39,117:117)-SUMIF(116:116,C39,117:117)+100</f>
        <v>100</v>
      </c>
      <c r="I39" s="872" t="s">
        <v>4350</v>
      </c>
      <c r="J39" s="538">
        <f>SUMIF(116:116,I39,117:117)-SUMIF(116:116,C39,117:117)+100</f>
        <v>100</v>
      </c>
      <c r="K39" s="862">
        <v>2</v>
      </c>
      <c r="L39" s="2140"/>
      <c r="M39" s="2132"/>
      <c r="N39" s="2132"/>
      <c r="O39" s="2139"/>
      <c r="P39" s="4211"/>
      <c r="Q39" s="1569" t="str">
        <f t="shared" si="11"/>
        <v>市政基础设施</v>
      </c>
      <c r="R39" s="1570" t="s">
        <v>11</v>
      </c>
      <c r="S39" s="1571">
        <f t="shared" si="12"/>
        <v>100</v>
      </c>
      <c r="T39" s="1570" t="s">
        <v>11</v>
      </c>
      <c r="U39" s="1571">
        <f t="shared" si="13"/>
        <v>100</v>
      </c>
      <c r="V39" s="1570" t="s">
        <v>11</v>
      </c>
      <c r="W39" s="1571">
        <f t="shared" si="14"/>
        <v>100</v>
      </c>
      <c r="X39" s="1564"/>
      <c r="Y39" s="4211"/>
      <c r="Z39" s="1572" t="str">
        <f t="shared" si="15"/>
        <v>市政基础设施</v>
      </c>
      <c r="AA39" s="1573">
        <f t="shared" si="3"/>
        <v>1</v>
      </c>
      <c r="AB39" s="1573">
        <f t="shared" si="4"/>
        <v>1</v>
      </c>
      <c r="AC39" s="1573">
        <f t="shared" si="5"/>
        <v>1</v>
      </c>
    </row>
    <row r="40" spans="1:29" ht="15">
      <c r="A40" s="592"/>
      <c r="B40" s="525" t="s">
        <v>731</v>
      </c>
      <c r="C40" s="597" t="s">
        <v>4352</v>
      </c>
      <c r="D40" s="538">
        <v>100</v>
      </c>
      <c r="E40" s="872" t="s">
        <v>4352</v>
      </c>
      <c r="F40" s="573">
        <f>SUMIF(118:118,E40,119:119)-SUMIF(118:118,C40,119:119)+100</f>
        <v>100</v>
      </c>
      <c r="G40" s="597" t="s">
        <v>4352</v>
      </c>
      <c r="H40" s="538">
        <f>SUMIF(118:118,G40,119:119)-SUMIF(118:118,C40,119:119)+100</f>
        <v>100</v>
      </c>
      <c r="I40" s="872" t="s">
        <v>4352</v>
      </c>
      <c r="J40" s="538">
        <f>SUMIF(118:118,I40,119:119)-SUMIF(118:118,C40,119:119)+100</f>
        <v>100</v>
      </c>
      <c r="K40" s="862">
        <v>2</v>
      </c>
      <c r="L40" s="2140"/>
      <c r="M40" s="2132"/>
      <c r="N40" s="2132"/>
      <c r="O40" s="2139"/>
      <c r="P40" s="4211"/>
      <c r="Q40" s="1569" t="str">
        <f t="shared" si="11"/>
        <v>房型</v>
      </c>
      <c r="R40" s="1570" t="s">
        <v>11</v>
      </c>
      <c r="S40" s="1571">
        <f t="shared" si="12"/>
        <v>100</v>
      </c>
      <c r="T40" s="1570" t="s">
        <v>11</v>
      </c>
      <c r="U40" s="1571">
        <f t="shared" si="13"/>
        <v>100</v>
      </c>
      <c r="V40" s="1570" t="s">
        <v>11</v>
      </c>
      <c r="W40" s="1571">
        <f t="shared" si="14"/>
        <v>100</v>
      </c>
      <c r="X40" s="1564"/>
      <c r="Y40" s="4211"/>
      <c r="Z40" s="1572" t="str">
        <f t="shared" si="15"/>
        <v>房型</v>
      </c>
      <c r="AA40" s="1573">
        <f t="shared" si="3"/>
        <v>1</v>
      </c>
      <c r="AB40" s="1573">
        <f t="shared" si="4"/>
        <v>1</v>
      </c>
      <c r="AC40" s="1573">
        <f t="shared" si="5"/>
        <v>1</v>
      </c>
    </row>
    <row r="41" spans="1:29" s="1337" customFormat="1" ht="42">
      <c r="A41" s="601"/>
      <c r="B41" s="525" t="s">
        <v>732</v>
      </c>
      <c r="C41" s="531"/>
      <c r="D41" s="253">
        <v>100</v>
      </c>
      <c r="E41" s="532" t="s">
        <v>4429</v>
      </c>
      <c r="F41" s="861">
        <f>SUMIF(120:120,E41,121:121)-SUMIF(120:120,C41,121:121)+100</f>
        <v>100</v>
      </c>
      <c r="G41" s="531" t="s">
        <v>4430</v>
      </c>
      <c r="H41" s="253">
        <f>SUMIF(120:120,G41,121:121)-SUMIF(120:120,C41,121:121)+100</f>
        <v>100</v>
      </c>
      <c r="I41" s="532">
        <v>148</v>
      </c>
      <c r="J41" s="538">
        <f>SUMIF(120:120,I41,121:121)-SUMIF(120:120,C41,121:121)+100</f>
        <v>100</v>
      </c>
      <c r="K41" s="863"/>
      <c r="L41" s="2138"/>
      <c r="M41" s="2169"/>
      <c r="N41" s="2169"/>
      <c r="O41" s="2141"/>
      <c r="P41" s="4211"/>
      <c r="Q41" s="1602" t="str">
        <f t="shared" si="11"/>
        <v>单套/主力户型建筑面积</v>
      </c>
      <c r="R41" s="1574" t="s">
        <v>11</v>
      </c>
      <c r="S41" s="1575">
        <f t="shared" si="12"/>
        <v>100</v>
      </c>
      <c r="T41" s="1574" t="s">
        <v>11</v>
      </c>
      <c r="U41" s="1575">
        <f t="shared" si="13"/>
        <v>100</v>
      </c>
      <c r="V41" s="1574" t="s">
        <v>11</v>
      </c>
      <c r="W41" s="1575">
        <f t="shared" si="14"/>
        <v>100</v>
      </c>
      <c r="X41" s="1576"/>
      <c r="Y41" s="4211"/>
      <c r="Z41" s="1577" t="str">
        <f t="shared" si="15"/>
        <v>单套/主力户型建筑面积</v>
      </c>
      <c r="AA41" s="1573">
        <f t="shared" si="3"/>
        <v>1</v>
      </c>
      <c r="AB41" s="1573">
        <f t="shared" si="4"/>
        <v>1</v>
      </c>
      <c r="AC41" s="1573">
        <f t="shared" si="5"/>
        <v>1</v>
      </c>
    </row>
    <row r="42" spans="1:29" ht="15">
      <c r="A42" s="592"/>
      <c r="B42" s="525" t="s">
        <v>733</v>
      </c>
      <c r="C42" s="597" t="s">
        <v>4354</v>
      </c>
      <c r="D42" s="538">
        <v>100</v>
      </c>
      <c r="E42" s="872" t="s">
        <v>4534</v>
      </c>
      <c r="F42" s="573">
        <f>SUMIF(122:122,E42,123:123)-SUMIF(122:122,C42,123:123)+100</f>
        <v>105</v>
      </c>
      <c r="G42" s="3456" t="s">
        <v>4346</v>
      </c>
      <c r="H42" s="538">
        <f>SUMIF(122:122,G42,123:123)-SUMIF(122:122,C42,123:123)+100</f>
        <v>110</v>
      </c>
      <c r="I42" s="3456" t="s">
        <v>4354</v>
      </c>
      <c r="J42" s="538">
        <f>SUMIF(122:122,I42,123:123)-SUMIF(122:122,C42,123:123)+100</f>
        <v>100</v>
      </c>
      <c r="K42" s="862">
        <v>5</v>
      </c>
      <c r="L42" s="2140"/>
      <c r="M42" s="2132"/>
      <c r="N42" s="2132"/>
      <c r="O42" s="2139"/>
      <c r="P42" s="4211"/>
      <c r="Q42" s="1569" t="str">
        <f t="shared" si="11"/>
        <v>内部装修</v>
      </c>
      <c r="R42" s="1570" t="s">
        <v>11</v>
      </c>
      <c r="S42" s="1571">
        <f t="shared" si="12"/>
        <v>105</v>
      </c>
      <c r="T42" s="1570" t="s">
        <v>11</v>
      </c>
      <c r="U42" s="1571">
        <f t="shared" si="13"/>
        <v>110</v>
      </c>
      <c r="V42" s="1570" t="s">
        <v>11</v>
      </c>
      <c r="W42" s="1571">
        <f t="shared" si="14"/>
        <v>100</v>
      </c>
      <c r="X42" s="1564"/>
      <c r="Y42" s="4211"/>
      <c r="Z42" s="1572" t="str">
        <f t="shared" si="15"/>
        <v>内部装修</v>
      </c>
      <c r="AA42" s="1573">
        <f t="shared" si="3"/>
        <v>0.95238095238095233</v>
      </c>
      <c r="AB42" s="1573">
        <f t="shared" si="4"/>
        <v>0.90909090909090906</v>
      </c>
      <c r="AC42" s="1573">
        <f t="shared" si="5"/>
        <v>1</v>
      </c>
    </row>
    <row r="43" spans="1:29" ht="27.75" thickBot="1">
      <c r="A43" s="592"/>
      <c r="B43" s="525" t="s">
        <v>734</v>
      </c>
      <c r="C43" s="3411" t="s">
        <v>4362</v>
      </c>
      <c r="D43" s="544">
        <v>100</v>
      </c>
      <c r="E43" s="872" t="s">
        <v>4362</v>
      </c>
      <c r="F43" s="573">
        <f>SUMIF(124:124,E43,125:125)-SUMIF(124:124,C43,125:125)+100</f>
        <v>100</v>
      </c>
      <c r="G43" s="3411" t="s">
        <v>4362</v>
      </c>
      <c r="H43" s="544">
        <f>SUMIF(124:124,G43,125:125)-SUMIF(124:124,C43,125:125)+100</f>
        <v>100</v>
      </c>
      <c r="I43" s="597" t="s">
        <v>4362</v>
      </c>
      <c r="J43" s="538">
        <f>SUMIF(124:124,I43,125:125)-SUMIF(124:124,C43,125:125)+100</f>
        <v>100</v>
      </c>
      <c r="K43" s="862">
        <v>2</v>
      </c>
      <c r="L43" s="2140"/>
      <c r="M43" s="2132"/>
      <c r="N43" s="2132"/>
      <c r="O43" s="2139"/>
      <c r="P43" s="4211"/>
      <c r="Q43" s="1569" t="str">
        <f t="shared" si="11"/>
        <v>内部装修维护情况</v>
      </c>
      <c r="R43" s="1570" t="s">
        <v>11</v>
      </c>
      <c r="S43" s="1571">
        <f t="shared" si="12"/>
        <v>100</v>
      </c>
      <c r="T43" s="1570" t="s">
        <v>11</v>
      </c>
      <c r="U43" s="1571">
        <f t="shared" si="13"/>
        <v>100</v>
      </c>
      <c r="V43" s="1570" t="s">
        <v>11</v>
      </c>
      <c r="W43" s="1571">
        <f t="shared" si="14"/>
        <v>100</v>
      </c>
      <c r="X43" s="1564"/>
      <c r="Y43" s="4211"/>
      <c r="Z43" s="1572" t="str">
        <f t="shared" si="15"/>
        <v>内部装修维护情况</v>
      </c>
      <c r="AA43" s="1573">
        <f t="shared" si="3"/>
        <v>1</v>
      </c>
      <c r="AB43" s="1573">
        <f t="shared" si="4"/>
        <v>1</v>
      </c>
      <c r="AC43" s="1573">
        <f t="shared" si="5"/>
        <v>1</v>
      </c>
    </row>
    <row r="44" spans="1:29" s="1218" customFormat="1" ht="15" hidden="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11"/>
      <c r="Q44" s="1149">
        <f t="shared" si="11"/>
        <v>0</v>
      </c>
      <c r="R44" s="1565" t="s">
        <v>11</v>
      </c>
      <c r="S44" s="1566">
        <f t="shared" si="12"/>
        <v>100</v>
      </c>
      <c r="T44" s="1565" t="s">
        <v>11</v>
      </c>
      <c r="U44" s="1566">
        <f t="shared" si="13"/>
        <v>100</v>
      </c>
      <c r="V44" s="1565" t="s">
        <v>11</v>
      </c>
      <c r="W44" s="1566">
        <f t="shared" si="14"/>
        <v>100</v>
      </c>
      <c r="X44" s="1567"/>
      <c r="Y44" s="4211"/>
      <c r="Z44" s="1148">
        <f t="shared" si="15"/>
        <v>0</v>
      </c>
      <c r="AA44" s="1568">
        <f t="shared" si="3"/>
        <v>1</v>
      </c>
      <c r="AB44" s="1568">
        <f t="shared" si="4"/>
        <v>1</v>
      </c>
      <c r="AC44" s="1568">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11"/>
      <c r="Q45" s="1569">
        <f t="shared" si="11"/>
        <v>0</v>
      </c>
      <c r="R45" s="1570" t="s">
        <v>11</v>
      </c>
      <c r="S45" s="1571">
        <f t="shared" si="12"/>
        <v>100</v>
      </c>
      <c r="T45" s="1570" t="s">
        <v>11</v>
      </c>
      <c r="U45" s="1571">
        <f t="shared" si="13"/>
        <v>100</v>
      </c>
      <c r="V45" s="1570" t="s">
        <v>11</v>
      </c>
      <c r="W45" s="1571">
        <f t="shared" si="14"/>
        <v>100</v>
      </c>
      <c r="X45" s="1564"/>
      <c r="Y45" s="4211"/>
      <c r="Z45" s="1572">
        <f t="shared" si="15"/>
        <v>0</v>
      </c>
      <c r="AA45" s="1573">
        <f t="shared" si="3"/>
        <v>1</v>
      </c>
      <c r="AB45" s="1573">
        <f t="shared" si="4"/>
        <v>1</v>
      </c>
      <c r="AC45" s="1573">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12"/>
      <c r="Q46" s="1569">
        <f t="shared" si="11"/>
        <v>0</v>
      </c>
      <c r="R46" s="1570" t="s">
        <v>10</v>
      </c>
      <c r="S46" s="1571">
        <f t="shared" si="12"/>
        <v>100</v>
      </c>
      <c r="T46" s="1570" t="s">
        <v>10</v>
      </c>
      <c r="U46" s="1571">
        <f t="shared" si="13"/>
        <v>100</v>
      </c>
      <c r="V46" s="1570" t="s">
        <v>10</v>
      </c>
      <c r="W46" s="1571">
        <f t="shared" si="14"/>
        <v>100</v>
      </c>
      <c r="X46" s="1564"/>
      <c r="Y46" s="4312"/>
      <c r="Z46" s="1572">
        <f t="shared" si="15"/>
        <v>0</v>
      </c>
      <c r="AA46" s="1573">
        <f t="shared" si="3"/>
        <v>1</v>
      </c>
      <c r="AB46" s="1573">
        <f t="shared" si="4"/>
        <v>1</v>
      </c>
      <c r="AC46" s="1573">
        <f t="shared" si="5"/>
        <v>1</v>
      </c>
    </row>
    <row r="47" spans="1:29" ht="15">
      <c r="A47" s="605" t="s">
        <v>735</v>
      </c>
      <c r="B47" s="885"/>
      <c r="C47" s="2649" t="s">
        <v>9</v>
      </c>
      <c r="D47" s="2650"/>
      <c r="E47" s="2651">
        <f>ROUND((12000)*0.98,0)</f>
        <v>11760</v>
      </c>
      <c r="F47" s="2652"/>
      <c r="G47" s="2651">
        <f>ROUND((13000)*0.98,0)</f>
        <v>12740</v>
      </c>
      <c r="H47" s="2654"/>
      <c r="I47" s="2651">
        <f>10500*0.97</f>
        <v>10185</v>
      </c>
      <c r="J47" s="2654"/>
      <c r="K47" s="1603"/>
      <c r="L47" s="2142"/>
      <c r="M47" s="2143"/>
      <c r="N47" s="2132"/>
      <c r="O47" s="2143"/>
      <c r="P47" s="4206" t="str">
        <f>A47</f>
        <v>成交单价（元/平方米）</v>
      </c>
      <c r="Q47" s="4206"/>
      <c r="R47" s="4311">
        <f>E47</f>
        <v>11760</v>
      </c>
      <c r="S47" s="4311"/>
      <c r="T47" s="4311">
        <f>G47</f>
        <v>12740</v>
      </c>
      <c r="U47" s="4311"/>
      <c r="V47" s="4311">
        <f>I47</f>
        <v>10185</v>
      </c>
      <c r="W47" s="4311"/>
      <c r="X47" s="1556"/>
      <c r="Y47" s="1578"/>
      <c r="Z47" s="1556"/>
      <c r="AA47" s="1556"/>
      <c r="AB47" s="1556"/>
      <c r="AC47" s="1556"/>
    </row>
    <row r="48" spans="1:29" ht="15.75" thickBot="1">
      <c r="A48" s="613" t="s">
        <v>2759</v>
      </c>
      <c r="B48" s="886"/>
      <c r="C48" s="2655">
        <f>R49</f>
        <v>10237</v>
      </c>
      <c r="D48" s="2656"/>
      <c r="E48" s="2657">
        <f>R48</f>
        <v>10980</v>
      </c>
      <c r="F48" s="2657"/>
      <c r="G48" s="2655">
        <f>T48</f>
        <v>10499</v>
      </c>
      <c r="H48" s="2656"/>
      <c r="I48" s="2657">
        <f>V48</f>
        <v>9233</v>
      </c>
      <c r="J48" s="2656"/>
      <c r="K48" s="1604"/>
      <c r="L48" s="2142"/>
      <c r="M48" s="2143"/>
      <c r="N48" s="2143"/>
      <c r="O48" s="2143"/>
      <c r="P48" s="4206" t="str">
        <f>A48</f>
        <v>比较价格（元/平方米）</v>
      </c>
      <c r="Q48" s="4206"/>
      <c r="R48" s="4311">
        <f>IF(F1="售价",ROUND(PRODUCT(R47,AA7:AA46),0),ROUND(PRODUCT(R47,AA7:AA46),1))</f>
        <v>10980</v>
      </c>
      <c r="S48" s="4311"/>
      <c r="T48" s="4311">
        <f>IF(F1="售价",ROUND(PRODUCT(T47,AB7:AB46),0),ROUND(PRODUCT(T47,AB7:AB46),1))</f>
        <v>10499</v>
      </c>
      <c r="U48" s="4311"/>
      <c r="V48" s="4311">
        <f>IF(F1="售价",ROUND(PRODUCT(V47,AC7:AC46),0),ROUND(PRODUCT(V47,AC7:AC46),1))</f>
        <v>9233</v>
      </c>
      <c r="W48" s="4311"/>
      <c r="X48" s="1556"/>
      <c r="Y48" s="1556"/>
      <c r="Z48" s="1556"/>
      <c r="AA48" s="1556"/>
      <c r="AB48" s="1556"/>
      <c r="AC48" s="1556"/>
    </row>
    <row r="49" spans="1:29" ht="15.75" thickBot="1">
      <c r="A49" s="619" t="s">
        <v>2923</v>
      </c>
      <c r="B49" s="620"/>
      <c r="C49" s="2658">
        <f>R49</f>
        <v>10237</v>
      </c>
      <c r="D49" s="2658"/>
      <c r="E49" s="2658"/>
      <c r="F49" s="2658"/>
      <c r="G49" s="2658"/>
      <c r="H49" s="2658"/>
      <c r="I49" s="2658"/>
      <c r="J49" s="2658"/>
      <c r="K49" s="1605"/>
      <c r="L49" s="2142"/>
      <c r="M49" s="2143"/>
      <c r="N49" s="2143"/>
      <c r="O49" s="2143"/>
      <c r="P49" s="4227" t="str">
        <f>A49</f>
        <v>估价对象XX用房的比较价格（楼面单价，元/平方米）</v>
      </c>
      <c r="Q49" s="4228"/>
      <c r="R49" s="4310">
        <f>IF(F1="售价",ROUND(AVERAGE(R48:V48),0),ROUND(AVERAGE(R48:V48),1))</f>
        <v>10237</v>
      </c>
      <c r="S49" s="4310"/>
      <c r="T49" s="4310"/>
      <c r="U49" s="4310"/>
      <c r="V49" s="4310"/>
      <c r="W49" s="431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7.1038251366120297E-2</v>
      </c>
      <c r="F52" s="625" t="str">
        <f>IF(OR(E52&gt;=0.3,E52&lt;=-0.3),"超过30%","")</f>
        <v/>
      </c>
      <c r="G52" s="624">
        <f>IF(G47&lt;G48,G48/G47-1,G47/G48-1)</f>
        <v>0.21344889989522819</v>
      </c>
      <c r="H52" s="625" t="str">
        <f>IF(OR(G52&gt;=0.3,G52&lt;=-0.3),"超过30%","")</f>
        <v/>
      </c>
      <c r="I52" s="624">
        <f>IF(I47&lt;I48,I48/I47-1,I47/I48-1)</f>
        <v>0.10310841546626226</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4.5813887036860734E-2</v>
      </c>
      <c r="F53" s="625" t="str">
        <f>IF(OR(E53&gt;=0.2,E53&lt;=-0.2),"超过20%","")</f>
        <v/>
      </c>
      <c r="G53" s="624">
        <f>IF(G48&lt;I48,I48/G48-1,G48/I48-1)</f>
        <v>0.13711686342467244</v>
      </c>
      <c r="H53" s="625" t="str">
        <f>IF(OR(G53&gt;=0.2,G53&lt;=-0.2),"超过20%","")</f>
        <v/>
      </c>
      <c r="I53" s="624">
        <f>IF(I48&lt;E48,E48/I48-1,I48/E48-1)</f>
        <v>0.18921260695331954</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8.3333333333333259E-2</v>
      </c>
      <c r="F54" s="625" t="str">
        <f>IF(OR(E54&gt;=0.3,E54&lt;=-0.3),"超过30%","")</f>
        <v/>
      </c>
      <c r="G54" s="624">
        <f>IF(G47&lt;I47,I47/G47-1,G47/I47-1)</f>
        <v>0.25085910652920962</v>
      </c>
      <c r="H54" s="625" t="str">
        <f>IF(OR(G54&gt;=0.3,G54&lt;=-0.3),"超过30%","")</f>
        <v/>
      </c>
      <c r="I54" s="624">
        <f>IF(I47&lt;E47,E47/I47-1,I47/E47-1)</f>
        <v>0.15463917525773185</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95</v>
      </c>
      <c r="E77" s="677">
        <f>D77-$K15</f>
        <v>90</v>
      </c>
      <c r="F77" s="677">
        <f>E77-$K15</f>
        <v>85</v>
      </c>
      <c r="G77" s="677">
        <f>F77-$K15</f>
        <v>80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97</v>
      </c>
      <c r="E85" s="677">
        <f>D85-$K23</f>
        <v>94</v>
      </c>
      <c r="F85" s="677">
        <f>E85-$K23</f>
        <v>91</v>
      </c>
      <c r="G85" s="677">
        <f>F85-$K23</f>
        <v>88</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hidden="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hidden="1"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hidden="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4340</v>
      </c>
      <c r="D100" s="3406" t="s">
        <v>4341</v>
      </c>
      <c r="E100" s="3406" t="s">
        <v>4342</v>
      </c>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4343</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4345</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4347</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4349</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4351</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4353</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4347</v>
      </c>
      <c r="D122" s="3407" t="s">
        <v>4356</v>
      </c>
      <c r="E122" s="3407" t="s">
        <v>4355</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0"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05" t="s">
        <v>2040</v>
      </c>
      <c r="B1" s="3905"/>
      <c r="C1" s="3905"/>
      <c r="D1" s="3905"/>
      <c r="E1" s="3905"/>
      <c r="F1" s="3905"/>
      <c r="G1" s="3905"/>
      <c r="H1" s="3905"/>
      <c r="I1" s="3905"/>
      <c r="J1" s="3905"/>
      <c r="K1" s="3905"/>
      <c r="L1" s="3905"/>
      <c r="M1" s="3905"/>
      <c r="N1" s="3905"/>
      <c r="O1" s="3905"/>
      <c r="P1" s="3905"/>
      <c r="Q1" s="3905"/>
      <c r="R1" s="3905"/>
    </row>
    <row r="2" spans="1:18">
      <c r="A2" s="1805" t="s">
        <v>2042</v>
      </c>
      <c r="B2" s="1805"/>
      <c r="C2" s="1805"/>
      <c r="D2" s="1805"/>
      <c r="E2" s="1805"/>
      <c r="F2" s="1805"/>
      <c r="G2" s="1805"/>
      <c r="H2" s="1805"/>
      <c r="I2" s="1806"/>
      <c r="J2" s="1806"/>
      <c r="K2" s="1807" t="str">
        <f>"估价期日："&amp;TEXT(项目基本情况!D3,"yyyy年m月d日;;")</f>
        <v>估价期日：2018年5月31日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906" t="s">
        <v>2031</v>
      </c>
      <c r="B3" s="3906" t="s">
        <v>2730</v>
      </c>
      <c r="C3" s="3907" t="s">
        <v>2032</v>
      </c>
      <c r="D3" s="3906" t="s">
        <v>2734</v>
      </c>
      <c r="E3" s="3909" t="s">
        <v>2033</v>
      </c>
      <c r="F3" s="3909"/>
      <c r="G3" s="3909"/>
      <c r="H3" s="3909" t="s">
        <v>2034</v>
      </c>
      <c r="I3" s="3909"/>
      <c r="J3" s="3909"/>
      <c r="K3" s="3907" t="s">
        <v>2035</v>
      </c>
      <c r="L3" s="3907" t="s">
        <v>2036</v>
      </c>
      <c r="M3" s="3906" t="s">
        <v>2731</v>
      </c>
      <c r="N3" s="3908" t="str">
        <f>"（分摊）"&amp;项目基本情况!B16&amp;"国有建设用地使用权面积/㎡"</f>
        <v>（分摊）出让国有建设用地使用权面积/㎡</v>
      </c>
      <c r="O3" s="3906" t="s">
        <v>2065</v>
      </c>
      <c r="P3" s="3907" t="s">
        <v>2045</v>
      </c>
      <c r="Q3" s="3907" t="s">
        <v>2066</v>
      </c>
      <c r="R3" s="3907" t="s">
        <v>2037</v>
      </c>
    </row>
    <row r="4" spans="1:18" ht="36.75" customHeight="1">
      <c r="A4" s="3906"/>
      <c r="B4" s="3906"/>
      <c r="C4" s="3907"/>
      <c r="D4" s="3906"/>
      <c r="E4" s="2671" t="s">
        <v>2044</v>
      </c>
      <c r="F4" s="2671" t="s">
        <v>2743</v>
      </c>
      <c r="G4" s="2671" t="s">
        <v>2038</v>
      </c>
      <c r="H4" s="2671" t="s">
        <v>2039</v>
      </c>
      <c r="I4" s="2671" t="s">
        <v>2744</v>
      </c>
      <c r="J4" s="2671" t="s">
        <v>2038</v>
      </c>
      <c r="K4" s="3907"/>
      <c r="L4" s="3907"/>
      <c r="M4" s="3906"/>
      <c r="N4" s="3908"/>
      <c r="O4" s="3906"/>
      <c r="P4" s="3907"/>
      <c r="Q4" s="3907"/>
      <c r="R4" s="3907"/>
    </row>
    <row r="5" spans="1:18" ht="135" customHeight="1">
      <c r="A5" s="1941" t="s">
        <v>2654</v>
      </c>
      <c r="B5" s="2889" t="s">
        <v>2652</v>
      </c>
      <c r="C5" s="2670">
        <v>22</v>
      </c>
      <c r="D5" s="2669" t="s">
        <v>2653</v>
      </c>
      <c r="E5" s="1808" t="str">
        <f>项目基本情况!B12</f>
        <v>住宅、商业用地</v>
      </c>
      <c r="F5" s="2669">
        <v>258</v>
      </c>
      <c r="G5" s="1808" t="str">
        <f>项目基本情况!B13</f>
        <v>住宅、商业用地</v>
      </c>
      <c r="H5" s="2669">
        <v>1.5</v>
      </c>
      <c r="I5" s="2669">
        <v>1.5</v>
      </c>
      <c r="J5" s="2669">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410194.62</v>
      </c>
      <c r="O5" s="1808">
        <f>项目基本情况!C21</f>
        <v>446955.26</v>
      </c>
      <c r="P5" s="1808">
        <f ca="1">结果表!E42</f>
        <v>3664</v>
      </c>
      <c r="Q5" s="1808">
        <f ca="1">结果表!D42</f>
        <v>3362</v>
      </c>
      <c r="R5" s="1809">
        <f ca="1">结果表!C42</f>
        <v>150279</v>
      </c>
    </row>
    <row r="6" spans="1:18">
      <c r="A6" s="3902" t="str">
        <f>IF(项目基本情况!B9="市场价格","——","抵押价格")</f>
        <v>抵押价格</v>
      </c>
      <c r="B6" s="3903"/>
      <c r="C6" s="3903"/>
      <c r="D6" s="3903"/>
      <c r="E6" s="3903"/>
      <c r="F6" s="3903"/>
      <c r="G6" s="3903"/>
      <c r="H6" s="3903"/>
      <c r="I6" s="3903"/>
      <c r="J6" s="3903"/>
      <c r="K6" s="3903"/>
      <c r="L6" s="3903"/>
      <c r="M6" s="3903"/>
      <c r="N6" s="3903"/>
      <c r="O6" s="3903"/>
      <c r="P6" s="3903"/>
      <c r="Q6" s="3904"/>
      <c r="R6" s="1810">
        <f ca="1">结果表!O39</f>
        <v>103279</v>
      </c>
    </row>
    <row r="7" spans="1:18">
      <c r="A7" s="3902" t="str">
        <f>IF(项目基本情况!B9="市场价格","——",IF(项目基本情况!E8="已注销及未注销","抵押担保权已注销时的抵押价格","——"))</f>
        <v>——</v>
      </c>
      <c r="B7" s="3903"/>
      <c r="C7" s="3903"/>
      <c r="D7" s="3903"/>
      <c r="E7" s="3903"/>
      <c r="F7" s="3903"/>
      <c r="G7" s="3903"/>
      <c r="H7" s="3903"/>
      <c r="I7" s="3903"/>
      <c r="J7" s="3903"/>
      <c r="K7" s="3903"/>
      <c r="L7" s="3903"/>
      <c r="M7" s="3903"/>
      <c r="N7" s="3903"/>
      <c r="O7" s="3903"/>
      <c r="P7" s="3903"/>
      <c r="Q7" s="3904"/>
      <c r="R7" s="1810" t="str">
        <f>结果表!O40</f>
        <v>——</v>
      </c>
    </row>
    <row r="8" spans="1:18">
      <c r="A8" s="3902" t="str">
        <f>IF(项目基本情况!B9="市场价格","——",项目基本情况!E9)</f>
        <v>——</v>
      </c>
      <c r="B8" s="3903"/>
      <c r="C8" s="3903"/>
      <c r="D8" s="3903"/>
      <c r="E8" s="3903"/>
      <c r="F8" s="3903"/>
      <c r="G8" s="3903"/>
      <c r="H8" s="3903"/>
      <c r="I8" s="3903"/>
      <c r="J8" s="3903"/>
      <c r="K8" s="3903"/>
      <c r="L8" s="3903"/>
      <c r="M8" s="3903"/>
      <c r="N8" s="3903"/>
      <c r="O8" s="3903"/>
      <c r="P8" s="3903"/>
      <c r="Q8" s="3904"/>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756</v>
      </c>
      <c r="C1" s="502" t="s">
        <v>720</v>
      </c>
      <c r="D1" s="2368"/>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5">
      <c r="A4" s="510" t="s">
        <v>521</v>
      </c>
      <c r="B4" s="511"/>
      <c r="C4" s="4212" t="s">
        <v>522</v>
      </c>
      <c r="D4" s="4213"/>
      <c r="E4" s="4237" t="s">
        <v>523</v>
      </c>
      <c r="F4" s="4238"/>
      <c r="G4" s="4212" t="s">
        <v>524</v>
      </c>
      <c r="H4" s="4213"/>
      <c r="I4" s="4212" t="s">
        <v>525</v>
      </c>
      <c r="J4" s="4213"/>
      <c r="K4" s="512" t="s">
        <v>526</v>
      </c>
      <c r="L4" s="2131"/>
      <c r="M4" s="2132"/>
      <c r="N4" s="2132"/>
      <c r="O4" s="2132"/>
      <c r="P4" s="4214" t="s">
        <v>527</v>
      </c>
      <c r="Q4" s="4215"/>
      <c r="R4" s="4200" t="s">
        <v>523</v>
      </c>
      <c r="S4" s="4201"/>
      <c r="T4" s="4200" t="s">
        <v>524</v>
      </c>
      <c r="U4" s="4201"/>
      <c r="V4" s="4220" t="s">
        <v>525</v>
      </c>
      <c r="W4" s="4220"/>
      <c r="X4" s="1564"/>
      <c r="Y4" s="4200" t="s">
        <v>527</v>
      </c>
      <c r="Z4" s="4201"/>
      <c r="AA4" s="4195" t="s">
        <v>523</v>
      </c>
      <c r="AB4" s="4220" t="s">
        <v>524</v>
      </c>
      <c r="AC4" s="4195" t="s">
        <v>525</v>
      </c>
    </row>
    <row r="5" spans="1:29" ht="15">
      <c r="A5" s="513"/>
      <c r="B5" s="514"/>
      <c r="C5" s="4223" t="s">
        <v>2917</v>
      </c>
      <c r="D5" s="4224"/>
      <c r="E5" s="4239" t="s">
        <v>2918</v>
      </c>
      <c r="F5" s="4240"/>
      <c r="G5" s="4223" t="s">
        <v>2919</v>
      </c>
      <c r="H5" s="4224"/>
      <c r="I5" s="4223" t="s">
        <v>2920</v>
      </c>
      <c r="J5" s="4224"/>
      <c r="K5" s="512"/>
      <c r="L5" s="2131"/>
      <c r="M5" s="2132"/>
      <c r="N5" s="2132"/>
      <c r="O5" s="2132"/>
      <c r="P5" s="4216"/>
      <c r="Q5" s="4217"/>
      <c r="R5" s="4202"/>
      <c r="S5" s="4203"/>
      <c r="T5" s="4202"/>
      <c r="U5" s="4203"/>
      <c r="V5" s="4220"/>
      <c r="W5" s="4220"/>
      <c r="X5" s="1564"/>
      <c r="Y5" s="4202"/>
      <c r="Z5" s="4203"/>
      <c r="AA5" s="4196"/>
      <c r="AB5" s="4220"/>
      <c r="AC5" s="4196"/>
    </row>
    <row r="6" spans="1:29" ht="15.75" thickBot="1">
      <c r="A6" s="515"/>
      <c r="B6" s="516"/>
      <c r="C6" s="4221" t="s">
        <v>2921</v>
      </c>
      <c r="D6" s="4222"/>
      <c r="E6" s="4241" t="s">
        <v>2921</v>
      </c>
      <c r="F6" s="4242"/>
      <c r="G6" s="4221" t="s">
        <v>2921</v>
      </c>
      <c r="H6" s="4222"/>
      <c r="I6" s="4221" t="s">
        <v>2921</v>
      </c>
      <c r="J6" s="4222"/>
      <c r="K6" s="512" t="s">
        <v>528</v>
      </c>
      <c r="L6" s="2131"/>
      <c r="M6" s="2132"/>
      <c r="N6" s="2132"/>
      <c r="O6" s="2132"/>
      <c r="P6" s="4218"/>
      <c r="Q6" s="4219"/>
      <c r="R6" s="4202"/>
      <c r="S6" s="4203"/>
      <c r="T6" s="4204"/>
      <c r="U6" s="4205"/>
      <c r="V6" s="4220"/>
      <c r="W6" s="4220"/>
      <c r="X6" s="1564"/>
      <c r="Y6" s="4204"/>
      <c r="Z6" s="4205"/>
      <c r="AA6" s="4197"/>
      <c r="AB6" s="4220"/>
      <c r="AC6" s="4197"/>
    </row>
    <row r="7" spans="1:29" s="1218" customFormat="1" ht="15.75" thickBot="1">
      <c r="A7" s="2934"/>
      <c r="B7" s="2941" t="s">
        <v>529</v>
      </c>
      <c r="C7" s="517">
        <f>'数据-取费表'!B2</f>
        <v>43251</v>
      </c>
      <c r="D7" s="518">
        <v>100</v>
      </c>
      <c r="E7" s="519"/>
      <c r="F7" s="520">
        <f>SUMIF(58:58,YEAR(E7)&amp;"-"&amp;MONTH(E7),59:59)</f>
        <v>0</v>
      </c>
      <c r="G7" s="519"/>
      <c r="H7" s="518">
        <f>SUMIF(58:58,YEAR(G7)&amp;"-"&amp;MONTH(G7),59:59)</f>
        <v>0</v>
      </c>
      <c r="I7" s="519"/>
      <c r="J7" s="518">
        <f>SUMIF(58:58,YEAR(I7)&amp;"-"&amp;MONTH(I7),59:59)</f>
        <v>0</v>
      </c>
      <c r="K7" s="522"/>
      <c r="L7" s="2133"/>
      <c r="M7" s="2134"/>
      <c r="N7" s="2134"/>
      <c r="O7" s="2134"/>
      <c r="P7" s="4198" t="s">
        <v>530</v>
      </c>
      <c r="Q7" s="4207"/>
      <c r="R7" s="1565" t="s">
        <v>8</v>
      </c>
      <c r="S7" s="1566">
        <f t="shared" ref="S7:S15" si="0">F7</f>
        <v>0</v>
      </c>
      <c r="T7" s="1565" t="s">
        <v>8</v>
      </c>
      <c r="U7" s="1566">
        <f t="shared" ref="U7:U15" si="1">H7</f>
        <v>0</v>
      </c>
      <c r="V7" s="1565" t="s">
        <v>8</v>
      </c>
      <c r="W7" s="1566">
        <f t="shared" ref="W7:W15" si="2">J7</f>
        <v>0</v>
      </c>
      <c r="X7" s="1567"/>
      <c r="Y7" s="4198" t="s">
        <v>530</v>
      </c>
      <c r="Z7" s="4199"/>
      <c r="AA7" s="1568" t="e">
        <f>D7/F7</f>
        <v>#DIV/0!</v>
      </c>
      <c r="AB7" s="1568" t="e">
        <f>D7/H7</f>
        <v>#DIV/0!</v>
      </c>
      <c r="AC7" s="1568"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4198" t="s">
        <v>533</v>
      </c>
      <c r="Q8" s="4199"/>
      <c r="R8" s="1565" t="s">
        <v>8</v>
      </c>
      <c r="S8" s="1566">
        <f t="shared" si="0"/>
        <v>0</v>
      </c>
      <c r="T8" s="1565" t="s">
        <v>8</v>
      </c>
      <c r="U8" s="1566">
        <f t="shared" si="1"/>
        <v>0</v>
      </c>
      <c r="V8" s="1565" t="s">
        <v>8</v>
      </c>
      <c r="W8" s="1566">
        <f t="shared" si="2"/>
        <v>0</v>
      </c>
      <c r="X8" s="1567"/>
      <c r="Y8" s="4198" t="s">
        <v>533</v>
      </c>
      <c r="Z8" s="4199"/>
      <c r="AA8" s="1568" t="e">
        <f t="shared" ref="AA8:AA46" si="3">D8/F8</f>
        <v>#DIV/0!</v>
      </c>
      <c r="AB8" s="1568" t="e">
        <f t="shared" ref="AB8:AB46" si="4">D8/H8</f>
        <v>#DIV/0!</v>
      </c>
      <c r="AC8" s="1568" t="e">
        <f t="shared" ref="AC8:AC46" si="5">D8/J8</f>
        <v>#DIV/0!</v>
      </c>
    </row>
    <row r="9" spans="1:29" s="1218" customFormat="1" ht="15">
      <c r="A9" s="2936"/>
      <c r="B9" s="2943" t="s">
        <v>2755</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4206" t="s">
        <v>535</v>
      </c>
      <c r="Q9" s="1149" t="str">
        <f t="shared" ref="Q9:Q15" si="6">B9</f>
        <v>用途</v>
      </c>
      <c r="R9" s="1565" t="s">
        <v>8</v>
      </c>
      <c r="S9" s="1566">
        <f t="shared" si="0"/>
        <v>100</v>
      </c>
      <c r="T9" s="1565" t="s">
        <v>8</v>
      </c>
      <c r="U9" s="1566">
        <f t="shared" si="1"/>
        <v>100</v>
      </c>
      <c r="V9" s="1565" t="s">
        <v>8</v>
      </c>
      <c r="W9" s="1566">
        <f t="shared" si="2"/>
        <v>100</v>
      </c>
      <c r="X9" s="1567"/>
      <c r="Y9" s="4121"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4206"/>
      <c r="Q11" s="1149" t="str">
        <f t="shared" si="6"/>
        <v>容积率</v>
      </c>
      <c r="R11" s="1565" t="s">
        <v>8</v>
      </c>
      <c r="S11" s="1566" t="e">
        <f t="shared" si="0"/>
        <v>#N/A</v>
      </c>
      <c r="T11" s="1565" t="s">
        <v>8</v>
      </c>
      <c r="U11" s="1566" t="e">
        <f t="shared" si="1"/>
        <v>#N/A</v>
      </c>
      <c r="V11" s="1565" t="s">
        <v>8</v>
      </c>
      <c r="W11" s="1566" t="e">
        <f t="shared" si="2"/>
        <v>#N/A</v>
      </c>
      <c r="X11" s="1567"/>
      <c r="Y11" s="4121"/>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4206"/>
      <c r="Q12" s="1149">
        <f t="shared" si="6"/>
        <v>111</v>
      </c>
      <c r="R12" s="1565" t="s">
        <v>8</v>
      </c>
      <c r="S12" s="1566">
        <f t="shared" si="0"/>
        <v>100</v>
      </c>
      <c r="T12" s="1565" t="s">
        <v>8</v>
      </c>
      <c r="U12" s="1566">
        <f t="shared" si="1"/>
        <v>100</v>
      </c>
      <c r="V12" s="1565" t="s">
        <v>8</v>
      </c>
      <c r="W12" s="1566">
        <f t="shared" si="2"/>
        <v>100</v>
      </c>
      <c r="X12" s="1567"/>
      <c r="Y12" s="4121"/>
      <c r="Z12" s="1148">
        <f t="shared" si="7"/>
        <v>111</v>
      </c>
      <c r="AA12" s="1568">
        <f>D12/F12</f>
        <v>1</v>
      </c>
      <c r="AB12" s="1568">
        <f>D12/H12</f>
        <v>1</v>
      </c>
      <c r="AC12" s="1568">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4206"/>
      <c r="Q13" s="1149">
        <f t="shared" si="6"/>
        <v>111</v>
      </c>
      <c r="R13" s="1565" t="s">
        <v>8</v>
      </c>
      <c r="S13" s="1566">
        <f t="shared" si="0"/>
        <v>100</v>
      </c>
      <c r="T13" s="1565" t="s">
        <v>8</v>
      </c>
      <c r="U13" s="1566">
        <f t="shared" si="1"/>
        <v>100</v>
      </c>
      <c r="V13" s="1565" t="s">
        <v>8</v>
      </c>
      <c r="W13" s="1566">
        <f t="shared" si="2"/>
        <v>100</v>
      </c>
      <c r="X13" s="1567"/>
      <c r="Y13" s="4121"/>
      <c r="Z13" s="1148">
        <f t="shared" si="7"/>
        <v>111</v>
      </c>
      <c r="AA13" s="1568">
        <f t="shared" si="3"/>
        <v>1</v>
      </c>
      <c r="AB13" s="1568">
        <f t="shared" si="4"/>
        <v>1</v>
      </c>
      <c r="AC13" s="1568">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4206"/>
      <c r="Q14" s="1149">
        <f t="shared" si="6"/>
        <v>111</v>
      </c>
      <c r="R14" s="1565" t="s">
        <v>8</v>
      </c>
      <c r="S14" s="1566">
        <f t="shared" si="0"/>
        <v>100</v>
      </c>
      <c r="T14" s="1565" t="s">
        <v>8</v>
      </c>
      <c r="U14" s="1566">
        <f t="shared" si="1"/>
        <v>100</v>
      </c>
      <c r="V14" s="1565" t="s">
        <v>8</v>
      </c>
      <c r="W14" s="1566">
        <f t="shared" si="2"/>
        <v>100</v>
      </c>
      <c r="X14" s="1567"/>
      <c r="Y14" s="4121"/>
      <c r="Z14" s="1148">
        <f t="shared" si="7"/>
        <v>111</v>
      </c>
      <c r="AA14" s="1568">
        <f t="shared" si="3"/>
        <v>1</v>
      </c>
      <c r="AB14" s="1568">
        <f t="shared" si="4"/>
        <v>1</v>
      </c>
      <c r="AC14" s="1568">
        <f t="shared" si="5"/>
        <v>1</v>
      </c>
    </row>
    <row r="15" spans="1:29" ht="28.5">
      <c r="A15" s="2932" t="s">
        <v>2753</v>
      </c>
      <c r="B15" s="166" t="s">
        <v>541</v>
      </c>
      <c r="C15" s="865" t="str">
        <f>估价对象房地状况!C4</f>
        <v>XX商圈，周边商业氛围，人流量</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4208" t="s">
        <v>540</v>
      </c>
      <c r="Q15" s="1569" t="str">
        <f t="shared" si="6"/>
        <v>商业繁华度</v>
      </c>
      <c r="R15" s="1570" t="s">
        <v>8</v>
      </c>
      <c r="S15" s="1571">
        <f t="shared" si="0"/>
        <v>100</v>
      </c>
      <c r="T15" s="1570" t="s">
        <v>8</v>
      </c>
      <c r="U15" s="1571">
        <f t="shared" si="1"/>
        <v>100</v>
      </c>
      <c r="V15" s="1570" t="s">
        <v>8</v>
      </c>
      <c r="W15" s="1571">
        <f t="shared" si="2"/>
        <v>100</v>
      </c>
      <c r="X15" s="1564"/>
      <c r="Y15" s="4208"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09"/>
      <c r="Q16" s="1569"/>
      <c r="R16" s="1570"/>
      <c r="S16" s="1571"/>
      <c r="T16" s="1570"/>
      <c r="U16" s="1571"/>
      <c r="V16" s="1570"/>
      <c r="W16" s="1571"/>
      <c r="X16" s="1564"/>
      <c r="Y16" s="4209"/>
      <c r="Z16" s="1572"/>
      <c r="AA16" s="1573">
        <v>1</v>
      </c>
      <c r="AB16" s="1573">
        <v>1</v>
      </c>
      <c r="AC16" s="1573">
        <v>1</v>
      </c>
    </row>
    <row r="17" spans="1:29" ht="57">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4209"/>
      <c r="Q17" s="1569" t="str">
        <f>B17</f>
        <v>交通便捷度</v>
      </c>
      <c r="R17" s="1570" t="s">
        <v>8</v>
      </c>
      <c r="S17" s="1571">
        <f>F17</f>
        <v>100</v>
      </c>
      <c r="T17" s="1570" t="s">
        <v>8</v>
      </c>
      <c r="U17" s="1571">
        <f>H17</f>
        <v>100</v>
      </c>
      <c r="V17" s="1570" t="s">
        <v>8</v>
      </c>
      <c r="W17" s="1571">
        <f>J17</f>
        <v>100</v>
      </c>
      <c r="X17" s="1564"/>
      <c r="Y17" s="420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09"/>
      <c r="Q18" s="1569"/>
      <c r="R18" s="1570"/>
      <c r="S18" s="1571"/>
      <c r="T18" s="1570"/>
      <c r="U18" s="1571"/>
      <c r="V18" s="1570"/>
      <c r="W18" s="1571"/>
      <c r="X18" s="1564"/>
      <c r="Y18" s="4209"/>
      <c r="Z18" s="1572"/>
      <c r="AA18" s="1573">
        <v>1</v>
      </c>
      <c r="AB18" s="1573">
        <v>1</v>
      </c>
      <c r="AC18" s="1573">
        <v>1</v>
      </c>
    </row>
    <row r="19" spans="1:29" ht="15">
      <c r="A19" s="530"/>
      <c r="B19" s="2622" t="s">
        <v>2546</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4209"/>
      <c r="Q19" s="1569" t="str">
        <f>B19</f>
        <v>公共配套设施</v>
      </c>
      <c r="R19" s="1570" t="s">
        <v>8</v>
      </c>
      <c r="S19" s="1571">
        <f>F19</f>
        <v>100</v>
      </c>
      <c r="T19" s="1570" t="s">
        <v>8</v>
      </c>
      <c r="U19" s="1571">
        <f>H19</f>
        <v>100</v>
      </c>
      <c r="V19" s="1570" t="s">
        <v>8</v>
      </c>
      <c r="W19" s="1571">
        <f>J19</f>
        <v>100</v>
      </c>
      <c r="X19" s="1564"/>
      <c r="Y19" s="4209"/>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4209"/>
      <c r="Q20" s="1569"/>
      <c r="R20" s="1570"/>
      <c r="S20" s="1571"/>
      <c r="T20" s="1570"/>
      <c r="U20" s="1571"/>
      <c r="V20" s="1570"/>
      <c r="W20" s="1571"/>
      <c r="X20" s="1564"/>
      <c r="Y20" s="4209"/>
      <c r="Z20" s="1572"/>
      <c r="AA20" s="1573">
        <v>1</v>
      </c>
      <c r="AB20" s="1573">
        <v>1</v>
      </c>
      <c r="AC20" s="1573">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4209"/>
      <c r="Q21" s="2601" t="str">
        <f>B21</f>
        <v>基础设施水平</v>
      </c>
      <c r="R21" s="1570" t="s">
        <v>8</v>
      </c>
      <c r="S21" s="1571">
        <f>F21</f>
        <v>100</v>
      </c>
      <c r="T21" s="1570" t="s">
        <v>8</v>
      </c>
      <c r="U21" s="1571">
        <f>H21</f>
        <v>100</v>
      </c>
      <c r="V21" s="1570" t="s">
        <v>8</v>
      </c>
      <c r="W21" s="1571">
        <f>J21</f>
        <v>100</v>
      </c>
      <c r="X21" s="2603"/>
      <c r="Y21" s="4209"/>
      <c r="Z21" s="2602"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24"/>
      <c r="L22" s="2140"/>
      <c r="M22" s="2132"/>
      <c r="N22" s="2132"/>
      <c r="O22" s="2139"/>
      <c r="P22" s="4209"/>
      <c r="Q22" s="2601"/>
      <c r="R22" s="1570"/>
      <c r="S22" s="1571"/>
      <c r="T22" s="1570"/>
      <c r="U22" s="1571"/>
      <c r="V22" s="1570"/>
      <c r="W22" s="1571"/>
      <c r="X22" s="2603"/>
      <c r="Y22" s="4209"/>
      <c r="Z22" s="2602"/>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4209"/>
      <c r="Q23" s="1569" t="str">
        <f>B23</f>
        <v>自然及人文环境</v>
      </c>
      <c r="R23" s="1570" t="s">
        <v>8</v>
      </c>
      <c r="S23" s="1571">
        <f>F23</f>
        <v>100</v>
      </c>
      <c r="T23" s="1570" t="s">
        <v>8</v>
      </c>
      <c r="U23" s="1571">
        <f>H23</f>
        <v>100</v>
      </c>
      <c r="V23" s="1570" t="s">
        <v>8</v>
      </c>
      <c r="W23" s="1571">
        <f>J23</f>
        <v>100</v>
      </c>
      <c r="X23" s="1564"/>
      <c r="Y23" s="4209"/>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4209"/>
      <c r="Q24" s="1569"/>
      <c r="R24" s="1570"/>
      <c r="S24" s="1571"/>
      <c r="T24" s="1570"/>
      <c r="U24" s="1571"/>
      <c r="V24" s="1570"/>
      <c r="W24" s="1571"/>
      <c r="X24" s="1564"/>
      <c r="Y24" s="4209"/>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4209"/>
      <c r="Q25" s="1569" t="str">
        <f t="shared" ref="Q25:Q46" si="11">B25</f>
        <v>临街状况</v>
      </c>
      <c r="R25" s="1570" t="s">
        <v>8</v>
      </c>
      <c r="S25" s="1571">
        <f>F25</f>
        <v>100</v>
      </c>
      <c r="T25" s="1570" t="s">
        <v>8</v>
      </c>
      <c r="U25" s="1571">
        <f>H25</f>
        <v>100</v>
      </c>
      <c r="V25" s="1570" t="s">
        <v>8</v>
      </c>
      <c r="W25" s="1571">
        <f>J25</f>
        <v>100</v>
      </c>
      <c r="X25" s="1564"/>
      <c r="Y25" s="4209"/>
      <c r="Z25" s="1572" t="str">
        <f>Q25</f>
        <v>临街状况</v>
      </c>
      <c r="AA25" s="1573">
        <f t="shared" si="3"/>
        <v>1</v>
      </c>
      <c r="AB25" s="1573">
        <f t="shared" si="4"/>
        <v>1</v>
      </c>
      <c r="AC25" s="1573">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4209"/>
      <c r="Q26" s="1569" t="str">
        <f t="shared" si="11"/>
        <v>平面位置/可视性</v>
      </c>
      <c r="R26" s="1570" t="s">
        <v>8</v>
      </c>
      <c r="S26" s="1571">
        <f>F26</f>
        <v>100</v>
      </c>
      <c r="T26" s="1570" t="s">
        <v>8</v>
      </c>
      <c r="U26" s="1571">
        <f>H26</f>
        <v>100</v>
      </c>
      <c r="V26" s="1570" t="s">
        <v>8</v>
      </c>
      <c r="W26" s="1571">
        <f>J26</f>
        <v>100</v>
      </c>
      <c r="X26" s="1564"/>
      <c r="Y26" s="4209"/>
      <c r="Z26" s="1572" t="str">
        <f>Q26</f>
        <v>平面位置/可视性</v>
      </c>
      <c r="AA26" s="1573">
        <f t="shared" si="3"/>
        <v>1</v>
      </c>
      <c r="AB26" s="1573">
        <f t="shared" si="4"/>
        <v>1</v>
      </c>
      <c r="AC26" s="1573">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4209"/>
      <c r="Q27" s="1149" t="str">
        <f t="shared" si="11"/>
        <v>人流量</v>
      </c>
      <c r="R27" s="1565" t="s">
        <v>8</v>
      </c>
      <c r="S27" s="1566">
        <f>F27</f>
        <v>100</v>
      </c>
      <c r="T27" s="1565" t="s">
        <v>8</v>
      </c>
      <c r="U27" s="1566">
        <f>H27</f>
        <v>100</v>
      </c>
      <c r="V27" s="1565" t="s">
        <v>8</v>
      </c>
      <c r="W27" s="1566">
        <f>J27</f>
        <v>100</v>
      </c>
      <c r="X27" s="1567"/>
      <c r="Y27" s="4209"/>
      <c r="Z27" s="1148" t="str">
        <f>Q27</f>
        <v>人流量</v>
      </c>
      <c r="AA27" s="1573">
        <f>D27/F27</f>
        <v>1</v>
      </c>
      <c r="AB27" s="1573">
        <f>D27/H27</f>
        <v>1</v>
      </c>
      <c r="AC27" s="1573">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4209"/>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4209"/>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4209"/>
      <c r="Q29" s="1569">
        <f t="shared" si="11"/>
        <v>111</v>
      </c>
      <c r="R29" s="1570" t="s">
        <v>8</v>
      </c>
      <c r="S29" s="1571">
        <f t="shared" si="12"/>
        <v>100</v>
      </c>
      <c r="T29" s="1570" t="s">
        <v>8</v>
      </c>
      <c r="U29" s="1571">
        <f t="shared" si="13"/>
        <v>100</v>
      </c>
      <c r="V29" s="1570" t="s">
        <v>8</v>
      </c>
      <c r="W29" s="1571">
        <f t="shared" si="14"/>
        <v>100</v>
      </c>
      <c r="X29" s="1564"/>
      <c r="Y29" s="4209"/>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4209"/>
      <c r="Q30" s="1569">
        <f t="shared" si="11"/>
        <v>111</v>
      </c>
      <c r="R30" s="1570" t="s">
        <v>8</v>
      </c>
      <c r="S30" s="1571">
        <f t="shared" si="12"/>
        <v>100</v>
      </c>
      <c r="T30" s="1570" t="s">
        <v>8</v>
      </c>
      <c r="U30" s="1571">
        <f t="shared" si="13"/>
        <v>100</v>
      </c>
      <c r="V30" s="1570" t="s">
        <v>8</v>
      </c>
      <c r="W30" s="1571">
        <f t="shared" si="14"/>
        <v>100</v>
      </c>
      <c r="X30" s="1564"/>
      <c r="Y30" s="4209"/>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4209"/>
      <c r="Q31" s="1569">
        <f t="shared" si="11"/>
        <v>111</v>
      </c>
      <c r="R31" s="1570" t="s">
        <v>8</v>
      </c>
      <c r="S31" s="1571">
        <f t="shared" si="12"/>
        <v>100</v>
      </c>
      <c r="T31" s="1570" t="s">
        <v>8</v>
      </c>
      <c r="U31" s="1571">
        <f t="shared" si="13"/>
        <v>100</v>
      </c>
      <c r="V31" s="1570" t="s">
        <v>8</v>
      </c>
      <c r="W31" s="1571">
        <f t="shared" si="14"/>
        <v>100</v>
      </c>
      <c r="X31" s="1564"/>
      <c r="Y31" s="4209"/>
      <c r="Z31" s="1572">
        <f t="shared" si="15"/>
        <v>111</v>
      </c>
      <c r="AA31" s="1573">
        <f t="shared" si="3"/>
        <v>1</v>
      </c>
      <c r="AB31" s="1573">
        <f t="shared" si="4"/>
        <v>1</v>
      </c>
      <c r="AC31" s="1573">
        <f t="shared" si="5"/>
        <v>1</v>
      </c>
    </row>
    <row r="32" spans="1:29" ht="15">
      <c r="A32" s="2929"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4210" t="s">
        <v>550</v>
      </c>
      <c r="Q32" s="1569" t="str">
        <f t="shared" si="11"/>
        <v>商业类型</v>
      </c>
      <c r="R32" s="1570" t="s">
        <v>8</v>
      </c>
      <c r="S32" s="1571">
        <f t="shared" si="12"/>
        <v>100</v>
      </c>
      <c r="T32" s="1570" t="s">
        <v>8</v>
      </c>
      <c r="U32" s="1571">
        <f t="shared" si="13"/>
        <v>100</v>
      </c>
      <c r="V32" s="1570" t="s">
        <v>8</v>
      </c>
      <c r="W32" s="1571">
        <f t="shared" si="14"/>
        <v>100</v>
      </c>
      <c r="X32" s="1564"/>
      <c r="Y32" s="4211" t="s">
        <v>550</v>
      </c>
      <c r="Z32" s="1572" t="str">
        <f t="shared" si="15"/>
        <v>商业类型</v>
      </c>
      <c r="AA32" s="1573">
        <f t="shared" si="3"/>
        <v>1</v>
      </c>
      <c r="AB32" s="1573">
        <f t="shared" si="4"/>
        <v>1</v>
      </c>
      <c r="AC32" s="1573">
        <f t="shared" si="5"/>
        <v>1</v>
      </c>
    </row>
    <row r="33" spans="1:29" s="1337"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4211"/>
      <c r="Q33" s="1602" t="str">
        <f t="shared" si="11"/>
        <v>项目建筑规模</v>
      </c>
      <c r="R33" s="1574" t="s">
        <v>8</v>
      </c>
      <c r="S33" s="1575" t="e">
        <f t="shared" si="12"/>
        <v>#N/A</v>
      </c>
      <c r="T33" s="1574" t="s">
        <v>8</v>
      </c>
      <c r="U33" s="1575" t="e">
        <f t="shared" si="13"/>
        <v>#N/A</v>
      </c>
      <c r="V33" s="1574" t="s">
        <v>8</v>
      </c>
      <c r="W33" s="1575" t="e">
        <f t="shared" si="14"/>
        <v>#N/A</v>
      </c>
      <c r="X33" s="1576"/>
      <c r="Y33" s="4211"/>
      <c r="Z33" s="1577" t="str">
        <f t="shared" si="15"/>
        <v>项目建筑规模</v>
      </c>
      <c r="AA33" s="1573" t="e">
        <f t="shared" si="3"/>
        <v>#N/A</v>
      </c>
      <c r="AB33" s="1573" t="e">
        <f t="shared" si="4"/>
        <v>#N/A</v>
      </c>
      <c r="AC33" s="1573"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4211"/>
      <c r="Q34" s="1569" t="str">
        <f t="shared" si="11"/>
        <v>建筑结构</v>
      </c>
      <c r="R34" s="1570" t="s">
        <v>8</v>
      </c>
      <c r="S34" s="1571">
        <f t="shared" si="12"/>
        <v>100</v>
      </c>
      <c r="T34" s="1570" t="s">
        <v>8</v>
      </c>
      <c r="U34" s="1571">
        <f t="shared" si="13"/>
        <v>100</v>
      </c>
      <c r="V34" s="1570" t="s">
        <v>8</v>
      </c>
      <c r="W34" s="1571">
        <f t="shared" si="14"/>
        <v>100</v>
      </c>
      <c r="X34" s="1564"/>
      <c r="Y34" s="4211"/>
      <c r="Z34" s="1572" t="str">
        <f t="shared" si="15"/>
        <v>建筑结构</v>
      </c>
      <c r="AA34" s="1573">
        <f t="shared" si="3"/>
        <v>1</v>
      </c>
      <c r="AB34" s="1573">
        <f t="shared" si="4"/>
        <v>1</v>
      </c>
      <c r="AC34" s="1573">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4211"/>
      <c r="Q35" s="1569" t="str">
        <f t="shared" si="11"/>
        <v>公共部分装修</v>
      </c>
      <c r="R35" s="1570" t="s">
        <v>8</v>
      </c>
      <c r="S35" s="1571">
        <f t="shared" si="12"/>
        <v>100</v>
      </c>
      <c r="T35" s="1570" t="s">
        <v>8</v>
      </c>
      <c r="U35" s="1571">
        <f t="shared" si="13"/>
        <v>100</v>
      </c>
      <c r="V35" s="1570" t="s">
        <v>8</v>
      </c>
      <c r="W35" s="1571">
        <f t="shared" si="14"/>
        <v>100</v>
      </c>
      <c r="X35" s="1564"/>
      <c r="Y35" s="4211"/>
      <c r="Z35" s="1572" t="str">
        <f t="shared" si="15"/>
        <v>公共部分装修</v>
      </c>
      <c r="AA35" s="1573">
        <f t="shared" si="3"/>
        <v>1</v>
      </c>
      <c r="AB35" s="1573">
        <f t="shared" si="4"/>
        <v>1</v>
      </c>
      <c r="AC35" s="1573">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4211"/>
      <c r="Q36" s="1569" t="str">
        <f t="shared" si="11"/>
        <v>成新度</v>
      </c>
      <c r="R36" s="1570" t="s">
        <v>8</v>
      </c>
      <c r="S36" s="1571" t="e">
        <f t="shared" si="12"/>
        <v>#N/A</v>
      </c>
      <c r="T36" s="1570" t="s">
        <v>8</v>
      </c>
      <c r="U36" s="1571" t="e">
        <f t="shared" si="13"/>
        <v>#N/A</v>
      </c>
      <c r="V36" s="1570" t="s">
        <v>8</v>
      </c>
      <c r="W36" s="1571" t="e">
        <f t="shared" si="14"/>
        <v>#N/A</v>
      </c>
      <c r="X36" s="1564"/>
      <c r="Y36" s="4211"/>
      <c r="Z36" s="1572" t="str">
        <f t="shared" si="15"/>
        <v>成新度</v>
      </c>
      <c r="AA36" s="1573" t="e">
        <f t="shared" si="3"/>
        <v>#N/A</v>
      </c>
      <c r="AB36" s="1573" t="e">
        <f t="shared" si="4"/>
        <v>#N/A</v>
      </c>
      <c r="AC36" s="1573" t="e">
        <f t="shared" si="5"/>
        <v>#N/A</v>
      </c>
    </row>
    <row r="37" spans="1:29" s="1218" customFormat="1" ht="15">
      <c r="A37" s="598"/>
      <c r="B37" s="1893"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4211"/>
      <c r="Q37" s="1149" t="str">
        <f t="shared" si="11"/>
        <v>市政基础设施</v>
      </c>
      <c r="R37" s="1565" t="s">
        <v>8</v>
      </c>
      <c r="S37" s="1566">
        <f t="shared" si="12"/>
        <v>100</v>
      </c>
      <c r="T37" s="1565" t="s">
        <v>8</v>
      </c>
      <c r="U37" s="1566">
        <f t="shared" si="13"/>
        <v>100</v>
      </c>
      <c r="V37" s="1565" t="s">
        <v>8</v>
      </c>
      <c r="W37" s="1566">
        <f t="shared" si="14"/>
        <v>100</v>
      </c>
      <c r="X37" s="1567"/>
      <c r="Y37" s="4211"/>
      <c r="Z37" s="1148" t="str">
        <f t="shared" si="15"/>
        <v>市政基础设施</v>
      </c>
      <c r="AA37" s="1568">
        <f t="shared" si="3"/>
        <v>1</v>
      </c>
      <c r="AB37" s="1568">
        <f t="shared" si="4"/>
        <v>1</v>
      </c>
      <c r="AC37" s="1568">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4211" t="s">
        <v>765</v>
      </c>
      <c r="Q38" s="1569" t="str">
        <f t="shared" si="11"/>
        <v>业态</v>
      </c>
      <c r="R38" s="1570" t="s">
        <v>8</v>
      </c>
      <c r="S38" s="1571">
        <f t="shared" si="12"/>
        <v>100</v>
      </c>
      <c r="T38" s="1570" t="s">
        <v>8</v>
      </c>
      <c r="U38" s="1571">
        <f t="shared" si="13"/>
        <v>100</v>
      </c>
      <c r="V38" s="1570" t="s">
        <v>8</v>
      </c>
      <c r="W38" s="1571">
        <f t="shared" si="14"/>
        <v>100</v>
      </c>
      <c r="X38" s="1564"/>
      <c r="Y38" s="4211" t="s">
        <v>765</v>
      </c>
      <c r="Z38" s="1572" t="str">
        <f t="shared" si="15"/>
        <v>业态</v>
      </c>
      <c r="AA38" s="1573">
        <f t="shared" si="3"/>
        <v>1</v>
      </c>
      <c r="AB38" s="1573">
        <f t="shared" si="4"/>
        <v>1</v>
      </c>
      <c r="AC38" s="1573">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4211"/>
      <c r="Q39" s="1569" t="str">
        <f t="shared" si="11"/>
        <v>层高</v>
      </c>
      <c r="R39" s="1570" t="s">
        <v>8</v>
      </c>
      <c r="S39" s="1571">
        <f t="shared" si="12"/>
        <v>100</v>
      </c>
      <c r="T39" s="1570" t="s">
        <v>8</v>
      </c>
      <c r="U39" s="1571">
        <f t="shared" si="13"/>
        <v>100</v>
      </c>
      <c r="V39" s="1570" t="s">
        <v>8</v>
      </c>
      <c r="W39" s="1571">
        <f t="shared" si="14"/>
        <v>100</v>
      </c>
      <c r="X39" s="1564"/>
      <c r="Y39" s="4211"/>
      <c r="Z39" s="1572" t="str">
        <f t="shared" si="15"/>
        <v>层高</v>
      </c>
      <c r="AA39" s="1573">
        <f t="shared" si="3"/>
        <v>1</v>
      </c>
      <c r="AB39" s="1573">
        <f t="shared" si="4"/>
        <v>1</v>
      </c>
      <c r="AC39" s="1573">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4211"/>
      <c r="Q40" s="1569" t="str">
        <f t="shared" si="11"/>
        <v>单套建筑面积</v>
      </c>
      <c r="R40" s="1570" t="s">
        <v>8</v>
      </c>
      <c r="S40" s="1571">
        <f t="shared" si="12"/>
        <v>100</v>
      </c>
      <c r="T40" s="1570" t="s">
        <v>8</v>
      </c>
      <c r="U40" s="1571">
        <f t="shared" si="13"/>
        <v>100</v>
      </c>
      <c r="V40" s="1570" t="s">
        <v>8</v>
      </c>
      <c r="W40" s="1571">
        <f t="shared" si="14"/>
        <v>100</v>
      </c>
      <c r="X40" s="1564"/>
      <c r="Y40" s="4211"/>
      <c r="Z40" s="1572" t="str">
        <f t="shared" si="15"/>
        <v>单套建筑面积</v>
      </c>
      <c r="AA40" s="1573">
        <f t="shared" si="3"/>
        <v>1</v>
      </c>
      <c r="AB40" s="1573">
        <f t="shared" si="4"/>
        <v>1</v>
      </c>
      <c r="AC40" s="1573">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4211"/>
      <c r="Q41" s="1602" t="str">
        <f t="shared" si="11"/>
        <v>进深比</v>
      </c>
      <c r="R41" s="1574" t="s">
        <v>8</v>
      </c>
      <c r="S41" s="1575">
        <f t="shared" si="12"/>
        <v>100</v>
      </c>
      <c r="T41" s="1574" t="s">
        <v>8</v>
      </c>
      <c r="U41" s="1575">
        <f t="shared" si="13"/>
        <v>100</v>
      </c>
      <c r="V41" s="1574" t="s">
        <v>8</v>
      </c>
      <c r="W41" s="1575">
        <f t="shared" si="14"/>
        <v>100</v>
      </c>
      <c r="X41" s="1576"/>
      <c r="Y41" s="4211"/>
      <c r="Z41" s="1577" t="str">
        <f t="shared" si="15"/>
        <v>进深比</v>
      </c>
      <c r="AA41" s="1573">
        <f t="shared" si="3"/>
        <v>1</v>
      </c>
      <c r="AB41" s="1573">
        <f t="shared" si="4"/>
        <v>1</v>
      </c>
      <c r="AC41" s="1573">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4211"/>
      <c r="Q42" s="1569" t="str">
        <f t="shared" si="11"/>
        <v>内部装修</v>
      </c>
      <c r="R42" s="1570" t="s">
        <v>8</v>
      </c>
      <c r="S42" s="1571">
        <f t="shared" si="12"/>
        <v>100</v>
      </c>
      <c r="T42" s="1570" t="s">
        <v>8</v>
      </c>
      <c r="U42" s="1571">
        <f t="shared" si="13"/>
        <v>100</v>
      </c>
      <c r="V42" s="1570" t="s">
        <v>8</v>
      </c>
      <c r="W42" s="1571">
        <f t="shared" si="14"/>
        <v>100</v>
      </c>
      <c r="X42" s="1564"/>
      <c r="Y42" s="4211"/>
      <c r="Z42" s="1572" t="str">
        <f t="shared" si="15"/>
        <v>内部装修</v>
      </c>
      <c r="AA42" s="1573">
        <f t="shared" si="3"/>
        <v>1</v>
      </c>
      <c r="AB42" s="1573">
        <f t="shared" si="4"/>
        <v>1</v>
      </c>
      <c r="AC42" s="1573">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4211"/>
      <c r="Q43" s="1569" t="str">
        <f t="shared" si="11"/>
        <v>内部装修维护情况</v>
      </c>
      <c r="R43" s="1570" t="s">
        <v>8</v>
      </c>
      <c r="S43" s="1571">
        <f t="shared" si="12"/>
        <v>100</v>
      </c>
      <c r="T43" s="1570" t="s">
        <v>8</v>
      </c>
      <c r="U43" s="1571">
        <f t="shared" si="13"/>
        <v>100</v>
      </c>
      <c r="V43" s="1570" t="s">
        <v>8</v>
      </c>
      <c r="W43" s="1571">
        <f t="shared" si="14"/>
        <v>100</v>
      </c>
      <c r="X43" s="1564"/>
      <c r="Y43" s="4211"/>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4211"/>
      <c r="Q44" s="1149">
        <f t="shared" si="11"/>
        <v>111</v>
      </c>
      <c r="R44" s="1565" t="s">
        <v>8</v>
      </c>
      <c r="S44" s="1566">
        <f t="shared" si="12"/>
        <v>100</v>
      </c>
      <c r="T44" s="1565" t="s">
        <v>8</v>
      </c>
      <c r="U44" s="1566">
        <f t="shared" si="13"/>
        <v>100</v>
      </c>
      <c r="V44" s="1565" t="s">
        <v>8</v>
      </c>
      <c r="W44" s="1566">
        <f t="shared" si="14"/>
        <v>100</v>
      </c>
      <c r="X44" s="1567"/>
      <c r="Y44" s="4211"/>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4211"/>
      <c r="Q45" s="1569">
        <f t="shared" si="11"/>
        <v>111</v>
      </c>
      <c r="R45" s="1570" t="s">
        <v>8</v>
      </c>
      <c r="S45" s="1571">
        <f t="shared" si="12"/>
        <v>100</v>
      </c>
      <c r="T45" s="1570" t="s">
        <v>8</v>
      </c>
      <c r="U45" s="1571">
        <f t="shared" si="13"/>
        <v>100</v>
      </c>
      <c r="V45" s="1570" t="s">
        <v>8</v>
      </c>
      <c r="W45" s="1571">
        <f t="shared" si="14"/>
        <v>100</v>
      </c>
      <c r="X45" s="1564"/>
      <c r="Y45" s="4211"/>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4312"/>
      <c r="Q46" s="1569">
        <f t="shared" si="11"/>
        <v>111</v>
      </c>
      <c r="R46" s="1570" t="s">
        <v>8</v>
      </c>
      <c r="S46" s="1571">
        <f t="shared" si="12"/>
        <v>100</v>
      </c>
      <c r="T46" s="1570" t="s">
        <v>8</v>
      </c>
      <c r="U46" s="1571">
        <f t="shared" si="13"/>
        <v>100</v>
      </c>
      <c r="V46" s="1570" t="s">
        <v>8</v>
      </c>
      <c r="W46" s="1571">
        <f t="shared" si="14"/>
        <v>100</v>
      </c>
      <c r="X46" s="1564"/>
      <c r="Y46" s="4312"/>
      <c r="Z46" s="1572">
        <f t="shared" si="15"/>
        <v>111</v>
      </c>
      <c r="AA46" s="1573">
        <f t="shared" si="3"/>
        <v>1</v>
      </c>
      <c r="AB46" s="1573">
        <f t="shared" si="4"/>
        <v>1</v>
      </c>
      <c r="AC46" s="1573">
        <f t="shared" si="5"/>
        <v>1</v>
      </c>
    </row>
    <row r="47" spans="1:29" ht="15">
      <c r="A47" s="605" t="s">
        <v>735</v>
      </c>
      <c r="B47" s="885"/>
      <c r="C47" s="2649" t="s">
        <v>1</v>
      </c>
      <c r="D47" s="2650"/>
      <c r="E47" s="2651"/>
      <c r="F47" s="2652"/>
      <c r="G47" s="2653"/>
      <c r="H47" s="2654"/>
      <c r="I47" s="2651"/>
      <c r="J47" s="2654"/>
      <c r="K47" s="1608"/>
      <c r="L47" s="2142"/>
      <c r="M47" s="2143"/>
      <c r="N47" s="2132"/>
      <c r="O47" s="2143"/>
      <c r="P47" s="4206" t="str">
        <f>A47</f>
        <v>成交单价（元/平方米）</v>
      </c>
      <c r="Q47" s="4206"/>
      <c r="R47" s="4311">
        <f>E47</f>
        <v>0</v>
      </c>
      <c r="S47" s="4311"/>
      <c r="T47" s="4311">
        <f>G47</f>
        <v>0</v>
      </c>
      <c r="U47" s="4311"/>
      <c r="V47" s="4311">
        <f>I47</f>
        <v>0</v>
      </c>
      <c r="W47" s="4311"/>
      <c r="X47" s="1556"/>
      <c r="Y47" s="1578"/>
      <c r="Z47" s="1556"/>
      <c r="AA47" s="1556"/>
      <c r="AB47" s="1556"/>
      <c r="AC47" s="1556"/>
    </row>
    <row r="48" spans="1:29" ht="15.75" thickBot="1">
      <c r="A48" s="613" t="s">
        <v>2759</v>
      </c>
      <c r="B48" s="886"/>
      <c r="C48" s="2655" t="e">
        <f>R49</f>
        <v>#DIV/0!</v>
      </c>
      <c r="D48" s="2656"/>
      <c r="E48" s="2657" t="e">
        <f>R48</f>
        <v>#DIV/0!</v>
      </c>
      <c r="F48" s="2657"/>
      <c r="G48" s="2655" t="e">
        <f>T48</f>
        <v>#DIV/0!</v>
      </c>
      <c r="H48" s="2656"/>
      <c r="I48" s="2657" t="e">
        <f>V48</f>
        <v>#DIV/0!</v>
      </c>
      <c r="J48" s="2656"/>
      <c r="K48" s="1609"/>
      <c r="L48" s="2142"/>
      <c r="M48" s="2143"/>
      <c r="N48" s="2132"/>
      <c r="O48" s="2143"/>
      <c r="P48" s="4206" t="str">
        <f>A48</f>
        <v>比较价格（元/平方米）</v>
      </c>
      <c r="Q48" s="4206"/>
      <c r="R48" s="4311" t="e">
        <f>IF(F1="售价",ROUND(PRODUCT(R47,AA7:AA46),0),ROUND(PRODUCT(R47,AA7:AA46),1))</f>
        <v>#DIV/0!</v>
      </c>
      <c r="S48" s="4311"/>
      <c r="T48" s="4311" t="e">
        <f>IF(F1="售价",ROUND(PRODUCT(T47,AB7:AB46),0),ROUND(PRODUCT(T47,AB7:AB46),1))</f>
        <v>#DIV/0!</v>
      </c>
      <c r="U48" s="4311"/>
      <c r="V48" s="4311" t="e">
        <f>IF(F1="售价",ROUND(PRODUCT(V47,AC7:AC46),0),ROUND(PRODUCT(V47,AC7:AC46),1))</f>
        <v>#DIV/0!</v>
      </c>
      <c r="W48" s="4311"/>
      <c r="X48" s="1556"/>
      <c r="Y48" s="1556"/>
      <c r="Z48" s="1556"/>
      <c r="AA48" s="1556"/>
      <c r="AB48" s="1556"/>
      <c r="AC48" s="1556"/>
    </row>
    <row r="49" spans="1:29" ht="15.75" thickBot="1">
      <c r="A49" s="619" t="s">
        <v>2923</v>
      </c>
      <c r="B49" s="620"/>
      <c r="C49" s="2658" t="e">
        <f>R49</f>
        <v>#DIV/0!</v>
      </c>
      <c r="D49" s="2658"/>
      <c r="E49" s="2658"/>
      <c r="F49" s="2658"/>
      <c r="G49" s="2658"/>
      <c r="H49" s="2658"/>
      <c r="I49" s="2658"/>
      <c r="J49" s="2658"/>
      <c r="K49" s="1610"/>
      <c r="L49" s="2142"/>
      <c r="M49" s="2143"/>
      <c r="N49" s="2132"/>
      <c r="O49" s="2143"/>
      <c r="P49" s="4227" t="str">
        <f>A49</f>
        <v>估价对象XX用房的比较价格（楼面单价，元/平方米）</v>
      </c>
      <c r="Q49" s="4228"/>
      <c r="R49" s="4310" t="e">
        <f>IF(F1="售价",ROUND(AVERAGE(R48:V48),0),ROUND(AVERAGE(R48:V48),1))</f>
        <v>#DIV/0!</v>
      </c>
      <c r="S49" s="4310"/>
      <c r="T49" s="4310"/>
      <c r="U49" s="4310"/>
      <c r="V49" s="4310"/>
      <c r="W49" s="431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2556</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776</v>
      </c>
      <c r="C1" s="502" t="s">
        <v>720</v>
      </c>
      <c r="D1" s="847"/>
      <c r="E1" s="504"/>
      <c r="F1" s="2829"/>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0" t="s">
        <v>521</v>
      </c>
      <c r="B4" s="511"/>
      <c r="C4" s="4212" t="s">
        <v>522</v>
      </c>
      <c r="D4" s="4213"/>
      <c r="E4" s="4237" t="s">
        <v>523</v>
      </c>
      <c r="F4" s="4238"/>
      <c r="G4" s="4212" t="s">
        <v>524</v>
      </c>
      <c r="H4" s="4213"/>
      <c r="I4" s="4212" t="s">
        <v>525</v>
      </c>
      <c r="J4" s="4213"/>
      <c r="K4" s="512" t="s">
        <v>526</v>
      </c>
      <c r="L4" s="2131"/>
      <c r="M4" s="2132"/>
      <c r="N4" s="2132"/>
      <c r="O4" s="2132"/>
      <c r="P4" s="4313" t="s">
        <v>527</v>
      </c>
      <c r="Q4" s="4215"/>
      <c r="R4" s="4200" t="s">
        <v>523</v>
      </c>
      <c r="S4" s="4201"/>
      <c r="T4" s="4200" t="s">
        <v>524</v>
      </c>
      <c r="U4" s="4201"/>
      <c r="V4" s="4220" t="s">
        <v>525</v>
      </c>
      <c r="W4" s="4220"/>
      <c r="X4" s="1564"/>
      <c r="Y4" s="4200" t="s">
        <v>527</v>
      </c>
      <c r="Z4" s="4201"/>
      <c r="AA4" s="4195" t="s">
        <v>523</v>
      </c>
      <c r="AB4" s="4195" t="s">
        <v>524</v>
      </c>
      <c r="AC4" s="4195" t="s">
        <v>525</v>
      </c>
    </row>
    <row r="5" spans="1:29" ht="15">
      <c r="A5" s="513"/>
      <c r="B5" s="514"/>
      <c r="C5" s="4223" t="s">
        <v>2917</v>
      </c>
      <c r="D5" s="4224"/>
      <c r="E5" s="4239" t="s">
        <v>2918</v>
      </c>
      <c r="F5" s="4240"/>
      <c r="G5" s="4223" t="s">
        <v>2919</v>
      </c>
      <c r="H5" s="4224"/>
      <c r="I5" s="4223" t="s">
        <v>2920</v>
      </c>
      <c r="J5" s="4224"/>
      <c r="K5" s="512"/>
      <c r="L5" s="2131"/>
      <c r="M5" s="2132"/>
      <c r="N5" s="2132"/>
      <c r="O5" s="2132"/>
      <c r="P5" s="4314"/>
      <c r="Q5" s="4217"/>
      <c r="R5" s="4202"/>
      <c r="S5" s="4203"/>
      <c r="T5" s="4202"/>
      <c r="U5" s="4203"/>
      <c r="V5" s="4220"/>
      <c r="W5" s="4220"/>
      <c r="X5" s="1564"/>
      <c r="Y5" s="4202"/>
      <c r="Z5" s="4203"/>
      <c r="AA5" s="4196"/>
      <c r="AB5" s="4196"/>
      <c r="AC5" s="4196"/>
    </row>
    <row r="6" spans="1:29" ht="15.75" thickBot="1">
      <c r="A6" s="515"/>
      <c r="B6" s="516"/>
      <c r="C6" s="4221" t="s">
        <v>2921</v>
      </c>
      <c r="D6" s="4222"/>
      <c r="E6" s="4241" t="s">
        <v>2921</v>
      </c>
      <c r="F6" s="4242"/>
      <c r="G6" s="4221" t="s">
        <v>2921</v>
      </c>
      <c r="H6" s="4222"/>
      <c r="I6" s="4221" t="s">
        <v>2921</v>
      </c>
      <c r="J6" s="4222"/>
      <c r="K6" s="512" t="s">
        <v>528</v>
      </c>
      <c r="L6" s="2131"/>
      <c r="M6" s="2132"/>
      <c r="N6" s="2132"/>
      <c r="O6" s="2132"/>
      <c r="P6" s="4315"/>
      <c r="Q6" s="4219"/>
      <c r="R6" s="4202"/>
      <c r="S6" s="4203"/>
      <c r="T6" s="4204"/>
      <c r="U6" s="4205"/>
      <c r="V6" s="4220"/>
      <c r="W6" s="4220"/>
      <c r="X6" s="1564"/>
      <c r="Y6" s="4204"/>
      <c r="Z6" s="4205"/>
      <c r="AA6" s="4197"/>
      <c r="AB6" s="4197"/>
      <c r="AC6" s="4197"/>
    </row>
    <row r="7" spans="1:29" s="1218" customFormat="1" ht="15.75" thickBot="1">
      <c r="A7" s="2934"/>
      <c r="B7" s="2941" t="s">
        <v>529</v>
      </c>
      <c r="C7" s="517">
        <f>'数据-取费表'!B2</f>
        <v>43251</v>
      </c>
      <c r="D7" s="518">
        <v>100</v>
      </c>
      <c r="E7" s="519"/>
      <c r="F7" s="520">
        <f>SUMIF(59:59,YEAR(E7)&amp;"-"&amp;MONTH(E7),60:60)</f>
        <v>0</v>
      </c>
      <c r="G7" s="519"/>
      <c r="H7" s="518">
        <f>SUMIF(59:59,YEAR(G7)&amp;"-"&amp;MONTH(G7),60:60)</f>
        <v>0</v>
      </c>
      <c r="I7" s="519"/>
      <c r="J7" s="518">
        <f>SUMIF(59:59,YEAR(I7)&amp;"-"&amp;MONTH(I7),60:60)</f>
        <v>0</v>
      </c>
      <c r="K7" s="522"/>
      <c r="L7" s="2133"/>
      <c r="M7" s="2134"/>
      <c r="N7" s="2134"/>
      <c r="O7" s="2134"/>
      <c r="P7" s="4207" t="s">
        <v>530</v>
      </c>
      <c r="Q7" s="4207"/>
      <c r="R7" s="1565" t="s">
        <v>8</v>
      </c>
      <c r="S7" s="1566">
        <f t="shared" ref="S7:S15" si="0">F7</f>
        <v>0</v>
      </c>
      <c r="T7" s="1565" t="s">
        <v>8</v>
      </c>
      <c r="U7" s="1566">
        <f t="shared" ref="U7:U15" si="1">H7</f>
        <v>0</v>
      </c>
      <c r="V7" s="1565" t="s">
        <v>8</v>
      </c>
      <c r="W7" s="1566">
        <f t="shared" ref="W7:W15" si="2">J7</f>
        <v>0</v>
      </c>
      <c r="X7" s="1567"/>
      <c r="Y7" s="4198" t="s">
        <v>530</v>
      </c>
      <c r="Z7" s="4199"/>
      <c r="AA7" s="1568" t="e">
        <f>D7/F7</f>
        <v>#DIV/0!</v>
      </c>
      <c r="AB7" s="1568" t="e">
        <f>D7/H7</f>
        <v>#DIV/0!</v>
      </c>
      <c r="AC7" s="1568" t="e">
        <f>D7/J7</f>
        <v>#DIV/0!</v>
      </c>
    </row>
    <row r="8" spans="1:29" s="1218"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4207" t="s">
        <v>533</v>
      </c>
      <c r="Q8" s="4199"/>
      <c r="R8" s="1565" t="s">
        <v>8</v>
      </c>
      <c r="S8" s="1566">
        <f t="shared" si="0"/>
        <v>0</v>
      </c>
      <c r="T8" s="1565" t="s">
        <v>8</v>
      </c>
      <c r="U8" s="1566">
        <f t="shared" si="1"/>
        <v>0</v>
      </c>
      <c r="V8" s="1565" t="s">
        <v>8</v>
      </c>
      <c r="W8" s="1566">
        <f t="shared" si="2"/>
        <v>0</v>
      </c>
      <c r="X8" s="1567"/>
      <c r="Y8" s="4198" t="s">
        <v>533</v>
      </c>
      <c r="Z8" s="4199"/>
      <c r="AA8" s="1568" t="e">
        <f t="shared" ref="AA8:AA47" si="3">D8/F8</f>
        <v>#DIV/0!</v>
      </c>
      <c r="AB8" s="1568" t="e">
        <f t="shared" ref="AB8:AB47" si="4">D8/H8</f>
        <v>#DIV/0!</v>
      </c>
      <c r="AC8" s="1568" t="e">
        <f t="shared" ref="AC8:AC47" si="5">D8/J8</f>
        <v>#DIV/0!</v>
      </c>
    </row>
    <row r="9" spans="1:29" s="1218" customFormat="1" ht="15">
      <c r="A9" s="2936"/>
      <c r="B9" s="2943" t="s">
        <v>2755</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4206" t="s">
        <v>535</v>
      </c>
      <c r="Q9" s="1149" t="str">
        <f t="shared" ref="Q9:Q15" si="6">B9</f>
        <v>用途</v>
      </c>
      <c r="R9" s="1565" t="s">
        <v>8</v>
      </c>
      <c r="S9" s="1566">
        <f t="shared" si="0"/>
        <v>100</v>
      </c>
      <c r="T9" s="1565" t="s">
        <v>8</v>
      </c>
      <c r="U9" s="1566">
        <f t="shared" si="1"/>
        <v>100</v>
      </c>
      <c r="V9" s="1565" t="s">
        <v>8</v>
      </c>
      <c r="W9" s="1566">
        <f t="shared" si="2"/>
        <v>100</v>
      </c>
      <c r="X9" s="1567"/>
      <c r="Y9" s="4121"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4206"/>
      <c r="Q11" s="1149" t="str">
        <f t="shared" si="6"/>
        <v>容积率</v>
      </c>
      <c r="R11" s="1565" t="s">
        <v>8</v>
      </c>
      <c r="S11" s="1566" t="e">
        <f t="shared" si="0"/>
        <v>#N/A</v>
      </c>
      <c r="T11" s="1565" t="s">
        <v>8</v>
      </c>
      <c r="U11" s="1566" t="e">
        <f t="shared" si="1"/>
        <v>#N/A</v>
      </c>
      <c r="V11" s="1565" t="s">
        <v>8</v>
      </c>
      <c r="W11" s="1566" t="e">
        <f t="shared" si="2"/>
        <v>#N/A</v>
      </c>
      <c r="X11" s="1567"/>
      <c r="Y11" s="4121"/>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4206"/>
      <c r="Q12" s="1149">
        <f t="shared" si="6"/>
        <v>111</v>
      </c>
      <c r="R12" s="1565" t="s">
        <v>8</v>
      </c>
      <c r="S12" s="1566">
        <f t="shared" si="0"/>
        <v>100</v>
      </c>
      <c r="T12" s="1565" t="s">
        <v>8</v>
      </c>
      <c r="U12" s="1566">
        <f t="shared" si="1"/>
        <v>100</v>
      </c>
      <c r="V12" s="1565" t="s">
        <v>8</v>
      </c>
      <c r="W12" s="1566">
        <f t="shared" si="2"/>
        <v>100</v>
      </c>
      <c r="X12" s="1567"/>
      <c r="Y12" s="4121"/>
      <c r="Z12" s="1148">
        <f t="shared" si="7"/>
        <v>111</v>
      </c>
      <c r="AA12" s="1568">
        <f>D12/F12</f>
        <v>1</v>
      </c>
      <c r="AB12" s="1568">
        <f>D12/H12</f>
        <v>1</v>
      </c>
      <c r="AC12" s="1568">
        <f>D12/J12</f>
        <v>1</v>
      </c>
    </row>
    <row r="13" spans="1:29" ht="15">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4206"/>
      <c r="Q13" s="1149">
        <f t="shared" si="6"/>
        <v>111</v>
      </c>
      <c r="R13" s="1565" t="s">
        <v>8</v>
      </c>
      <c r="S13" s="1566">
        <f t="shared" si="0"/>
        <v>100</v>
      </c>
      <c r="T13" s="1565" t="s">
        <v>8</v>
      </c>
      <c r="U13" s="1566">
        <f t="shared" si="1"/>
        <v>100</v>
      </c>
      <c r="V13" s="1565" t="s">
        <v>8</v>
      </c>
      <c r="W13" s="1566">
        <f t="shared" si="2"/>
        <v>100</v>
      </c>
      <c r="X13" s="1567"/>
      <c r="Y13" s="4121"/>
      <c r="Z13" s="1148">
        <f t="shared" si="7"/>
        <v>111</v>
      </c>
      <c r="AA13" s="1568">
        <f t="shared" si="3"/>
        <v>1</v>
      </c>
      <c r="AB13" s="1568">
        <f t="shared" si="4"/>
        <v>1</v>
      </c>
      <c r="AC13" s="1568">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4206"/>
      <c r="Q14" s="1149">
        <f t="shared" si="6"/>
        <v>111</v>
      </c>
      <c r="R14" s="1565" t="s">
        <v>8</v>
      </c>
      <c r="S14" s="1566">
        <f t="shared" si="0"/>
        <v>100</v>
      </c>
      <c r="T14" s="1565" t="s">
        <v>8</v>
      </c>
      <c r="U14" s="1566">
        <f t="shared" si="1"/>
        <v>100</v>
      </c>
      <c r="V14" s="1565" t="s">
        <v>8</v>
      </c>
      <c r="W14" s="1566">
        <f t="shared" si="2"/>
        <v>100</v>
      </c>
      <c r="X14" s="1567"/>
      <c r="Y14" s="4121"/>
      <c r="Z14" s="1148">
        <f t="shared" si="7"/>
        <v>111</v>
      </c>
      <c r="AA14" s="1568">
        <f t="shared" si="3"/>
        <v>1</v>
      </c>
      <c r="AB14" s="1568">
        <f t="shared" si="4"/>
        <v>1</v>
      </c>
      <c r="AC14" s="1568">
        <f t="shared" si="5"/>
        <v>1</v>
      </c>
    </row>
    <row r="15" spans="1:29" ht="15">
      <c r="A15" s="2932" t="s">
        <v>2753</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4208" t="s">
        <v>540</v>
      </c>
      <c r="Q15" s="1569" t="str">
        <f t="shared" si="6"/>
        <v>办公集聚程度</v>
      </c>
      <c r="R15" s="1570" t="s">
        <v>8</v>
      </c>
      <c r="S15" s="1571">
        <f t="shared" si="0"/>
        <v>100</v>
      </c>
      <c r="T15" s="1570" t="s">
        <v>8</v>
      </c>
      <c r="U15" s="1571">
        <f t="shared" si="1"/>
        <v>100</v>
      </c>
      <c r="V15" s="1570" t="s">
        <v>8</v>
      </c>
      <c r="W15" s="1571">
        <f t="shared" si="2"/>
        <v>100</v>
      </c>
      <c r="X15" s="1564"/>
      <c r="Y15" s="4208"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4209"/>
      <c r="Q16" s="1569"/>
      <c r="R16" s="1570"/>
      <c r="S16" s="1571"/>
      <c r="T16" s="1570"/>
      <c r="U16" s="1571"/>
      <c r="V16" s="1570"/>
      <c r="W16" s="1571"/>
      <c r="X16" s="1564"/>
      <c r="Y16" s="4209"/>
      <c r="Z16" s="1572"/>
      <c r="AA16" s="1573">
        <v>1</v>
      </c>
      <c r="AB16" s="1573">
        <v>1</v>
      </c>
      <c r="AC16" s="1573">
        <v>1</v>
      </c>
    </row>
    <row r="17" spans="1:29" ht="57">
      <c r="A17" s="530"/>
      <c r="B17" s="558" t="s">
        <v>296</v>
      </c>
      <c r="C17" s="571" t="str">
        <f>估价对象房地状况!C6</f>
        <v>周边道路状况、公共交通通达情况、停车便捷程度</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4209"/>
      <c r="Q17" s="1569" t="str">
        <f>B17</f>
        <v>交通便捷度</v>
      </c>
      <c r="R17" s="1570" t="s">
        <v>8</v>
      </c>
      <c r="S17" s="1571">
        <f>F17</f>
        <v>100</v>
      </c>
      <c r="T17" s="1570" t="s">
        <v>8</v>
      </c>
      <c r="U17" s="1571">
        <f>H17</f>
        <v>100</v>
      </c>
      <c r="V17" s="1570" t="s">
        <v>8</v>
      </c>
      <c r="W17" s="1571">
        <f>J17</f>
        <v>100</v>
      </c>
      <c r="X17" s="1564"/>
      <c r="Y17" s="4209"/>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4209"/>
      <c r="Q18" s="1569"/>
      <c r="R18" s="1570"/>
      <c r="S18" s="1571"/>
      <c r="T18" s="1570"/>
      <c r="U18" s="1571"/>
      <c r="V18" s="1570"/>
      <c r="W18" s="1571"/>
      <c r="X18" s="1564"/>
      <c r="Y18" s="4209"/>
      <c r="Z18" s="1572"/>
      <c r="AA18" s="1573">
        <v>1</v>
      </c>
      <c r="AB18" s="1573">
        <v>1</v>
      </c>
      <c r="AC18" s="1573">
        <v>1</v>
      </c>
    </row>
    <row r="19" spans="1:29" ht="15">
      <c r="A19" s="530"/>
      <c r="B19" s="2625" t="s">
        <v>2546</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4209"/>
      <c r="Q19" s="1569" t="str">
        <f>B19</f>
        <v>公共配套设施</v>
      </c>
      <c r="R19" s="1570" t="s">
        <v>8</v>
      </c>
      <c r="S19" s="1571">
        <f>F19</f>
        <v>100</v>
      </c>
      <c r="T19" s="1570" t="s">
        <v>8</v>
      </c>
      <c r="U19" s="1571">
        <f>H19</f>
        <v>100</v>
      </c>
      <c r="V19" s="1570" t="s">
        <v>8</v>
      </c>
      <c r="W19" s="1571">
        <f>J19</f>
        <v>100</v>
      </c>
      <c r="X19" s="1564"/>
      <c r="Y19" s="4209"/>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4209"/>
      <c r="Q20" s="1569"/>
      <c r="R20" s="1570"/>
      <c r="S20" s="1571"/>
      <c r="T20" s="1570"/>
      <c r="U20" s="1571"/>
      <c r="V20" s="1570"/>
      <c r="W20" s="1571"/>
      <c r="X20" s="1564"/>
      <c r="Y20" s="4209"/>
      <c r="Z20" s="1572"/>
      <c r="AA20" s="1573">
        <v>1</v>
      </c>
      <c r="AB20" s="1573">
        <v>1</v>
      </c>
      <c r="AC20" s="1573">
        <v>1</v>
      </c>
    </row>
    <row r="21" spans="1:29" ht="15">
      <c r="A21" s="530"/>
      <c r="B21" s="2613" t="s">
        <v>2558</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4209"/>
      <c r="Q21" s="2601" t="str">
        <f>B21</f>
        <v>基础设施水平</v>
      </c>
      <c r="R21" s="1570" t="s">
        <v>8</v>
      </c>
      <c r="S21" s="1571">
        <f>F21</f>
        <v>100</v>
      </c>
      <c r="T21" s="1570" t="s">
        <v>8</v>
      </c>
      <c r="U21" s="1571">
        <f>H21</f>
        <v>100</v>
      </c>
      <c r="V21" s="1570" t="s">
        <v>8</v>
      </c>
      <c r="W21" s="1571">
        <f>J21</f>
        <v>100</v>
      </c>
      <c r="X21" s="2603"/>
      <c r="Y21" s="4209"/>
      <c r="Z21" s="2602"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24"/>
      <c r="L22" s="2140"/>
      <c r="M22" s="2132"/>
      <c r="N22" s="2132"/>
      <c r="O22" s="2132"/>
      <c r="P22" s="4209"/>
      <c r="Q22" s="2601"/>
      <c r="R22" s="1570"/>
      <c r="S22" s="1571"/>
      <c r="T22" s="1570"/>
      <c r="U22" s="1571"/>
      <c r="V22" s="1570"/>
      <c r="W22" s="1571"/>
      <c r="X22" s="2603"/>
      <c r="Y22" s="4209"/>
      <c r="Z22" s="2602"/>
      <c r="AA22" s="1573">
        <v>1</v>
      </c>
      <c r="AB22" s="1573">
        <v>1</v>
      </c>
      <c r="AC22" s="1573">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4209"/>
      <c r="Q23" s="1569" t="str">
        <f>B23</f>
        <v>环境质量</v>
      </c>
      <c r="R23" s="1570" t="s">
        <v>8</v>
      </c>
      <c r="S23" s="1571">
        <f>F23</f>
        <v>100</v>
      </c>
      <c r="T23" s="1570" t="s">
        <v>8</v>
      </c>
      <c r="U23" s="1571">
        <f>H23</f>
        <v>100</v>
      </c>
      <c r="V23" s="1570" t="s">
        <v>8</v>
      </c>
      <c r="W23" s="1571">
        <f>J23</f>
        <v>100</v>
      </c>
      <c r="X23" s="1564"/>
      <c r="Y23" s="4209"/>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4209"/>
      <c r="Q24" s="1569"/>
      <c r="R24" s="1570"/>
      <c r="S24" s="1571"/>
      <c r="T24" s="1570"/>
      <c r="U24" s="1571"/>
      <c r="V24" s="1570"/>
      <c r="W24" s="1571"/>
      <c r="X24" s="1564"/>
      <c r="Y24" s="4209"/>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4209"/>
      <c r="Q25" s="1569" t="str">
        <f>B25</f>
        <v>毗邻道路的类型与等级</v>
      </c>
      <c r="R25" s="1570" t="s">
        <v>8</v>
      </c>
      <c r="S25" s="1571">
        <f>F25</f>
        <v>100</v>
      </c>
      <c r="T25" s="1570" t="s">
        <v>8</v>
      </c>
      <c r="U25" s="1571">
        <f>H25</f>
        <v>100</v>
      </c>
      <c r="V25" s="1570" t="s">
        <v>8</v>
      </c>
      <c r="W25" s="1571">
        <f>J25</f>
        <v>100</v>
      </c>
      <c r="X25" s="1564"/>
      <c r="Y25" s="4209"/>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4209"/>
      <c r="Q26" s="1569"/>
      <c r="R26" s="1570"/>
      <c r="S26" s="1571"/>
      <c r="T26" s="1570"/>
      <c r="U26" s="1571"/>
      <c r="V26" s="1570"/>
      <c r="W26" s="1571"/>
      <c r="X26" s="1564"/>
      <c r="Y26" s="4209"/>
      <c r="Z26" s="1572"/>
      <c r="AA26" s="1573">
        <v>1</v>
      </c>
      <c r="AB26" s="1573">
        <v>1</v>
      </c>
      <c r="AC26" s="1573">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4209"/>
      <c r="Q27" s="1569" t="str">
        <f t="shared" ref="Q27:Q47" si="11">B27</f>
        <v>楼层</v>
      </c>
      <c r="R27" s="1570" t="s">
        <v>8</v>
      </c>
      <c r="S27" s="1571">
        <f>F27</f>
        <v>100</v>
      </c>
      <c r="T27" s="1570" t="s">
        <v>8</v>
      </c>
      <c r="U27" s="1571">
        <f>H27</f>
        <v>100</v>
      </c>
      <c r="V27" s="1570" t="s">
        <v>8</v>
      </c>
      <c r="W27" s="1571">
        <f>J27</f>
        <v>100</v>
      </c>
      <c r="X27" s="1564"/>
      <c r="Y27" s="4209"/>
      <c r="Z27" s="1572" t="str">
        <f>Q27</f>
        <v>楼层</v>
      </c>
      <c r="AA27" s="1573">
        <f t="shared" si="3"/>
        <v>1</v>
      </c>
      <c r="AB27" s="1573">
        <f t="shared" si="4"/>
        <v>1</v>
      </c>
      <c r="AC27" s="1573">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4209"/>
      <c r="Q28" s="1149" t="str">
        <f t="shared" si="11"/>
        <v>朝向</v>
      </c>
      <c r="R28" s="1565" t="s">
        <v>8</v>
      </c>
      <c r="S28" s="1566">
        <f>F28</f>
        <v>100</v>
      </c>
      <c r="T28" s="1565" t="s">
        <v>8</v>
      </c>
      <c r="U28" s="1566">
        <f>H28</f>
        <v>100</v>
      </c>
      <c r="V28" s="1565" t="s">
        <v>8</v>
      </c>
      <c r="W28" s="1566">
        <f>J28</f>
        <v>100</v>
      </c>
      <c r="X28" s="1567"/>
      <c r="Y28" s="4209"/>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4209"/>
      <c r="Q29" s="1569">
        <f t="shared" si="11"/>
        <v>111</v>
      </c>
      <c r="R29" s="1570" t="s">
        <v>8</v>
      </c>
      <c r="S29" s="1571">
        <f t="shared" ref="S29:S47" si="12">F29</f>
        <v>100</v>
      </c>
      <c r="T29" s="1570" t="s">
        <v>8</v>
      </c>
      <c r="U29" s="1571">
        <f t="shared" ref="U29:U47" si="13">H29</f>
        <v>100</v>
      </c>
      <c r="V29" s="1570" t="s">
        <v>8</v>
      </c>
      <c r="W29" s="1571">
        <f t="shared" ref="W29:W47" si="14">J29</f>
        <v>100</v>
      </c>
      <c r="X29" s="1564"/>
      <c r="Y29" s="4209"/>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4209"/>
      <c r="Q30" s="1569">
        <f t="shared" si="11"/>
        <v>111</v>
      </c>
      <c r="R30" s="1570" t="s">
        <v>8</v>
      </c>
      <c r="S30" s="1571">
        <f t="shared" si="12"/>
        <v>100</v>
      </c>
      <c r="T30" s="1570" t="s">
        <v>8</v>
      </c>
      <c r="U30" s="1571">
        <f t="shared" si="13"/>
        <v>100</v>
      </c>
      <c r="V30" s="1570" t="s">
        <v>8</v>
      </c>
      <c r="W30" s="1571">
        <f t="shared" si="14"/>
        <v>100</v>
      </c>
      <c r="X30" s="1564"/>
      <c r="Y30" s="4209"/>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4209"/>
      <c r="Q31" s="1569">
        <f t="shared" si="11"/>
        <v>111</v>
      </c>
      <c r="R31" s="1570" t="s">
        <v>8</v>
      </c>
      <c r="S31" s="1571">
        <f t="shared" si="12"/>
        <v>100</v>
      </c>
      <c r="T31" s="1570" t="s">
        <v>8</v>
      </c>
      <c r="U31" s="1571">
        <f t="shared" si="13"/>
        <v>100</v>
      </c>
      <c r="V31" s="1570" t="s">
        <v>8</v>
      </c>
      <c r="W31" s="1571">
        <f t="shared" si="14"/>
        <v>100</v>
      </c>
      <c r="X31" s="1564"/>
      <c r="Y31" s="4209"/>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4209"/>
      <c r="Q32" s="1569">
        <f t="shared" si="11"/>
        <v>111</v>
      </c>
      <c r="R32" s="1570" t="s">
        <v>8</v>
      </c>
      <c r="S32" s="1571">
        <f t="shared" si="12"/>
        <v>100</v>
      </c>
      <c r="T32" s="1570" t="s">
        <v>8</v>
      </c>
      <c r="U32" s="1571">
        <f t="shared" si="13"/>
        <v>100</v>
      </c>
      <c r="V32" s="1570" t="s">
        <v>8</v>
      </c>
      <c r="W32" s="1571">
        <f t="shared" si="14"/>
        <v>100</v>
      </c>
      <c r="X32" s="1564"/>
      <c r="Y32" s="4209"/>
      <c r="Z32" s="1572">
        <f t="shared" si="15"/>
        <v>111</v>
      </c>
      <c r="AA32" s="1573">
        <f t="shared" si="3"/>
        <v>1</v>
      </c>
      <c r="AB32" s="1573">
        <f t="shared" si="4"/>
        <v>1</v>
      </c>
      <c r="AC32" s="1573">
        <f t="shared" si="5"/>
        <v>1</v>
      </c>
    </row>
    <row r="33" spans="1:29" ht="15">
      <c r="A33" s="2929"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4210" t="s">
        <v>550</v>
      </c>
      <c r="Q33" s="1569" t="str">
        <f t="shared" si="11"/>
        <v>建筑类型</v>
      </c>
      <c r="R33" s="1570" t="s">
        <v>8</v>
      </c>
      <c r="S33" s="1571">
        <f t="shared" si="12"/>
        <v>100</v>
      </c>
      <c r="T33" s="1570" t="s">
        <v>8</v>
      </c>
      <c r="U33" s="1571">
        <f t="shared" si="13"/>
        <v>100</v>
      </c>
      <c r="V33" s="1570" t="s">
        <v>8</v>
      </c>
      <c r="W33" s="1571">
        <f t="shared" si="14"/>
        <v>100</v>
      </c>
      <c r="X33" s="1564"/>
      <c r="Y33" s="4211" t="s">
        <v>550</v>
      </c>
      <c r="Z33" s="1572" t="str">
        <f t="shared" si="15"/>
        <v>建筑类型</v>
      </c>
      <c r="AA33" s="1573">
        <f t="shared" si="3"/>
        <v>1</v>
      </c>
      <c r="AB33" s="1573">
        <f t="shared" si="4"/>
        <v>1</v>
      </c>
      <c r="AC33" s="1573">
        <f t="shared" si="5"/>
        <v>1</v>
      </c>
    </row>
    <row r="34" spans="1:29" s="1337"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4211"/>
      <c r="Q34" s="1602" t="str">
        <f t="shared" si="11"/>
        <v>项目建筑规模</v>
      </c>
      <c r="R34" s="1574" t="s">
        <v>8</v>
      </c>
      <c r="S34" s="1575" t="e">
        <f t="shared" si="12"/>
        <v>#N/A</v>
      </c>
      <c r="T34" s="1574" t="s">
        <v>8</v>
      </c>
      <c r="U34" s="1575" t="e">
        <f t="shared" si="13"/>
        <v>#N/A</v>
      </c>
      <c r="V34" s="1574" t="s">
        <v>8</v>
      </c>
      <c r="W34" s="1575" t="e">
        <f t="shared" si="14"/>
        <v>#N/A</v>
      </c>
      <c r="X34" s="1576"/>
      <c r="Y34" s="4211"/>
      <c r="Z34" s="1577" t="str">
        <f t="shared" si="15"/>
        <v>项目建筑规模</v>
      </c>
      <c r="AA34" s="1573" t="e">
        <f t="shared" si="3"/>
        <v>#N/A</v>
      </c>
      <c r="AB34" s="1573" t="e">
        <f t="shared" si="4"/>
        <v>#N/A</v>
      </c>
      <c r="AC34" s="1573"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4211"/>
      <c r="Q35" s="1569" t="str">
        <f t="shared" si="11"/>
        <v>建筑结构</v>
      </c>
      <c r="R35" s="1570" t="s">
        <v>8</v>
      </c>
      <c r="S35" s="1571">
        <f t="shared" si="12"/>
        <v>100</v>
      </c>
      <c r="T35" s="1570" t="s">
        <v>8</v>
      </c>
      <c r="U35" s="1571">
        <f t="shared" si="13"/>
        <v>100</v>
      </c>
      <c r="V35" s="1570" t="s">
        <v>8</v>
      </c>
      <c r="W35" s="1571">
        <f t="shared" si="14"/>
        <v>100</v>
      </c>
      <c r="X35" s="1564"/>
      <c r="Y35" s="4211"/>
      <c r="Z35" s="1572" t="str">
        <f t="shared" si="15"/>
        <v>建筑结构</v>
      </c>
      <c r="AA35" s="1573">
        <f t="shared" si="3"/>
        <v>1</v>
      </c>
      <c r="AB35" s="1573">
        <f t="shared" si="4"/>
        <v>1</v>
      </c>
      <c r="AC35" s="1573">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4211"/>
      <c r="Q36" s="1569" t="str">
        <f t="shared" si="11"/>
        <v>公共部分装修</v>
      </c>
      <c r="R36" s="1570" t="s">
        <v>8</v>
      </c>
      <c r="S36" s="1571">
        <f t="shared" si="12"/>
        <v>100</v>
      </c>
      <c r="T36" s="1570" t="s">
        <v>8</v>
      </c>
      <c r="U36" s="1571">
        <f t="shared" si="13"/>
        <v>100</v>
      </c>
      <c r="V36" s="1570" t="s">
        <v>8</v>
      </c>
      <c r="W36" s="1571">
        <f t="shared" si="14"/>
        <v>100</v>
      </c>
      <c r="X36" s="1564"/>
      <c r="Y36" s="4211"/>
      <c r="Z36" s="1572" t="str">
        <f t="shared" si="15"/>
        <v>公共部分装修</v>
      </c>
      <c r="AA36" s="1573">
        <f t="shared" si="3"/>
        <v>1</v>
      </c>
      <c r="AB36" s="1573">
        <f t="shared" si="4"/>
        <v>1</v>
      </c>
      <c r="AC36" s="1573">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4211"/>
      <c r="Q37" s="1569" t="str">
        <f t="shared" si="11"/>
        <v>成新度</v>
      </c>
      <c r="R37" s="1570" t="s">
        <v>8</v>
      </c>
      <c r="S37" s="1571" t="e">
        <f t="shared" si="12"/>
        <v>#N/A</v>
      </c>
      <c r="T37" s="1570" t="s">
        <v>8</v>
      </c>
      <c r="U37" s="1571" t="e">
        <f t="shared" si="13"/>
        <v>#N/A</v>
      </c>
      <c r="V37" s="1570" t="s">
        <v>8</v>
      </c>
      <c r="W37" s="1571" t="e">
        <f t="shared" si="14"/>
        <v>#N/A</v>
      </c>
      <c r="X37" s="1564"/>
      <c r="Y37" s="4211"/>
      <c r="Z37" s="1572" t="str">
        <f t="shared" si="15"/>
        <v>成新度</v>
      </c>
      <c r="AA37" s="1573" t="e">
        <f t="shared" si="3"/>
        <v>#N/A</v>
      </c>
      <c r="AB37" s="1573" t="e">
        <f t="shared" si="4"/>
        <v>#N/A</v>
      </c>
      <c r="AC37" s="1573" t="e">
        <f t="shared" si="5"/>
        <v>#N/A</v>
      </c>
    </row>
    <row r="38" spans="1:29" s="1218"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4211"/>
      <c r="Q38" s="1149" t="str">
        <f t="shared" si="11"/>
        <v>写字楼等级</v>
      </c>
      <c r="R38" s="1565" t="s">
        <v>8</v>
      </c>
      <c r="S38" s="1566">
        <f t="shared" si="12"/>
        <v>100</v>
      </c>
      <c r="T38" s="1565" t="s">
        <v>8</v>
      </c>
      <c r="U38" s="1566">
        <f t="shared" si="13"/>
        <v>100</v>
      </c>
      <c r="V38" s="1565" t="s">
        <v>8</v>
      </c>
      <c r="W38" s="1566">
        <f t="shared" si="14"/>
        <v>100</v>
      </c>
      <c r="X38" s="1567"/>
      <c r="Y38" s="4211"/>
      <c r="Z38" s="1148" t="str">
        <f t="shared" si="15"/>
        <v>写字楼等级</v>
      </c>
      <c r="AA38" s="1568">
        <f t="shared" si="3"/>
        <v>1</v>
      </c>
      <c r="AB38" s="1568">
        <f t="shared" si="4"/>
        <v>1</v>
      </c>
      <c r="AC38" s="1568">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4211" t="s">
        <v>550</v>
      </c>
      <c r="Q39" s="1569" t="str">
        <f t="shared" si="11"/>
        <v>物业管理</v>
      </c>
      <c r="R39" s="1570" t="s">
        <v>8</v>
      </c>
      <c r="S39" s="1571">
        <f t="shared" si="12"/>
        <v>100</v>
      </c>
      <c r="T39" s="1570" t="s">
        <v>8</v>
      </c>
      <c r="U39" s="1571">
        <f t="shared" si="13"/>
        <v>100</v>
      </c>
      <c r="V39" s="1570" t="s">
        <v>8</v>
      </c>
      <c r="W39" s="1571">
        <f t="shared" si="14"/>
        <v>100</v>
      </c>
      <c r="X39" s="1564"/>
      <c r="Y39" s="4211" t="s">
        <v>550</v>
      </c>
      <c r="Z39" s="1572" t="str">
        <f t="shared" si="15"/>
        <v>物业管理</v>
      </c>
      <c r="AA39" s="1573">
        <f t="shared" si="3"/>
        <v>1</v>
      </c>
      <c r="AB39" s="1573">
        <f t="shared" si="4"/>
        <v>1</v>
      </c>
      <c r="AC39" s="1573">
        <f t="shared" si="5"/>
        <v>1</v>
      </c>
    </row>
    <row r="40" spans="1:29" ht="15">
      <c r="A40" s="592"/>
      <c r="B40" s="1893"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4211"/>
      <c r="Q40" s="1569" t="str">
        <f t="shared" si="11"/>
        <v>市政基础设施</v>
      </c>
      <c r="R40" s="1570" t="s">
        <v>8</v>
      </c>
      <c r="S40" s="1571">
        <f t="shared" si="12"/>
        <v>100</v>
      </c>
      <c r="T40" s="1570" t="s">
        <v>8</v>
      </c>
      <c r="U40" s="1571">
        <f t="shared" si="13"/>
        <v>100</v>
      </c>
      <c r="V40" s="1570" t="s">
        <v>8</v>
      </c>
      <c r="W40" s="1571">
        <f t="shared" si="14"/>
        <v>100</v>
      </c>
      <c r="X40" s="1564"/>
      <c r="Y40" s="4211"/>
      <c r="Z40" s="1572" t="str">
        <f t="shared" si="15"/>
        <v>市政基础设施</v>
      </c>
      <c r="AA40" s="1573">
        <f t="shared" si="3"/>
        <v>1</v>
      </c>
      <c r="AB40" s="1573">
        <f t="shared" si="4"/>
        <v>1</v>
      </c>
      <c r="AC40" s="1573">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4211"/>
      <c r="Q41" s="1569" t="str">
        <f t="shared" si="11"/>
        <v>层高</v>
      </c>
      <c r="R41" s="1570" t="s">
        <v>8</v>
      </c>
      <c r="S41" s="1571">
        <f t="shared" si="12"/>
        <v>100</v>
      </c>
      <c r="T41" s="1570" t="s">
        <v>8</v>
      </c>
      <c r="U41" s="1571">
        <f t="shared" si="13"/>
        <v>100</v>
      </c>
      <c r="V41" s="1570" t="s">
        <v>8</v>
      </c>
      <c r="W41" s="1571">
        <f t="shared" si="14"/>
        <v>100</v>
      </c>
      <c r="X41" s="1564"/>
      <c r="Y41" s="4211"/>
      <c r="Z41" s="1572" t="str">
        <f t="shared" si="15"/>
        <v>层高</v>
      </c>
      <c r="AA41" s="1573">
        <f t="shared" si="3"/>
        <v>1</v>
      </c>
      <c r="AB41" s="1573">
        <f t="shared" si="4"/>
        <v>1</v>
      </c>
      <c r="AC41" s="1573">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4211"/>
      <c r="Q42" s="1602" t="str">
        <f t="shared" si="11"/>
        <v>单套建筑面积</v>
      </c>
      <c r="R42" s="1574" t="s">
        <v>8</v>
      </c>
      <c r="S42" s="1575">
        <f t="shared" si="12"/>
        <v>100</v>
      </c>
      <c r="T42" s="1574" t="s">
        <v>8</v>
      </c>
      <c r="U42" s="1575">
        <f t="shared" si="13"/>
        <v>100</v>
      </c>
      <c r="V42" s="1574" t="s">
        <v>8</v>
      </c>
      <c r="W42" s="1575">
        <f t="shared" si="14"/>
        <v>100</v>
      </c>
      <c r="X42" s="1576"/>
      <c r="Y42" s="4211"/>
      <c r="Z42" s="1577" t="str">
        <f t="shared" si="15"/>
        <v>单套建筑面积</v>
      </c>
      <c r="AA42" s="1573">
        <f t="shared" si="3"/>
        <v>1</v>
      </c>
      <c r="AB42" s="1573">
        <f t="shared" si="4"/>
        <v>1</v>
      </c>
      <c r="AC42" s="1573">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4211"/>
      <c r="Q43" s="1569" t="str">
        <f t="shared" si="11"/>
        <v>内部装修</v>
      </c>
      <c r="R43" s="1570" t="s">
        <v>8</v>
      </c>
      <c r="S43" s="1571">
        <f t="shared" si="12"/>
        <v>100</v>
      </c>
      <c r="T43" s="1570" t="s">
        <v>8</v>
      </c>
      <c r="U43" s="1571">
        <f t="shared" si="13"/>
        <v>100</v>
      </c>
      <c r="V43" s="1570" t="s">
        <v>8</v>
      </c>
      <c r="W43" s="1571">
        <f t="shared" si="14"/>
        <v>100</v>
      </c>
      <c r="X43" s="1564"/>
      <c r="Y43" s="4211"/>
      <c r="Z43" s="1572" t="str">
        <f t="shared" si="15"/>
        <v>内部装修</v>
      </c>
      <c r="AA43" s="1573">
        <f t="shared" si="3"/>
        <v>1</v>
      </c>
      <c r="AB43" s="1573">
        <f t="shared" si="4"/>
        <v>1</v>
      </c>
      <c r="AC43" s="1573">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4211"/>
      <c r="Q44" s="1569" t="str">
        <f t="shared" si="11"/>
        <v>内部装修维护情况</v>
      </c>
      <c r="R44" s="1570" t="s">
        <v>8</v>
      </c>
      <c r="S44" s="1571">
        <f t="shared" si="12"/>
        <v>100</v>
      </c>
      <c r="T44" s="1570" t="s">
        <v>8</v>
      </c>
      <c r="U44" s="1571">
        <f t="shared" si="13"/>
        <v>100</v>
      </c>
      <c r="V44" s="1570" t="s">
        <v>8</v>
      </c>
      <c r="W44" s="1571">
        <f t="shared" si="14"/>
        <v>100</v>
      </c>
      <c r="X44" s="1564"/>
      <c r="Y44" s="4211"/>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4211"/>
      <c r="Q45" s="1149">
        <f t="shared" si="11"/>
        <v>111</v>
      </c>
      <c r="R45" s="1565" t="s">
        <v>8</v>
      </c>
      <c r="S45" s="1566">
        <f t="shared" si="12"/>
        <v>100</v>
      </c>
      <c r="T45" s="1565" t="s">
        <v>8</v>
      </c>
      <c r="U45" s="1566">
        <f t="shared" si="13"/>
        <v>100</v>
      </c>
      <c r="V45" s="1565" t="s">
        <v>8</v>
      </c>
      <c r="W45" s="1566">
        <f t="shared" si="14"/>
        <v>100</v>
      </c>
      <c r="X45" s="1567"/>
      <c r="Y45" s="4211"/>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4211"/>
      <c r="Q46" s="1569">
        <f t="shared" si="11"/>
        <v>111</v>
      </c>
      <c r="R46" s="1570" t="s">
        <v>8</v>
      </c>
      <c r="S46" s="1571">
        <f t="shared" si="12"/>
        <v>100</v>
      </c>
      <c r="T46" s="1570" t="s">
        <v>8</v>
      </c>
      <c r="U46" s="1571">
        <f t="shared" si="13"/>
        <v>100</v>
      </c>
      <c r="V46" s="1570" t="s">
        <v>8</v>
      </c>
      <c r="W46" s="1571">
        <f t="shared" si="14"/>
        <v>100</v>
      </c>
      <c r="X46" s="1564"/>
      <c r="Y46" s="4211"/>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4312"/>
      <c r="Q47" s="1569">
        <f t="shared" si="11"/>
        <v>111</v>
      </c>
      <c r="R47" s="1570" t="s">
        <v>8</v>
      </c>
      <c r="S47" s="1571">
        <f t="shared" si="12"/>
        <v>100</v>
      </c>
      <c r="T47" s="1570" t="s">
        <v>8</v>
      </c>
      <c r="U47" s="1571">
        <f t="shared" si="13"/>
        <v>100</v>
      </c>
      <c r="V47" s="1570" t="s">
        <v>8</v>
      </c>
      <c r="W47" s="1571">
        <f t="shared" si="14"/>
        <v>100</v>
      </c>
      <c r="X47" s="1564"/>
      <c r="Y47" s="4312"/>
      <c r="Z47" s="1572">
        <f t="shared" si="15"/>
        <v>111</v>
      </c>
      <c r="AA47" s="1573">
        <f t="shared" si="3"/>
        <v>1</v>
      </c>
      <c r="AB47" s="1573">
        <f t="shared" si="4"/>
        <v>1</v>
      </c>
      <c r="AC47" s="1573">
        <f t="shared" si="5"/>
        <v>1</v>
      </c>
    </row>
    <row r="48" spans="1:29" ht="15">
      <c r="A48" s="605" t="s">
        <v>735</v>
      </c>
      <c r="B48" s="885"/>
      <c r="C48" s="2649" t="s">
        <v>1</v>
      </c>
      <c r="D48" s="2650"/>
      <c r="E48" s="2651"/>
      <c r="F48" s="2652"/>
      <c r="G48" s="2653"/>
      <c r="H48" s="2654"/>
      <c r="I48" s="2651"/>
      <c r="J48" s="2654"/>
      <c r="K48" s="1608"/>
      <c r="L48" s="2142"/>
      <c r="M48" s="2132"/>
      <c r="N48" s="2132"/>
      <c r="O48" s="2132"/>
      <c r="P48" s="4228" t="str">
        <f>A48</f>
        <v>成交单价（元/平方米）</v>
      </c>
      <c r="Q48" s="4206"/>
      <c r="R48" s="4311">
        <f>E48</f>
        <v>0</v>
      </c>
      <c r="S48" s="4311"/>
      <c r="T48" s="4311">
        <f>G48</f>
        <v>0</v>
      </c>
      <c r="U48" s="4311"/>
      <c r="V48" s="4311">
        <f>I48</f>
        <v>0</v>
      </c>
      <c r="W48" s="4311"/>
      <c r="X48" s="1556"/>
      <c r="Y48" s="1578"/>
      <c r="Z48" s="1556"/>
      <c r="AA48" s="1556"/>
      <c r="AB48" s="1556"/>
      <c r="AC48" s="1556"/>
    </row>
    <row r="49" spans="1:29" ht="15.75" thickBot="1">
      <c r="A49" s="613" t="s">
        <v>2759</v>
      </c>
      <c r="B49" s="886"/>
      <c r="C49" s="2655" t="e">
        <f>R50</f>
        <v>#DIV/0!</v>
      </c>
      <c r="D49" s="2656"/>
      <c r="E49" s="2657" t="e">
        <f>R49</f>
        <v>#DIV/0!</v>
      </c>
      <c r="F49" s="2657"/>
      <c r="G49" s="2655" t="e">
        <f>T49</f>
        <v>#DIV/0!</v>
      </c>
      <c r="H49" s="2656"/>
      <c r="I49" s="2657" t="e">
        <f>V49</f>
        <v>#DIV/0!</v>
      </c>
      <c r="J49" s="2656"/>
      <c r="K49" s="1609"/>
      <c r="L49" s="2142"/>
      <c r="M49" s="2132"/>
      <c r="N49" s="2132"/>
      <c r="O49" s="2132"/>
      <c r="P49" s="4228" t="str">
        <f>A49</f>
        <v>比较价格（元/平方米）</v>
      </c>
      <c r="Q49" s="4206"/>
      <c r="R49" s="4311" t="e">
        <f>IF(F1="售价",ROUND(PRODUCT(R48,AA7:AA47),0),ROUND(PRODUCT(R48,AA7:AA47),1))</f>
        <v>#DIV/0!</v>
      </c>
      <c r="S49" s="4311"/>
      <c r="T49" s="4311" t="e">
        <f>IF(F1="售价",ROUND(PRODUCT(T48,AB7:AB47),0),ROUND(PRODUCT(T48,AB7:AB47),1))</f>
        <v>#DIV/0!</v>
      </c>
      <c r="U49" s="4311"/>
      <c r="V49" s="4311" t="e">
        <f>IF(F1="售价",ROUND(PRODUCT(V48,AC7:AC47),0),ROUND(PRODUCT(V48,AC7:AC47),1))</f>
        <v>#DIV/0!</v>
      </c>
      <c r="W49" s="4311"/>
      <c r="X49" s="1556"/>
      <c r="Y49" s="1556"/>
      <c r="Z49" s="1556"/>
      <c r="AA49" s="1556"/>
      <c r="AB49" s="1556"/>
      <c r="AC49" s="1556"/>
    </row>
    <row r="50" spans="1:29" ht="15.75" thickBot="1">
      <c r="A50" s="619" t="s">
        <v>2923</v>
      </c>
      <c r="B50" s="620"/>
      <c r="C50" s="2658" t="e">
        <f>R50</f>
        <v>#DIV/0!</v>
      </c>
      <c r="D50" s="2658"/>
      <c r="E50" s="2658"/>
      <c r="F50" s="2658"/>
      <c r="G50" s="2658"/>
      <c r="H50" s="2658"/>
      <c r="I50" s="2658"/>
      <c r="J50" s="2658"/>
      <c r="K50" s="1610"/>
      <c r="L50" s="2142"/>
      <c r="M50" s="2132"/>
      <c r="N50" s="2132"/>
      <c r="O50" s="2132"/>
      <c r="P50" s="4316" t="str">
        <f>A50</f>
        <v>估价对象XX用房的比较价格（楼面单价，元/平方米）</v>
      </c>
      <c r="Q50" s="4228"/>
      <c r="R50" s="4310" t="e">
        <f>IF(F1="售价",ROUND(AVERAGE(R49:V49),0),ROUND(AVERAGE(R49:V49),1))</f>
        <v>#DIV/0!</v>
      </c>
      <c r="S50" s="4310"/>
      <c r="T50" s="4310"/>
      <c r="U50" s="4310"/>
      <c r="V50" s="4310"/>
      <c r="W50" s="4310"/>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2557</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2558</v>
      </c>
      <c r="C83" s="2620" t="s">
        <v>2559</v>
      </c>
      <c r="D83" s="2620" t="s">
        <v>2560</v>
      </c>
      <c r="E83" s="2620" t="s">
        <v>2561</v>
      </c>
      <c r="F83" s="2620" t="s">
        <v>2562</v>
      </c>
      <c r="G83" s="2620" t="s">
        <v>2563</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2556</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787</v>
      </c>
      <c r="C1" s="502" t="s">
        <v>720</v>
      </c>
      <c r="D1" s="847"/>
      <c r="E1" s="504"/>
      <c r="F1" s="2829"/>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521</v>
      </c>
      <c r="B4" s="511"/>
      <c r="C4" s="4212" t="s">
        <v>522</v>
      </c>
      <c r="D4" s="4213"/>
      <c r="E4" s="4237" t="s">
        <v>523</v>
      </c>
      <c r="F4" s="4238"/>
      <c r="G4" s="4212" t="s">
        <v>524</v>
      </c>
      <c r="H4" s="4213"/>
      <c r="I4" s="4212" t="s">
        <v>525</v>
      </c>
      <c r="J4" s="4213"/>
      <c r="K4" s="512" t="s">
        <v>526</v>
      </c>
      <c r="L4" s="2131"/>
      <c r="M4" s="2132"/>
      <c r="N4" s="2132"/>
      <c r="O4" s="2132"/>
      <c r="P4" s="4214" t="s">
        <v>527</v>
      </c>
      <c r="Q4" s="4215"/>
      <c r="R4" s="4200" t="s">
        <v>523</v>
      </c>
      <c r="S4" s="4201"/>
      <c r="T4" s="4200" t="s">
        <v>524</v>
      </c>
      <c r="U4" s="4201"/>
      <c r="V4" s="4220" t="s">
        <v>525</v>
      </c>
      <c r="W4" s="4220"/>
      <c r="X4" s="1564"/>
      <c r="Y4" s="4200" t="s">
        <v>527</v>
      </c>
      <c r="Z4" s="4201"/>
      <c r="AA4" s="4195" t="s">
        <v>523</v>
      </c>
      <c r="AB4" s="4196" t="s">
        <v>524</v>
      </c>
      <c r="AC4" s="4195" t="s">
        <v>525</v>
      </c>
    </row>
    <row r="5" spans="1:29" ht="15">
      <c r="A5" s="513"/>
      <c r="B5" s="514"/>
      <c r="C5" s="4223" t="s">
        <v>2917</v>
      </c>
      <c r="D5" s="4224"/>
      <c r="E5" s="4239" t="s">
        <v>2918</v>
      </c>
      <c r="F5" s="4240"/>
      <c r="G5" s="4223" t="s">
        <v>2919</v>
      </c>
      <c r="H5" s="4224"/>
      <c r="I5" s="4223" t="s">
        <v>2920</v>
      </c>
      <c r="J5" s="4224"/>
      <c r="K5" s="512"/>
      <c r="L5" s="2131"/>
      <c r="M5" s="2132"/>
      <c r="N5" s="2132"/>
      <c r="O5" s="2132"/>
      <c r="P5" s="4216"/>
      <c r="Q5" s="4217"/>
      <c r="R5" s="4202"/>
      <c r="S5" s="4203"/>
      <c r="T5" s="4202"/>
      <c r="U5" s="4203"/>
      <c r="V5" s="4220"/>
      <c r="W5" s="4220"/>
      <c r="X5" s="1564"/>
      <c r="Y5" s="4202"/>
      <c r="Z5" s="4203"/>
      <c r="AA5" s="4196"/>
      <c r="AB5" s="4196"/>
      <c r="AC5" s="4196"/>
    </row>
    <row r="6" spans="1:29" ht="15.75" thickBot="1">
      <c r="A6" s="515"/>
      <c r="B6" s="516"/>
      <c r="C6" s="4221" t="s">
        <v>2921</v>
      </c>
      <c r="D6" s="4222"/>
      <c r="E6" s="4241" t="s">
        <v>2921</v>
      </c>
      <c r="F6" s="4242"/>
      <c r="G6" s="4221" t="s">
        <v>2921</v>
      </c>
      <c r="H6" s="4222"/>
      <c r="I6" s="4221" t="s">
        <v>2921</v>
      </c>
      <c r="J6" s="4222"/>
      <c r="K6" s="512" t="s">
        <v>528</v>
      </c>
      <c r="L6" s="2131"/>
      <c r="M6" s="2132"/>
      <c r="N6" s="2132"/>
      <c r="O6" s="2132"/>
      <c r="P6" s="4218"/>
      <c r="Q6" s="4219"/>
      <c r="R6" s="4202"/>
      <c r="S6" s="4203"/>
      <c r="T6" s="4204"/>
      <c r="U6" s="4205"/>
      <c r="V6" s="4220"/>
      <c r="W6" s="4220"/>
      <c r="X6" s="1564"/>
      <c r="Y6" s="4204"/>
      <c r="Z6" s="4205"/>
      <c r="AA6" s="4197"/>
      <c r="AB6" s="4197"/>
      <c r="AC6" s="4197"/>
    </row>
    <row r="7" spans="1:29" s="1218" customFormat="1" ht="15.75" thickBot="1">
      <c r="A7" s="2934"/>
      <c r="B7" s="2941" t="s">
        <v>529</v>
      </c>
      <c r="C7" s="517">
        <f>'数据-取费表'!B2</f>
        <v>43251</v>
      </c>
      <c r="D7" s="518">
        <v>100</v>
      </c>
      <c r="E7" s="519"/>
      <c r="F7" s="520">
        <f>SUMIF(52:52,YEAR(E7)&amp;"-"&amp;MONTH(E7),53:53)</f>
        <v>0</v>
      </c>
      <c r="G7" s="519"/>
      <c r="H7" s="518">
        <f>SUMIF(52:52,YEAR(G7)&amp;"-"&amp;MONTH(G7),53:53)</f>
        <v>0</v>
      </c>
      <c r="I7" s="519"/>
      <c r="J7" s="518">
        <f>SUMIF(52:52,YEAR(I7)&amp;"-"&amp;MONTH(I7),53:53)</f>
        <v>0</v>
      </c>
      <c r="K7" s="522"/>
      <c r="L7" s="2133"/>
      <c r="M7" s="2134"/>
      <c r="N7" s="2134"/>
      <c r="O7" s="2134"/>
      <c r="P7" s="4198" t="s">
        <v>530</v>
      </c>
      <c r="Q7" s="4207"/>
      <c r="R7" s="1565" t="s">
        <v>8</v>
      </c>
      <c r="S7" s="1566">
        <f t="shared" ref="S7:S15" si="0">F7</f>
        <v>0</v>
      </c>
      <c r="T7" s="1565" t="s">
        <v>8</v>
      </c>
      <c r="U7" s="1566">
        <f t="shared" ref="U7:U15" si="1">H7</f>
        <v>0</v>
      </c>
      <c r="V7" s="1565" t="s">
        <v>8</v>
      </c>
      <c r="W7" s="1566">
        <f t="shared" ref="W7:W15" si="2">J7</f>
        <v>0</v>
      </c>
      <c r="X7" s="1567"/>
      <c r="Y7" s="4198" t="s">
        <v>530</v>
      </c>
      <c r="Z7" s="4199"/>
      <c r="AA7" s="1568" t="e">
        <f>D7/F7</f>
        <v>#DIV/0!</v>
      </c>
      <c r="AB7" s="1568" t="e">
        <f>D7/H7</f>
        <v>#DIV/0!</v>
      </c>
      <c r="AC7" s="1568"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4198" t="s">
        <v>533</v>
      </c>
      <c r="Q8" s="4199"/>
      <c r="R8" s="1565" t="s">
        <v>8</v>
      </c>
      <c r="S8" s="1566">
        <f t="shared" si="0"/>
        <v>0</v>
      </c>
      <c r="T8" s="1565" t="s">
        <v>8</v>
      </c>
      <c r="U8" s="1566">
        <f t="shared" si="1"/>
        <v>0</v>
      </c>
      <c r="V8" s="1565" t="s">
        <v>8</v>
      </c>
      <c r="W8" s="1566">
        <f t="shared" si="2"/>
        <v>0</v>
      </c>
      <c r="X8" s="1567"/>
      <c r="Y8" s="4198" t="s">
        <v>533</v>
      </c>
      <c r="Z8" s="4199"/>
      <c r="AA8" s="1568" t="e">
        <f t="shared" ref="AA8:AA40" si="3">D8/F8</f>
        <v>#DIV/0!</v>
      </c>
      <c r="AB8" s="1568" t="e">
        <f t="shared" ref="AB8:AB40" si="4">D8/H8</f>
        <v>#DIV/0!</v>
      </c>
      <c r="AC8" s="1568" t="e">
        <f t="shared" ref="AC8:AC40" si="5">D8/J8</f>
        <v>#DIV/0!</v>
      </c>
    </row>
    <row r="9" spans="1:29" s="1218" customFormat="1" ht="15">
      <c r="A9" s="2936"/>
      <c r="B9" s="2943" t="s">
        <v>2755</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4206" t="s">
        <v>535</v>
      </c>
      <c r="Q9" s="1149" t="str">
        <f t="shared" ref="Q9:Q15" si="6">B9</f>
        <v>用途</v>
      </c>
      <c r="R9" s="1565" t="s">
        <v>8</v>
      </c>
      <c r="S9" s="1566">
        <f t="shared" si="0"/>
        <v>100</v>
      </c>
      <c r="T9" s="1565" t="s">
        <v>8</v>
      </c>
      <c r="U9" s="1566">
        <f t="shared" si="1"/>
        <v>100</v>
      </c>
      <c r="V9" s="1565" t="s">
        <v>8</v>
      </c>
      <c r="W9" s="1566">
        <f t="shared" si="2"/>
        <v>100</v>
      </c>
      <c r="X9" s="1567"/>
      <c r="Y9" s="4121" t="s">
        <v>536</v>
      </c>
      <c r="Z9" s="1148" t="str">
        <f t="shared" ref="Z9:Z15" si="7">Q9</f>
        <v>用途</v>
      </c>
      <c r="AA9" s="1568">
        <f t="shared" si="3"/>
        <v>1</v>
      </c>
      <c r="AB9" s="1568">
        <f t="shared" si="4"/>
        <v>1</v>
      </c>
      <c r="AC9" s="1568">
        <f t="shared" si="5"/>
        <v>1</v>
      </c>
    </row>
    <row r="10" spans="1:29" s="1336" customFormat="1" ht="27">
      <c r="A10" s="2937"/>
      <c r="B10" s="2942" t="s">
        <v>2756</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
      <c r="A11" s="2938"/>
      <c r="B11" s="2942"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4206"/>
      <c r="Q11" s="1149" t="str">
        <f t="shared" si="6"/>
        <v>容积率</v>
      </c>
      <c r="R11" s="1565" t="s">
        <v>8</v>
      </c>
      <c r="S11" s="1566" t="e">
        <f t="shared" si="0"/>
        <v>#N/A</v>
      </c>
      <c r="T11" s="1565" t="s">
        <v>8</v>
      </c>
      <c r="U11" s="1566" t="e">
        <f t="shared" si="1"/>
        <v>#N/A</v>
      </c>
      <c r="V11" s="1565" t="s">
        <v>8</v>
      </c>
      <c r="W11" s="1566" t="e">
        <f t="shared" si="2"/>
        <v>#N/A</v>
      </c>
      <c r="X11" s="1567"/>
      <c r="Y11" s="4121"/>
      <c r="Z11" s="1148" t="str">
        <f t="shared" si="7"/>
        <v>容积率</v>
      </c>
      <c r="AA11" s="1568" t="e">
        <f t="shared" si="3"/>
        <v>#N/A</v>
      </c>
      <c r="AB11" s="1568" t="e">
        <f t="shared" si="4"/>
        <v>#N/A</v>
      </c>
      <c r="AC11" s="1568"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4206"/>
      <c r="Q12" s="1149">
        <f t="shared" si="6"/>
        <v>111</v>
      </c>
      <c r="R12" s="1565" t="s">
        <v>8</v>
      </c>
      <c r="S12" s="1566">
        <f t="shared" si="0"/>
        <v>100</v>
      </c>
      <c r="T12" s="1565" t="s">
        <v>8</v>
      </c>
      <c r="U12" s="1566">
        <f t="shared" si="1"/>
        <v>100</v>
      </c>
      <c r="V12" s="1565" t="s">
        <v>8</v>
      </c>
      <c r="W12" s="1566">
        <f t="shared" si="2"/>
        <v>100</v>
      </c>
      <c r="X12" s="1567"/>
      <c r="Y12" s="4121"/>
      <c r="Z12" s="1148">
        <f t="shared" si="7"/>
        <v>111</v>
      </c>
      <c r="AA12" s="1568">
        <f>D12/F12</f>
        <v>1</v>
      </c>
      <c r="AB12" s="1568">
        <f>D12/H12</f>
        <v>1</v>
      </c>
      <c r="AC12" s="1568">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4206"/>
      <c r="Q13" s="1149">
        <f t="shared" si="6"/>
        <v>111</v>
      </c>
      <c r="R13" s="1565" t="s">
        <v>8</v>
      </c>
      <c r="S13" s="1566">
        <f t="shared" si="0"/>
        <v>100</v>
      </c>
      <c r="T13" s="1565" t="s">
        <v>8</v>
      </c>
      <c r="U13" s="1566">
        <f t="shared" si="1"/>
        <v>100</v>
      </c>
      <c r="V13" s="1565" t="s">
        <v>8</v>
      </c>
      <c r="W13" s="1566">
        <f t="shared" si="2"/>
        <v>100</v>
      </c>
      <c r="X13" s="1567"/>
      <c r="Y13" s="4121"/>
      <c r="Z13" s="1148">
        <f t="shared" si="7"/>
        <v>111</v>
      </c>
      <c r="AA13" s="1568">
        <f t="shared" si="3"/>
        <v>1</v>
      </c>
      <c r="AB13" s="1568">
        <f t="shared" si="4"/>
        <v>1</v>
      </c>
      <c r="AC13" s="1568">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4206"/>
      <c r="Q14" s="1149">
        <f t="shared" si="6"/>
        <v>111</v>
      </c>
      <c r="R14" s="1565" t="s">
        <v>8</v>
      </c>
      <c r="S14" s="1566">
        <f t="shared" si="0"/>
        <v>100</v>
      </c>
      <c r="T14" s="1565" t="s">
        <v>8</v>
      </c>
      <c r="U14" s="1566">
        <f t="shared" si="1"/>
        <v>100</v>
      </c>
      <c r="V14" s="1565" t="s">
        <v>8</v>
      </c>
      <c r="W14" s="1566">
        <f t="shared" si="2"/>
        <v>100</v>
      </c>
      <c r="X14" s="1567"/>
      <c r="Y14" s="4121"/>
      <c r="Z14" s="1148">
        <f t="shared" si="7"/>
        <v>111</v>
      </c>
      <c r="AA14" s="1568">
        <f t="shared" si="3"/>
        <v>1</v>
      </c>
      <c r="AB14" s="1568">
        <f t="shared" si="4"/>
        <v>1</v>
      </c>
      <c r="AC14" s="1568">
        <f t="shared" si="5"/>
        <v>1</v>
      </c>
    </row>
    <row r="15" spans="1:29" ht="15">
      <c r="A15" s="2932" t="s">
        <v>2753</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4208" t="s">
        <v>540</v>
      </c>
      <c r="Q15" s="1569" t="str">
        <f t="shared" si="6"/>
        <v>产业集聚程度</v>
      </c>
      <c r="R15" s="1570" t="s">
        <v>8</v>
      </c>
      <c r="S15" s="1571">
        <f t="shared" si="0"/>
        <v>100</v>
      </c>
      <c r="T15" s="1570" t="s">
        <v>8</v>
      </c>
      <c r="U15" s="1571">
        <f t="shared" si="1"/>
        <v>100</v>
      </c>
      <c r="V15" s="1570" t="s">
        <v>8</v>
      </c>
      <c r="W15" s="1571">
        <f t="shared" si="2"/>
        <v>100</v>
      </c>
      <c r="X15" s="1564"/>
      <c r="Y15" s="4208"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4209"/>
      <c r="Q16" s="1569"/>
      <c r="R16" s="1570"/>
      <c r="S16" s="1571"/>
      <c r="T16" s="1570"/>
      <c r="U16" s="1571"/>
      <c r="V16" s="1570"/>
      <c r="W16" s="1571"/>
      <c r="X16" s="1564"/>
      <c r="Y16" s="4209"/>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4209"/>
      <c r="Q17" s="1569" t="str">
        <f>B17</f>
        <v>交通便捷度</v>
      </c>
      <c r="R17" s="1570" t="s">
        <v>8</v>
      </c>
      <c r="S17" s="1571">
        <f>F17</f>
        <v>100</v>
      </c>
      <c r="T17" s="1570" t="s">
        <v>8</v>
      </c>
      <c r="U17" s="1571">
        <f>H17</f>
        <v>100</v>
      </c>
      <c r="V17" s="1570" t="s">
        <v>8</v>
      </c>
      <c r="W17" s="1571">
        <f>J17</f>
        <v>100</v>
      </c>
      <c r="X17" s="1564"/>
      <c r="Y17" s="4209"/>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4209"/>
      <c r="Q18" s="1569"/>
      <c r="R18" s="1570"/>
      <c r="S18" s="1571"/>
      <c r="T18" s="1570"/>
      <c r="U18" s="1571"/>
      <c r="V18" s="1570"/>
      <c r="W18" s="1571"/>
      <c r="X18" s="1564"/>
      <c r="Y18" s="4209"/>
      <c r="Z18" s="1572"/>
      <c r="AA18" s="1573">
        <v>1</v>
      </c>
      <c r="AB18" s="1573">
        <v>1</v>
      </c>
      <c r="AC18" s="1573">
        <v>1</v>
      </c>
    </row>
    <row r="19" spans="1:29" ht="15">
      <c r="A19" s="530"/>
      <c r="B19" s="2625" t="s">
        <v>2546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4209"/>
      <c r="Q19" s="1569" t="str">
        <f>B19</f>
        <v>公共配套设施</v>
      </c>
      <c r="R19" s="1570" t="s">
        <v>8</v>
      </c>
      <c r="S19" s="1571">
        <f>F19</f>
        <v>100</v>
      </c>
      <c r="T19" s="1570" t="s">
        <v>8</v>
      </c>
      <c r="U19" s="1571">
        <f>H19</f>
        <v>100</v>
      </c>
      <c r="V19" s="1570" t="s">
        <v>8</v>
      </c>
      <c r="W19" s="1571">
        <f>J19</f>
        <v>100</v>
      </c>
      <c r="X19" s="1564"/>
      <c r="Y19" s="4209"/>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4209"/>
      <c r="Q20" s="1569"/>
      <c r="R20" s="1570"/>
      <c r="S20" s="1571"/>
      <c r="T20" s="1570"/>
      <c r="U20" s="1571"/>
      <c r="V20" s="1570"/>
      <c r="W20" s="1571"/>
      <c r="X20" s="1564"/>
      <c r="Y20" s="4209"/>
      <c r="Z20" s="1572"/>
      <c r="AA20" s="1573">
        <v>1</v>
      </c>
      <c r="AB20" s="1573">
        <v>1</v>
      </c>
      <c r="AC20" s="1573">
        <v>1</v>
      </c>
    </row>
    <row r="21" spans="1:29" ht="15">
      <c r="A21" s="530"/>
      <c r="B21" s="2613" t="s">
        <v>2558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4209"/>
      <c r="Q21" s="2601" t="str">
        <f>B21</f>
        <v>基础设施水平</v>
      </c>
      <c r="R21" s="1570" t="s">
        <v>8</v>
      </c>
      <c r="S21" s="1571">
        <f>F21</f>
        <v>100</v>
      </c>
      <c r="T21" s="1570" t="s">
        <v>8</v>
      </c>
      <c r="U21" s="1571">
        <f>H21</f>
        <v>100</v>
      </c>
      <c r="V21" s="1570" t="s">
        <v>8</v>
      </c>
      <c r="W21" s="1571">
        <f>J21</f>
        <v>100</v>
      </c>
      <c r="X21" s="2603"/>
      <c r="Y21" s="4209"/>
      <c r="Z21" s="2602"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24"/>
      <c r="L22" s="2140"/>
      <c r="M22" s="2132"/>
      <c r="N22" s="2132"/>
      <c r="O22" s="2139"/>
      <c r="P22" s="4209"/>
      <c r="Q22" s="2601"/>
      <c r="R22" s="1570"/>
      <c r="S22" s="1571"/>
      <c r="T22" s="1570"/>
      <c r="U22" s="1571"/>
      <c r="V22" s="1570"/>
      <c r="W22" s="1571"/>
      <c r="X22" s="2603"/>
      <c r="Y22" s="4209"/>
      <c r="Z22" s="2602"/>
      <c r="AA22" s="1573">
        <v>1</v>
      </c>
      <c r="AB22" s="1573">
        <v>1</v>
      </c>
      <c r="AC22" s="1573">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4209"/>
      <c r="Q23" s="1569" t="str">
        <f>B23</f>
        <v>环境质量</v>
      </c>
      <c r="R23" s="1570" t="s">
        <v>8</v>
      </c>
      <c r="S23" s="1571">
        <f>F23</f>
        <v>100</v>
      </c>
      <c r="T23" s="1570" t="s">
        <v>8</v>
      </c>
      <c r="U23" s="1571">
        <f>H23</f>
        <v>100</v>
      </c>
      <c r="V23" s="1570" t="s">
        <v>8</v>
      </c>
      <c r="W23" s="1571">
        <f>J23</f>
        <v>100</v>
      </c>
      <c r="X23" s="1564"/>
      <c r="Y23" s="4209"/>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4209"/>
      <c r="Q24" s="1569"/>
      <c r="R24" s="1570"/>
      <c r="S24" s="1571"/>
      <c r="T24" s="1570"/>
      <c r="U24" s="1571"/>
      <c r="V24" s="1570"/>
      <c r="W24" s="1571"/>
      <c r="X24" s="1564"/>
      <c r="Y24" s="4209"/>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4209"/>
      <c r="Q25" s="1569">
        <f>B25</f>
        <v>111</v>
      </c>
      <c r="R25" s="1570" t="s">
        <v>8</v>
      </c>
      <c r="S25" s="1571">
        <f>F25</f>
        <v>100</v>
      </c>
      <c r="T25" s="1570" t="s">
        <v>8</v>
      </c>
      <c r="U25" s="1571">
        <f>H25</f>
        <v>100</v>
      </c>
      <c r="V25" s="1570" t="s">
        <v>8</v>
      </c>
      <c r="W25" s="1571">
        <f>J25</f>
        <v>100</v>
      </c>
      <c r="X25" s="1564"/>
      <c r="Y25" s="4209"/>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4209"/>
      <c r="Q26" s="1569">
        <f t="shared" ref="Q26:Q40" si="11">B26</f>
        <v>111</v>
      </c>
      <c r="R26" s="1570" t="s">
        <v>8</v>
      </c>
      <c r="S26" s="1571">
        <f>F26</f>
        <v>100</v>
      </c>
      <c r="T26" s="1570" t="s">
        <v>8</v>
      </c>
      <c r="U26" s="1571">
        <f>H26</f>
        <v>100</v>
      </c>
      <c r="V26" s="1570" t="s">
        <v>8</v>
      </c>
      <c r="W26" s="1571">
        <f>J26</f>
        <v>100</v>
      </c>
      <c r="X26" s="1564"/>
      <c r="Y26" s="4209"/>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4209"/>
      <c r="Q27" s="1149">
        <f t="shared" si="11"/>
        <v>111</v>
      </c>
      <c r="R27" s="1565" t="s">
        <v>8</v>
      </c>
      <c r="S27" s="1566">
        <f>F27</f>
        <v>100</v>
      </c>
      <c r="T27" s="1565" t="s">
        <v>8</v>
      </c>
      <c r="U27" s="1566">
        <f>H27</f>
        <v>100</v>
      </c>
      <c r="V27" s="1565" t="s">
        <v>8</v>
      </c>
      <c r="W27" s="1566">
        <f>J27</f>
        <v>100</v>
      </c>
      <c r="X27" s="1567"/>
      <c r="Y27" s="4209"/>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4209"/>
      <c r="Q28" s="1569">
        <f t="shared" si="11"/>
        <v>111</v>
      </c>
      <c r="R28" s="1570" t="s">
        <v>8</v>
      </c>
      <c r="S28" s="1571">
        <f t="shared" ref="S28:S40" si="12">F28</f>
        <v>100</v>
      </c>
      <c r="T28" s="1570" t="s">
        <v>8</v>
      </c>
      <c r="U28" s="1571">
        <f t="shared" ref="U28:U40" si="13">H28</f>
        <v>100</v>
      </c>
      <c r="V28" s="1570" t="s">
        <v>8</v>
      </c>
      <c r="W28" s="1571">
        <f t="shared" ref="W28:W40" si="14">J28</f>
        <v>100</v>
      </c>
      <c r="X28" s="1564"/>
      <c r="Y28" s="4209"/>
      <c r="Z28" s="1572">
        <f t="shared" ref="Z28:Z40" si="15">Q28</f>
        <v>111</v>
      </c>
      <c r="AA28" s="1573">
        <f t="shared" si="3"/>
        <v>1</v>
      </c>
      <c r="AB28" s="1573">
        <f t="shared" si="4"/>
        <v>1</v>
      </c>
      <c r="AC28" s="1573">
        <f t="shared" si="5"/>
        <v>1</v>
      </c>
    </row>
    <row r="29" spans="1:29" ht="15">
      <c r="A29" s="2929"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4210" t="s">
        <v>550</v>
      </c>
      <c r="Q29" s="1569" t="str">
        <f t="shared" si="11"/>
        <v>建筑类型</v>
      </c>
      <c r="R29" s="1570" t="s">
        <v>8</v>
      </c>
      <c r="S29" s="1571">
        <f t="shared" si="12"/>
        <v>100</v>
      </c>
      <c r="T29" s="1570" t="s">
        <v>8</v>
      </c>
      <c r="U29" s="1571">
        <f t="shared" si="13"/>
        <v>100</v>
      </c>
      <c r="V29" s="1570" t="s">
        <v>8</v>
      </c>
      <c r="W29" s="1571">
        <f t="shared" si="14"/>
        <v>100</v>
      </c>
      <c r="X29" s="1564"/>
      <c r="Y29" s="4211" t="s">
        <v>550</v>
      </c>
      <c r="Z29" s="1572" t="str">
        <f t="shared" si="15"/>
        <v>建筑类型</v>
      </c>
      <c r="AA29" s="1573">
        <f t="shared" si="3"/>
        <v>1</v>
      </c>
      <c r="AB29" s="1573">
        <f t="shared" si="4"/>
        <v>1</v>
      </c>
      <c r="AC29" s="1573">
        <f t="shared" si="5"/>
        <v>1</v>
      </c>
    </row>
    <row r="30" spans="1:29" s="1337"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4211"/>
      <c r="Q30" s="1602" t="str">
        <f t="shared" si="11"/>
        <v>项目建筑规模</v>
      </c>
      <c r="R30" s="1574" t="s">
        <v>8</v>
      </c>
      <c r="S30" s="1575" t="e">
        <f t="shared" si="12"/>
        <v>#N/A</v>
      </c>
      <c r="T30" s="1574" t="s">
        <v>8</v>
      </c>
      <c r="U30" s="1575" t="e">
        <f t="shared" si="13"/>
        <v>#N/A</v>
      </c>
      <c r="V30" s="1574" t="s">
        <v>8</v>
      </c>
      <c r="W30" s="1575" t="e">
        <f t="shared" si="14"/>
        <v>#N/A</v>
      </c>
      <c r="X30" s="1576"/>
      <c r="Y30" s="4211"/>
      <c r="Z30" s="1577" t="str">
        <f t="shared" si="15"/>
        <v>项目建筑规模</v>
      </c>
      <c r="AA30" s="1573" t="e">
        <f t="shared" si="3"/>
        <v>#N/A</v>
      </c>
      <c r="AB30" s="1573" t="e">
        <f t="shared" si="4"/>
        <v>#N/A</v>
      </c>
      <c r="AC30" s="1573"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4211"/>
      <c r="Q31" s="1569" t="str">
        <f t="shared" si="11"/>
        <v>建筑结构</v>
      </c>
      <c r="R31" s="1570" t="s">
        <v>8</v>
      </c>
      <c r="S31" s="1571">
        <f t="shared" si="12"/>
        <v>100</v>
      </c>
      <c r="T31" s="1570" t="s">
        <v>8</v>
      </c>
      <c r="U31" s="1571">
        <f t="shared" si="13"/>
        <v>100</v>
      </c>
      <c r="V31" s="1570" t="s">
        <v>8</v>
      </c>
      <c r="W31" s="1571">
        <f t="shared" si="14"/>
        <v>100</v>
      </c>
      <c r="X31" s="1564"/>
      <c r="Y31" s="4211"/>
      <c r="Z31" s="1572" t="str">
        <f t="shared" si="15"/>
        <v>建筑结构</v>
      </c>
      <c r="AA31" s="1573">
        <f t="shared" si="3"/>
        <v>1</v>
      </c>
      <c r="AB31" s="1573">
        <f t="shared" si="4"/>
        <v>1</v>
      </c>
      <c r="AC31" s="1573">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4211"/>
      <c r="Q32" s="1569" t="str">
        <f t="shared" si="11"/>
        <v>公共部分装修</v>
      </c>
      <c r="R32" s="1570" t="s">
        <v>8</v>
      </c>
      <c r="S32" s="1571">
        <f t="shared" si="12"/>
        <v>100</v>
      </c>
      <c r="T32" s="1570" t="s">
        <v>8</v>
      </c>
      <c r="U32" s="1571">
        <f t="shared" si="13"/>
        <v>100</v>
      </c>
      <c r="V32" s="1570" t="s">
        <v>8</v>
      </c>
      <c r="W32" s="1571">
        <f t="shared" si="14"/>
        <v>100</v>
      </c>
      <c r="X32" s="1564"/>
      <c r="Y32" s="4211"/>
      <c r="Z32" s="1572" t="str">
        <f t="shared" si="15"/>
        <v>公共部分装修</v>
      </c>
      <c r="AA32" s="1573">
        <f t="shared" si="3"/>
        <v>1</v>
      </c>
      <c r="AB32" s="1573">
        <f t="shared" si="4"/>
        <v>1</v>
      </c>
      <c r="AC32" s="1573">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4211"/>
      <c r="Q33" s="1569" t="str">
        <f t="shared" si="11"/>
        <v>成新度</v>
      </c>
      <c r="R33" s="1570" t="s">
        <v>8</v>
      </c>
      <c r="S33" s="1571" t="e">
        <f t="shared" si="12"/>
        <v>#N/A</v>
      </c>
      <c r="T33" s="1570" t="s">
        <v>8</v>
      </c>
      <c r="U33" s="1571" t="e">
        <f t="shared" si="13"/>
        <v>#N/A</v>
      </c>
      <c r="V33" s="1570" t="s">
        <v>8</v>
      </c>
      <c r="W33" s="1571" t="e">
        <f t="shared" si="14"/>
        <v>#N/A</v>
      </c>
      <c r="X33" s="1564"/>
      <c r="Y33" s="4211"/>
      <c r="Z33" s="1572" t="str">
        <f t="shared" si="15"/>
        <v>成新度</v>
      </c>
      <c r="AA33" s="1573" t="e">
        <f t="shared" si="3"/>
        <v>#N/A</v>
      </c>
      <c r="AB33" s="1573" t="e">
        <f t="shared" si="4"/>
        <v>#N/A</v>
      </c>
      <c r="AC33" s="1573" t="e">
        <f t="shared" si="5"/>
        <v>#N/A</v>
      </c>
    </row>
    <row r="34" spans="1:29" s="1218"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4211"/>
      <c r="Q34" s="1149" t="str">
        <f t="shared" si="11"/>
        <v>物业管理</v>
      </c>
      <c r="R34" s="1565" t="s">
        <v>8</v>
      </c>
      <c r="S34" s="1566">
        <f t="shared" si="12"/>
        <v>100</v>
      </c>
      <c r="T34" s="1565" t="s">
        <v>8</v>
      </c>
      <c r="U34" s="1566">
        <f t="shared" si="13"/>
        <v>100</v>
      </c>
      <c r="V34" s="1565" t="s">
        <v>8</v>
      </c>
      <c r="W34" s="1566">
        <f t="shared" si="14"/>
        <v>100</v>
      </c>
      <c r="X34" s="1567"/>
      <c r="Y34" s="4211"/>
      <c r="Z34" s="1148" t="str">
        <f t="shared" si="15"/>
        <v>物业管理</v>
      </c>
      <c r="AA34" s="1568">
        <f t="shared" si="3"/>
        <v>1</v>
      </c>
      <c r="AB34" s="1568">
        <f t="shared" si="4"/>
        <v>1</v>
      </c>
      <c r="AC34" s="1568">
        <f t="shared" si="5"/>
        <v>1</v>
      </c>
    </row>
    <row r="35" spans="1:29" ht="15">
      <c r="A35" s="592"/>
      <c r="B35" s="1893"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4211" t="s">
        <v>550</v>
      </c>
      <c r="Q35" s="1569" t="str">
        <f t="shared" si="11"/>
        <v>市政基础设施</v>
      </c>
      <c r="R35" s="1570" t="s">
        <v>8</v>
      </c>
      <c r="S35" s="1571">
        <f t="shared" si="12"/>
        <v>100</v>
      </c>
      <c r="T35" s="1570" t="s">
        <v>8</v>
      </c>
      <c r="U35" s="1571">
        <f t="shared" si="13"/>
        <v>100</v>
      </c>
      <c r="V35" s="1570" t="s">
        <v>8</v>
      </c>
      <c r="W35" s="1571">
        <f t="shared" si="14"/>
        <v>100</v>
      </c>
      <c r="X35" s="1564"/>
      <c r="Y35" s="4211" t="s">
        <v>550</v>
      </c>
      <c r="Z35" s="1572" t="str">
        <f t="shared" si="15"/>
        <v>市政基础设施</v>
      </c>
      <c r="AA35" s="1573">
        <f t="shared" si="3"/>
        <v>1</v>
      </c>
      <c r="AB35" s="1573">
        <f t="shared" si="4"/>
        <v>1</v>
      </c>
      <c r="AC35" s="1573">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4211"/>
      <c r="Q36" s="1569" t="str">
        <f t="shared" si="11"/>
        <v>内部装修</v>
      </c>
      <c r="R36" s="1570" t="s">
        <v>8</v>
      </c>
      <c r="S36" s="1571">
        <f t="shared" si="12"/>
        <v>100</v>
      </c>
      <c r="T36" s="1570" t="s">
        <v>8</v>
      </c>
      <c r="U36" s="1571">
        <f t="shared" si="13"/>
        <v>100</v>
      </c>
      <c r="V36" s="1570" t="s">
        <v>8</v>
      </c>
      <c r="W36" s="1571">
        <f t="shared" si="14"/>
        <v>100</v>
      </c>
      <c r="X36" s="1564"/>
      <c r="Y36" s="4211"/>
      <c r="Z36" s="1572" t="str">
        <f t="shared" si="15"/>
        <v>内部装修</v>
      </c>
      <c r="AA36" s="1573">
        <f t="shared" si="3"/>
        <v>1</v>
      </c>
      <c r="AB36" s="1573">
        <f t="shared" si="4"/>
        <v>1</v>
      </c>
      <c r="AC36" s="1573">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4211"/>
      <c r="Q37" s="1569" t="str">
        <f t="shared" si="11"/>
        <v>内部装修状况</v>
      </c>
      <c r="R37" s="1570" t="s">
        <v>8</v>
      </c>
      <c r="S37" s="1571">
        <f t="shared" si="12"/>
        <v>100</v>
      </c>
      <c r="T37" s="1570" t="s">
        <v>8</v>
      </c>
      <c r="U37" s="1571">
        <f t="shared" si="13"/>
        <v>100</v>
      </c>
      <c r="V37" s="1570" t="s">
        <v>8</v>
      </c>
      <c r="W37" s="1571">
        <f t="shared" si="14"/>
        <v>100</v>
      </c>
      <c r="X37" s="1564"/>
      <c r="Y37" s="4211"/>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4211"/>
      <c r="Q38" s="1602">
        <f t="shared" si="11"/>
        <v>111</v>
      </c>
      <c r="R38" s="1574" t="s">
        <v>8</v>
      </c>
      <c r="S38" s="1575">
        <f t="shared" si="12"/>
        <v>100</v>
      </c>
      <c r="T38" s="1574" t="s">
        <v>8</v>
      </c>
      <c r="U38" s="1575">
        <f t="shared" si="13"/>
        <v>100</v>
      </c>
      <c r="V38" s="1574" t="s">
        <v>8</v>
      </c>
      <c r="W38" s="1575">
        <f t="shared" si="14"/>
        <v>100</v>
      </c>
      <c r="X38" s="1576"/>
      <c r="Y38" s="4211"/>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4211"/>
      <c r="Q39" s="1569">
        <f t="shared" si="11"/>
        <v>111</v>
      </c>
      <c r="R39" s="1570" t="s">
        <v>8</v>
      </c>
      <c r="S39" s="1571">
        <f t="shared" si="12"/>
        <v>100</v>
      </c>
      <c r="T39" s="1570" t="s">
        <v>8</v>
      </c>
      <c r="U39" s="1571">
        <f t="shared" si="13"/>
        <v>100</v>
      </c>
      <c r="V39" s="1570" t="s">
        <v>8</v>
      </c>
      <c r="W39" s="1571">
        <f t="shared" si="14"/>
        <v>100</v>
      </c>
      <c r="X39" s="1564"/>
      <c r="Y39" s="4211"/>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4312"/>
      <c r="Q40" s="1569">
        <f t="shared" si="11"/>
        <v>111</v>
      </c>
      <c r="R40" s="1570" t="s">
        <v>8</v>
      </c>
      <c r="S40" s="1571">
        <f t="shared" si="12"/>
        <v>100</v>
      </c>
      <c r="T40" s="1570" t="s">
        <v>8</v>
      </c>
      <c r="U40" s="1571">
        <f t="shared" si="13"/>
        <v>100</v>
      </c>
      <c r="V40" s="1570" t="s">
        <v>8</v>
      </c>
      <c r="W40" s="1571">
        <f t="shared" si="14"/>
        <v>100</v>
      </c>
      <c r="X40" s="1564"/>
      <c r="Y40" s="4312"/>
      <c r="Z40" s="1572">
        <f t="shared" si="15"/>
        <v>111</v>
      </c>
      <c r="AA40" s="1573">
        <f t="shared" si="3"/>
        <v>1</v>
      </c>
      <c r="AB40" s="1573">
        <f t="shared" si="4"/>
        <v>1</v>
      </c>
      <c r="AC40" s="1573">
        <f t="shared" si="5"/>
        <v>1</v>
      </c>
    </row>
    <row r="41" spans="1:29" ht="15">
      <c r="A41" s="605" t="s">
        <v>735</v>
      </c>
      <c r="B41" s="885"/>
      <c r="C41" s="2649" t="s">
        <v>1</v>
      </c>
      <c r="D41" s="2650"/>
      <c r="E41" s="2651"/>
      <c r="F41" s="2652"/>
      <c r="G41" s="2653"/>
      <c r="H41" s="2654"/>
      <c r="I41" s="2651"/>
      <c r="J41" s="2654"/>
      <c r="K41" s="1608"/>
      <c r="L41" s="2142"/>
      <c r="M41" s="2143"/>
      <c r="N41" s="2132"/>
      <c r="O41" s="2143"/>
      <c r="P41" s="4206" t="str">
        <f>A41</f>
        <v>成交单价（元/平方米）</v>
      </c>
      <c r="Q41" s="4206"/>
      <c r="R41" s="4311">
        <f>E41</f>
        <v>0</v>
      </c>
      <c r="S41" s="4311"/>
      <c r="T41" s="4311">
        <f>G41</f>
        <v>0</v>
      </c>
      <c r="U41" s="4311"/>
      <c r="V41" s="4311">
        <f>I41</f>
        <v>0</v>
      </c>
      <c r="W41" s="4311"/>
      <c r="X41" s="1556"/>
      <c r="Y41" s="1578"/>
      <c r="Z41" s="1556"/>
      <c r="AA41" s="1556"/>
      <c r="AB41" s="1556"/>
      <c r="AC41" s="1556"/>
    </row>
    <row r="42" spans="1:29" ht="15.75" thickBot="1">
      <c r="A42" s="613" t="s">
        <v>2759</v>
      </c>
      <c r="B42" s="886"/>
      <c r="C42" s="2655" t="e">
        <f>R43</f>
        <v>#DIV/0!</v>
      </c>
      <c r="D42" s="2656"/>
      <c r="E42" s="2657" t="e">
        <f>R42</f>
        <v>#DIV/0!</v>
      </c>
      <c r="F42" s="2657"/>
      <c r="G42" s="2655" t="e">
        <f>T42</f>
        <v>#DIV/0!</v>
      </c>
      <c r="H42" s="2656"/>
      <c r="I42" s="2657" t="e">
        <f>V42</f>
        <v>#DIV/0!</v>
      </c>
      <c r="J42" s="2656"/>
      <c r="K42" s="1609"/>
      <c r="L42" s="2142"/>
      <c r="M42" s="2143"/>
      <c r="N42" s="2132"/>
      <c r="O42" s="2143"/>
      <c r="P42" s="4206" t="str">
        <f>A42</f>
        <v>比较价格（元/平方米）</v>
      </c>
      <c r="Q42" s="4206"/>
      <c r="R42" s="4311" t="e">
        <f>IF(F1="售价",ROUND(PRODUCT(R41,AA7:AA40),0),ROUND(PRODUCT(R41,AA7:AA40),1))</f>
        <v>#DIV/0!</v>
      </c>
      <c r="S42" s="4311"/>
      <c r="T42" s="4311" t="e">
        <f>IF(F1="售价",ROUND(PRODUCT(T41,AB7:AB40),0),ROUND(PRODUCT(T41,AB7:AB40),1))</f>
        <v>#DIV/0!</v>
      </c>
      <c r="U42" s="4311"/>
      <c r="V42" s="4311" t="e">
        <f>IF(F1="售价",ROUND(PRODUCT(V41,AC7:AC40),0),ROUND(PRODUCT(V41,AC7:AC40),1))</f>
        <v>#DIV/0!</v>
      </c>
      <c r="W42" s="4311"/>
      <c r="X42" s="1556"/>
      <c r="Y42" s="1556"/>
      <c r="Z42" s="1556"/>
      <c r="AA42" s="1556"/>
      <c r="AB42" s="1556"/>
      <c r="AC42" s="1556"/>
    </row>
    <row r="43" spans="1:29" ht="15.75" thickBot="1">
      <c r="A43" s="619" t="s">
        <v>2923</v>
      </c>
      <c r="B43" s="620"/>
      <c r="C43" s="2658" t="e">
        <f>R43</f>
        <v>#DIV/0!</v>
      </c>
      <c r="D43" s="2658"/>
      <c r="E43" s="2658"/>
      <c r="F43" s="2658"/>
      <c r="G43" s="2658"/>
      <c r="H43" s="2658"/>
      <c r="I43" s="2658"/>
      <c r="J43" s="2658"/>
      <c r="K43" s="1610"/>
      <c r="L43" s="2142"/>
      <c r="M43" s="2143"/>
      <c r="N43" s="2143"/>
      <c r="O43" s="2143"/>
      <c r="P43" s="4227" t="str">
        <f>A43</f>
        <v>估价对象XX用房的比较价格（楼面单价，元/平方米）</v>
      </c>
      <c r="Q43" s="4228"/>
      <c r="R43" s="4310" t="e">
        <f>IF(F1="售价",ROUND(AVERAGE(R42:V42),0),ROUND(AVERAGE(R42:V42),1))</f>
        <v>#DIV/0!</v>
      </c>
      <c r="S43" s="4310"/>
      <c r="T43" s="4310"/>
      <c r="U43" s="4310"/>
      <c r="V43" s="4310"/>
      <c r="W43" s="4310"/>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2557</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2558</v>
      </c>
      <c r="C76" s="2620" t="s">
        <v>2559</v>
      </c>
      <c r="D76" s="2620" t="s">
        <v>2560</v>
      </c>
      <c r="E76" s="2620" t="s">
        <v>2561</v>
      </c>
      <c r="F76" s="2620" t="s">
        <v>2562</v>
      </c>
      <c r="G76" s="2620" t="s">
        <v>2563</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2556</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IF(B37="元/平方米",C39,ROUND(B2*10000/D3,0))</f>
        <v>#DIV/0!</v>
      </c>
      <c r="C3" s="850" t="s">
        <v>795</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212" t="s">
        <v>797</v>
      </c>
      <c r="D4" s="4213"/>
      <c r="E4" s="4212" t="s">
        <v>798</v>
      </c>
      <c r="F4" s="4213"/>
      <c r="G4" s="4212" t="s">
        <v>799</v>
      </c>
      <c r="H4" s="4213"/>
      <c r="I4" s="4212" t="s">
        <v>800</v>
      </c>
      <c r="J4" s="4213"/>
      <c r="K4" s="512" t="s">
        <v>801</v>
      </c>
      <c r="L4" s="2131"/>
      <c r="M4" s="2132"/>
      <c r="N4" s="2132"/>
      <c r="O4" s="2132"/>
      <c r="P4" s="4214" t="s">
        <v>802</v>
      </c>
      <c r="Q4" s="4215"/>
      <c r="R4" s="4200" t="s">
        <v>798</v>
      </c>
      <c r="S4" s="4201"/>
      <c r="T4" s="4200" t="s">
        <v>799</v>
      </c>
      <c r="U4" s="4201"/>
      <c r="V4" s="4220" t="s">
        <v>800</v>
      </c>
      <c r="W4" s="4220"/>
      <c r="X4" s="1564"/>
      <c r="Y4" s="4200" t="s">
        <v>802</v>
      </c>
      <c r="Z4" s="4201"/>
      <c r="AA4" s="4195" t="s">
        <v>798</v>
      </c>
      <c r="AB4" s="4196" t="s">
        <v>799</v>
      </c>
      <c r="AC4" s="4195" t="s">
        <v>800</v>
      </c>
    </row>
    <row r="5" spans="1:29" ht="15">
      <c r="A5" s="513"/>
      <c r="B5" s="514"/>
      <c r="C5" s="4223" t="s">
        <v>2917</v>
      </c>
      <c r="D5" s="4224"/>
      <c r="E5" s="4223" t="s">
        <v>2918</v>
      </c>
      <c r="F5" s="4224"/>
      <c r="G5" s="4223" t="s">
        <v>2919</v>
      </c>
      <c r="H5" s="4224"/>
      <c r="I5" s="4223" t="s">
        <v>2920</v>
      </c>
      <c r="J5" s="4224"/>
      <c r="K5" s="512"/>
      <c r="L5" s="2131"/>
      <c r="M5" s="2132"/>
      <c r="N5" s="2132"/>
      <c r="O5" s="2132"/>
      <c r="P5" s="4216"/>
      <c r="Q5" s="4217"/>
      <c r="R5" s="4202"/>
      <c r="S5" s="4203"/>
      <c r="T5" s="4202"/>
      <c r="U5" s="4203"/>
      <c r="V5" s="4220"/>
      <c r="W5" s="4220"/>
      <c r="X5" s="1564"/>
      <c r="Y5" s="4202"/>
      <c r="Z5" s="4203"/>
      <c r="AA5" s="4196"/>
      <c r="AB5" s="4196"/>
      <c r="AC5" s="4196"/>
    </row>
    <row r="6" spans="1:29" ht="15.75" thickBot="1">
      <c r="A6" s="515"/>
      <c r="B6" s="516"/>
      <c r="C6" s="4221" t="s">
        <v>2921</v>
      </c>
      <c r="D6" s="4222"/>
      <c r="E6" s="4225" t="s">
        <v>2921</v>
      </c>
      <c r="F6" s="4226"/>
      <c r="G6" s="4221" t="s">
        <v>2921</v>
      </c>
      <c r="H6" s="4222"/>
      <c r="I6" s="4221" t="s">
        <v>2921</v>
      </c>
      <c r="J6" s="4222"/>
      <c r="K6" s="512" t="s">
        <v>528</v>
      </c>
      <c r="L6" s="2131"/>
      <c r="M6" s="2132"/>
      <c r="N6" s="2132"/>
      <c r="O6" s="2132"/>
      <c r="P6" s="4218"/>
      <c r="Q6" s="4219"/>
      <c r="R6" s="4202"/>
      <c r="S6" s="4203"/>
      <c r="T6" s="4204"/>
      <c r="U6" s="4205"/>
      <c r="V6" s="4220"/>
      <c r="W6" s="4220"/>
      <c r="X6" s="1564"/>
      <c r="Y6" s="4204"/>
      <c r="Z6" s="4205"/>
      <c r="AA6" s="4197"/>
      <c r="AB6" s="4197"/>
      <c r="AC6" s="4197"/>
    </row>
    <row r="7" spans="1:29" s="1218" customFormat="1" ht="15.75" thickBot="1">
      <c r="A7" s="2934"/>
      <c r="B7" s="2941" t="s">
        <v>529</v>
      </c>
      <c r="C7" s="517">
        <f>'数据-取费表'!B2</f>
        <v>43251</v>
      </c>
      <c r="D7" s="518">
        <v>100</v>
      </c>
      <c r="E7" s="519"/>
      <c r="F7" s="520">
        <f>SUMIF(48:48,YEAR(E7)&amp;"-"&amp;MONTH(E7),49:49)</f>
        <v>0</v>
      </c>
      <c r="G7" s="521"/>
      <c r="H7" s="518">
        <f>SUMIF(48:48,YEAR(G7)&amp;"-"&amp;MONTH(G7),49:49)</f>
        <v>0</v>
      </c>
      <c r="I7" s="521"/>
      <c r="J7" s="518">
        <f>SUMIF(48:48,YEAR(I7)&amp;"-"&amp;MONTH(I7),49:49)</f>
        <v>0</v>
      </c>
      <c r="K7" s="522"/>
      <c r="L7" s="2133"/>
      <c r="M7" s="2134"/>
      <c r="N7" s="2134"/>
      <c r="O7" s="2134"/>
      <c r="P7" s="4198" t="s">
        <v>530</v>
      </c>
      <c r="Q7" s="4207"/>
      <c r="R7" s="1565" t="s">
        <v>8</v>
      </c>
      <c r="S7" s="1566">
        <f t="shared" ref="S7:S14" si="0">F7</f>
        <v>0</v>
      </c>
      <c r="T7" s="1565" t="s">
        <v>8</v>
      </c>
      <c r="U7" s="1566">
        <f t="shared" ref="U7:U14" si="1">H7</f>
        <v>0</v>
      </c>
      <c r="V7" s="1565" t="s">
        <v>8</v>
      </c>
      <c r="W7" s="1566">
        <f t="shared" ref="W7:W14" si="2">J7</f>
        <v>0</v>
      </c>
      <c r="X7" s="1567"/>
      <c r="Y7" s="4198" t="s">
        <v>530</v>
      </c>
      <c r="Z7" s="4199"/>
      <c r="AA7" s="1568" t="e">
        <f>D7/F7</f>
        <v>#DIV/0!</v>
      </c>
      <c r="AB7" s="1568" t="e">
        <f>D7/H7</f>
        <v>#DIV/0!</v>
      </c>
      <c r="AC7" s="1568"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4198" t="s">
        <v>533</v>
      </c>
      <c r="Q8" s="4199"/>
      <c r="R8" s="1565" t="s">
        <v>8</v>
      </c>
      <c r="S8" s="1566">
        <f t="shared" si="0"/>
        <v>0</v>
      </c>
      <c r="T8" s="1565" t="s">
        <v>8</v>
      </c>
      <c r="U8" s="1566">
        <f t="shared" si="1"/>
        <v>0</v>
      </c>
      <c r="V8" s="1565" t="s">
        <v>8</v>
      </c>
      <c r="W8" s="1566">
        <f t="shared" si="2"/>
        <v>0</v>
      </c>
      <c r="X8" s="1567"/>
      <c r="Y8" s="4198" t="s">
        <v>533</v>
      </c>
      <c r="Z8" s="4199"/>
      <c r="AA8" s="1568" t="e">
        <f t="shared" ref="AA8:AA36" si="3">D8/F8</f>
        <v>#DIV/0!</v>
      </c>
      <c r="AB8" s="1568" t="e">
        <f t="shared" ref="AB8:AB36" si="4">D8/H8</f>
        <v>#DIV/0!</v>
      </c>
      <c r="AC8" s="1568" t="e">
        <f t="shared" ref="AC8:AC36" si="5">D8/J8</f>
        <v>#DIV/0!</v>
      </c>
    </row>
    <row r="9" spans="1:29" s="1218" customFormat="1" ht="15">
      <c r="A9" s="2936"/>
      <c r="B9" s="2943" t="s">
        <v>2755</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4206" t="s">
        <v>535</v>
      </c>
      <c r="Q9" s="1149" t="str">
        <f t="shared" ref="Q9:Q14" si="6">B9</f>
        <v>用途</v>
      </c>
      <c r="R9" s="1565" t="s">
        <v>8</v>
      </c>
      <c r="S9" s="1566">
        <f t="shared" si="0"/>
        <v>100</v>
      </c>
      <c r="T9" s="1565" t="s">
        <v>8</v>
      </c>
      <c r="U9" s="1566">
        <f t="shared" si="1"/>
        <v>100</v>
      </c>
      <c r="V9" s="1565" t="s">
        <v>8</v>
      </c>
      <c r="W9" s="1566">
        <f t="shared" si="2"/>
        <v>100</v>
      </c>
      <c r="X9" s="1567"/>
      <c r="Y9" s="4121"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4206"/>
      <c r="Q11" s="1149">
        <f t="shared" si="6"/>
        <v>111</v>
      </c>
      <c r="R11" s="1565" t="s">
        <v>8</v>
      </c>
      <c r="S11" s="1566">
        <f t="shared" si="0"/>
        <v>100</v>
      </c>
      <c r="T11" s="1565" t="s">
        <v>8</v>
      </c>
      <c r="U11" s="1566">
        <f t="shared" si="1"/>
        <v>100</v>
      </c>
      <c r="V11" s="1565" t="s">
        <v>8</v>
      </c>
      <c r="W11" s="1566">
        <f t="shared" si="2"/>
        <v>100</v>
      </c>
      <c r="X11" s="1567"/>
      <c r="Y11" s="4121"/>
      <c r="Z11" s="1148">
        <f t="shared" si="7"/>
        <v>111</v>
      </c>
      <c r="AA11" s="1568">
        <f t="shared" si="3"/>
        <v>1</v>
      </c>
      <c r="AB11" s="1568">
        <f t="shared" si="4"/>
        <v>1</v>
      </c>
      <c r="AC11" s="1568">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4206"/>
      <c r="Q12" s="1149">
        <f t="shared" si="6"/>
        <v>111</v>
      </c>
      <c r="R12" s="1565" t="s">
        <v>8</v>
      </c>
      <c r="S12" s="1566">
        <f t="shared" si="0"/>
        <v>100</v>
      </c>
      <c r="T12" s="1565" t="s">
        <v>8</v>
      </c>
      <c r="U12" s="1566">
        <f t="shared" si="1"/>
        <v>100</v>
      </c>
      <c r="V12" s="1565" t="s">
        <v>8</v>
      </c>
      <c r="W12" s="1566">
        <f t="shared" si="2"/>
        <v>100</v>
      </c>
      <c r="X12" s="1567"/>
      <c r="Y12" s="4121"/>
      <c r="Z12" s="1148">
        <f t="shared" si="7"/>
        <v>111</v>
      </c>
      <c r="AA12" s="1568">
        <f>D12/F12</f>
        <v>1</v>
      </c>
      <c r="AB12" s="1568">
        <f>D12/H12</f>
        <v>1</v>
      </c>
      <c r="AC12" s="1568">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4206"/>
      <c r="Q13" s="1149">
        <f t="shared" si="6"/>
        <v>111</v>
      </c>
      <c r="R13" s="1565" t="s">
        <v>8</v>
      </c>
      <c r="S13" s="1566">
        <f t="shared" si="0"/>
        <v>100</v>
      </c>
      <c r="T13" s="1565" t="s">
        <v>8</v>
      </c>
      <c r="U13" s="1566">
        <f t="shared" si="1"/>
        <v>100</v>
      </c>
      <c r="V13" s="1565" t="s">
        <v>8</v>
      </c>
      <c r="W13" s="1566">
        <f t="shared" si="2"/>
        <v>100</v>
      </c>
      <c r="X13" s="1567"/>
      <c r="Y13" s="4121"/>
      <c r="Z13" s="1148">
        <f t="shared" si="7"/>
        <v>111</v>
      </c>
      <c r="AA13" s="1568">
        <f t="shared" si="3"/>
        <v>1</v>
      </c>
      <c r="AB13" s="1568">
        <f t="shared" si="4"/>
        <v>1</v>
      </c>
      <c r="AC13" s="1568">
        <f t="shared" si="5"/>
        <v>1</v>
      </c>
    </row>
    <row r="14" spans="1:29" ht="57">
      <c r="A14" s="2932" t="s">
        <v>2753</v>
      </c>
      <c r="B14" s="545" t="s">
        <v>543</v>
      </c>
      <c r="C14" s="919" t="str">
        <f>IF(B1="工业",估价对象房地状况!G4,估价对象房地状况!C6)</f>
        <v>周边道路状况、公共交通通达情况、停车便捷程度</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4208" t="s">
        <v>540</v>
      </c>
      <c r="Q14" s="1569" t="str">
        <f t="shared" si="6"/>
        <v>交通便捷度</v>
      </c>
      <c r="R14" s="1570" t="s">
        <v>8</v>
      </c>
      <c r="S14" s="1571">
        <f t="shared" si="0"/>
        <v>100</v>
      </c>
      <c r="T14" s="1570" t="s">
        <v>8</v>
      </c>
      <c r="U14" s="1571">
        <f t="shared" si="1"/>
        <v>100</v>
      </c>
      <c r="V14" s="1570" t="s">
        <v>8</v>
      </c>
      <c r="W14" s="1571">
        <f t="shared" si="2"/>
        <v>100</v>
      </c>
      <c r="X14" s="1564"/>
      <c r="Y14" s="4208"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4209"/>
      <c r="Q15" s="1569"/>
      <c r="R15" s="1570"/>
      <c r="S15" s="1571"/>
      <c r="T15" s="1570"/>
      <c r="U15" s="1571"/>
      <c r="V15" s="1570"/>
      <c r="W15" s="1571"/>
      <c r="X15" s="1564"/>
      <c r="Y15" s="4209"/>
      <c r="Z15" s="1572"/>
      <c r="AA15" s="1573">
        <v>1</v>
      </c>
      <c r="AB15" s="1573">
        <v>1</v>
      </c>
      <c r="AC15" s="1573">
        <v>1</v>
      </c>
    </row>
    <row r="16" spans="1:29" ht="15">
      <c r="A16" s="513"/>
      <c r="B16" s="2625" t="s">
        <v>2546</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4209"/>
      <c r="Q16" s="1569" t="str">
        <f>B16</f>
        <v>公共配套设施</v>
      </c>
      <c r="R16" s="1570" t="s">
        <v>8</v>
      </c>
      <c r="S16" s="1571">
        <f>F16</f>
        <v>100</v>
      </c>
      <c r="T16" s="1570" t="s">
        <v>8</v>
      </c>
      <c r="U16" s="1571">
        <f>H16</f>
        <v>100</v>
      </c>
      <c r="V16" s="1570" t="s">
        <v>8</v>
      </c>
      <c r="W16" s="1571">
        <f>J16</f>
        <v>100</v>
      </c>
      <c r="X16" s="1564"/>
      <c r="Y16" s="4209"/>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4209"/>
      <c r="Q17" s="1569"/>
      <c r="R17" s="1570"/>
      <c r="S17" s="1571"/>
      <c r="T17" s="1570"/>
      <c r="U17" s="1571"/>
      <c r="V17" s="1570"/>
      <c r="W17" s="1571"/>
      <c r="X17" s="1564"/>
      <c r="Y17" s="4209"/>
      <c r="Z17" s="1572"/>
      <c r="AA17" s="1573">
        <v>1</v>
      </c>
      <c r="AB17" s="1573">
        <v>1</v>
      </c>
      <c r="AC17" s="1573">
        <v>1</v>
      </c>
    </row>
    <row r="18" spans="1:29" ht="15">
      <c r="A18" s="513"/>
      <c r="B18" s="2613" t="s">
        <v>2558</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4209"/>
      <c r="Q18" s="2601" t="str">
        <f>B18</f>
        <v>基础设施水平</v>
      </c>
      <c r="R18" s="1570" t="s">
        <v>8</v>
      </c>
      <c r="S18" s="1571">
        <f>F18</f>
        <v>100</v>
      </c>
      <c r="T18" s="1570" t="s">
        <v>8</v>
      </c>
      <c r="U18" s="1571">
        <f>H18</f>
        <v>100</v>
      </c>
      <c r="V18" s="1570" t="s">
        <v>8</v>
      </c>
      <c r="W18" s="1571">
        <f>J18</f>
        <v>100</v>
      </c>
      <c r="X18" s="2603"/>
      <c r="Y18" s="4209"/>
      <c r="Z18" s="2602"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24"/>
      <c r="L19" s="2140"/>
      <c r="M19" s="2132"/>
      <c r="N19" s="2132"/>
      <c r="O19" s="2139"/>
      <c r="P19" s="4209"/>
      <c r="Q19" s="2601"/>
      <c r="R19" s="1570"/>
      <c r="S19" s="1571"/>
      <c r="T19" s="1570"/>
      <c r="U19" s="1571"/>
      <c r="V19" s="1570"/>
      <c r="W19" s="1571"/>
      <c r="X19" s="2603"/>
      <c r="Y19" s="4209"/>
      <c r="Z19" s="2602"/>
      <c r="AA19" s="1573">
        <v>1</v>
      </c>
      <c r="AB19" s="1573">
        <v>1</v>
      </c>
      <c r="AC19" s="1573">
        <v>1</v>
      </c>
    </row>
    <row r="20" spans="1:29" ht="15">
      <c r="A20" s="513"/>
      <c r="B20" s="558" t="s">
        <v>803</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4209"/>
      <c r="Q20" s="1569" t="str">
        <f>B20</f>
        <v>自然及人文环境</v>
      </c>
      <c r="R20" s="1570" t="s">
        <v>8</v>
      </c>
      <c r="S20" s="1571">
        <f>F20</f>
        <v>100</v>
      </c>
      <c r="T20" s="1570" t="s">
        <v>8</v>
      </c>
      <c r="U20" s="1571">
        <f>H20</f>
        <v>100</v>
      </c>
      <c r="V20" s="1570" t="s">
        <v>8</v>
      </c>
      <c r="W20" s="1571">
        <f>J20</f>
        <v>100</v>
      </c>
      <c r="X20" s="1564"/>
      <c r="Y20" s="4209"/>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4209"/>
      <c r="Q21" s="1569"/>
      <c r="R21" s="1570"/>
      <c r="S21" s="1571"/>
      <c r="T21" s="1570"/>
      <c r="U21" s="1571"/>
      <c r="V21" s="1570"/>
      <c r="W21" s="1571"/>
      <c r="X21" s="1564"/>
      <c r="Y21" s="4209"/>
      <c r="Z21" s="1572"/>
      <c r="AA21" s="1573">
        <v>1</v>
      </c>
      <c r="AB21" s="1573">
        <v>1</v>
      </c>
      <c r="AC21" s="1573">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4209"/>
      <c r="Q22" s="1569" t="str">
        <f>B22</f>
        <v>楼层</v>
      </c>
      <c r="R22" s="1570" t="s">
        <v>8</v>
      </c>
      <c r="S22" s="1571">
        <f>F22</f>
        <v>100</v>
      </c>
      <c r="T22" s="1570" t="s">
        <v>8</v>
      </c>
      <c r="U22" s="1571">
        <f>H22</f>
        <v>100</v>
      </c>
      <c r="V22" s="1570" t="s">
        <v>8</v>
      </c>
      <c r="W22" s="1571">
        <f>J22</f>
        <v>100</v>
      </c>
      <c r="X22" s="1564"/>
      <c r="Y22" s="4209"/>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4209"/>
      <c r="Q23" s="1569">
        <f>B23</f>
        <v>111</v>
      </c>
      <c r="R23" s="1570" t="s">
        <v>8</v>
      </c>
      <c r="S23" s="1571">
        <f>F23</f>
        <v>100</v>
      </c>
      <c r="T23" s="1570" t="s">
        <v>8</v>
      </c>
      <c r="U23" s="1571">
        <f>H23</f>
        <v>100</v>
      </c>
      <c r="V23" s="1570" t="s">
        <v>8</v>
      </c>
      <c r="W23" s="1571">
        <f>J23</f>
        <v>100</v>
      </c>
      <c r="X23" s="1564"/>
      <c r="Y23" s="4209"/>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4209"/>
      <c r="Q24" s="1569">
        <f t="shared" ref="Q24:Q36" si="11">B24</f>
        <v>111</v>
      </c>
      <c r="R24" s="1570" t="s">
        <v>8</v>
      </c>
      <c r="S24" s="1571">
        <f>F24</f>
        <v>100</v>
      </c>
      <c r="T24" s="1570" t="s">
        <v>8</v>
      </c>
      <c r="U24" s="1571">
        <f>H24</f>
        <v>100</v>
      </c>
      <c r="V24" s="1570" t="s">
        <v>8</v>
      </c>
      <c r="W24" s="1571">
        <f>J24</f>
        <v>100</v>
      </c>
      <c r="X24" s="1564"/>
      <c r="Y24" s="4209"/>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4209"/>
      <c r="Q25" s="1149">
        <f t="shared" si="11"/>
        <v>111</v>
      </c>
      <c r="R25" s="1565" t="s">
        <v>8</v>
      </c>
      <c r="S25" s="1566">
        <f>F25</f>
        <v>100</v>
      </c>
      <c r="T25" s="1565" t="s">
        <v>8</v>
      </c>
      <c r="U25" s="1566">
        <f>H25</f>
        <v>100</v>
      </c>
      <c r="V25" s="1565" t="s">
        <v>8</v>
      </c>
      <c r="W25" s="1566">
        <f>J25</f>
        <v>100</v>
      </c>
      <c r="X25" s="1567"/>
      <c r="Y25" s="4209"/>
      <c r="Z25" s="1148">
        <f>Q25</f>
        <v>111</v>
      </c>
      <c r="AA25" s="1573">
        <f>D25/F25</f>
        <v>1</v>
      </c>
      <c r="AB25" s="1573">
        <f>D25/H25</f>
        <v>1</v>
      </c>
      <c r="AC25" s="1573">
        <f>D25/J25</f>
        <v>1</v>
      </c>
    </row>
    <row r="26" spans="1:29" ht="15">
      <c r="A26" s="2929"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4210"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4211" t="s">
        <v>550</v>
      </c>
      <c r="Z26" s="1572" t="str">
        <f t="shared" ref="Z26:Z36" si="15">Q26</f>
        <v>配套类型</v>
      </c>
      <c r="AA26" s="1573">
        <f t="shared" si="3"/>
        <v>1</v>
      </c>
      <c r="AB26" s="1573">
        <f t="shared" si="4"/>
        <v>1</v>
      </c>
      <c r="AC26" s="1573">
        <f t="shared" si="5"/>
        <v>1</v>
      </c>
    </row>
    <row r="27" spans="1:29" s="1337" customFormat="1" ht="15">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4211"/>
      <c r="Q27" s="1602" t="str">
        <f t="shared" si="11"/>
        <v>项目停车位配比</v>
      </c>
      <c r="R27" s="1574" t="s">
        <v>8</v>
      </c>
      <c r="S27" s="1575">
        <f t="shared" si="12"/>
        <v>100</v>
      </c>
      <c r="T27" s="1574" t="s">
        <v>8</v>
      </c>
      <c r="U27" s="1575">
        <f t="shared" si="13"/>
        <v>100</v>
      </c>
      <c r="V27" s="1574" t="s">
        <v>8</v>
      </c>
      <c r="W27" s="1575">
        <f t="shared" si="14"/>
        <v>100</v>
      </c>
      <c r="X27" s="1576"/>
      <c r="Y27" s="4211"/>
      <c r="Z27" s="1577" t="str">
        <f t="shared" si="15"/>
        <v>项目停车位配比</v>
      </c>
      <c r="AA27" s="1573">
        <f t="shared" si="3"/>
        <v>1</v>
      </c>
      <c r="AB27" s="1573">
        <f t="shared" si="4"/>
        <v>1</v>
      </c>
      <c r="AC27" s="1573">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4211"/>
      <c r="Q28" s="1569" t="str">
        <f t="shared" si="11"/>
        <v>公共部分装修</v>
      </c>
      <c r="R28" s="1570" t="s">
        <v>8</v>
      </c>
      <c r="S28" s="1571">
        <f t="shared" si="12"/>
        <v>100</v>
      </c>
      <c r="T28" s="1570" t="s">
        <v>8</v>
      </c>
      <c r="U28" s="1571">
        <f t="shared" si="13"/>
        <v>100</v>
      </c>
      <c r="V28" s="1570" t="s">
        <v>8</v>
      </c>
      <c r="W28" s="1571">
        <f t="shared" si="14"/>
        <v>100</v>
      </c>
      <c r="X28" s="1564"/>
      <c r="Y28" s="4211"/>
      <c r="Z28" s="1572" t="str">
        <f t="shared" si="15"/>
        <v>公共部分装修</v>
      </c>
      <c r="AA28" s="1573">
        <f t="shared" si="3"/>
        <v>1</v>
      </c>
      <c r="AB28" s="1573">
        <f t="shared" si="4"/>
        <v>1</v>
      </c>
      <c r="AC28" s="1573">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4211"/>
      <c r="Q29" s="1569" t="str">
        <f t="shared" si="11"/>
        <v>成新率</v>
      </c>
      <c r="R29" s="1570" t="s">
        <v>8</v>
      </c>
      <c r="S29" s="1571" t="e">
        <f t="shared" si="12"/>
        <v>#N/A</v>
      </c>
      <c r="T29" s="1570" t="s">
        <v>8</v>
      </c>
      <c r="U29" s="1571" t="e">
        <f t="shared" si="13"/>
        <v>#N/A</v>
      </c>
      <c r="V29" s="1570" t="s">
        <v>8</v>
      </c>
      <c r="W29" s="1571" t="e">
        <f t="shared" si="14"/>
        <v>#N/A</v>
      </c>
      <c r="X29" s="1564"/>
      <c r="Y29" s="4211"/>
      <c r="Z29" s="1572" t="str">
        <f t="shared" si="15"/>
        <v>成新率</v>
      </c>
      <c r="AA29" s="1573" t="e">
        <f t="shared" si="3"/>
        <v>#N/A</v>
      </c>
      <c r="AB29" s="1573" t="e">
        <f t="shared" si="4"/>
        <v>#N/A</v>
      </c>
      <c r="AC29" s="1573"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4211"/>
      <c r="Q30" s="1569" t="str">
        <f t="shared" si="11"/>
        <v>物业等级</v>
      </c>
      <c r="R30" s="1570" t="s">
        <v>8</v>
      </c>
      <c r="S30" s="1571">
        <f t="shared" si="12"/>
        <v>100</v>
      </c>
      <c r="T30" s="1570" t="s">
        <v>8</v>
      </c>
      <c r="U30" s="1571">
        <f t="shared" si="13"/>
        <v>100</v>
      </c>
      <c r="V30" s="1570" t="s">
        <v>8</v>
      </c>
      <c r="W30" s="1571">
        <f t="shared" si="14"/>
        <v>100</v>
      </c>
      <c r="X30" s="1564"/>
      <c r="Y30" s="4211"/>
      <c r="Z30" s="1572" t="str">
        <f t="shared" si="15"/>
        <v>物业等级</v>
      </c>
      <c r="AA30" s="1573">
        <f t="shared" si="3"/>
        <v>1</v>
      </c>
      <c r="AB30" s="1573">
        <f t="shared" si="4"/>
        <v>1</v>
      </c>
      <c r="AC30" s="1573">
        <f t="shared" si="5"/>
        <v>1</v>
      </c>
    </row>
    <row r="31" spans="1:29" s="1218" customFormat="1" ht="15">
      <c r="A31" s="931"/>
      <c r="B31" s="580" t="s">
        <v>810</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4211"/>
      <c r="Q31" s="1149" t="str">
        <f t="shared" si="11"/>
        <v>停车位面积</v>
      </c>
      <c r="R31" s="1565" t="s">
        <v>8</v>
      </c>
      <c r="S31" s="1566" t="e">
        <f t="shared" si="12"/>
        <v>#N/A</v>
      </c>
      <c r="T31" s="1565" t="s">
        <v>8</v>
      </c>
      <c r="U31" s="1566" t="e">
        <f t="shared" si="13"/>
        <v>#N/A</v>
      </c>
      <c r="V31" s="1565" t="s">
        <v>8</v>
      </c>
      <c r="W31" s="1566" t="e">
        <f t="shared" si="14"/>
        <v>#N/A</v>
      </c>
      <c r="X31" s="1567"/>
      <c r="Y31" s="4211"/>
      <c r="Z31" s="1148" t="str">
        <f t="shared" si="15"/>
        <v>停车位面积</v>
      </c>
      <c r="AA31" s="1568" t="e">
        <f t="shared" si="3"/>
        <v>#N/A</v>
      </c>
      <c r="AB31" s="1568" t="e">
        <f t="shared" si="4"/>
        <v>#N/A</v>
      </c>
      <c r="AC31" s="1568"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4211" t="s">
        <v>550</v>
      </c>
      <c r="Q32" s="1569" t="str">
        <f t="shared" si="11"/>
        <v>车位类型</v>
      </c>
      <c r="R32" s="1570" t="s">
        <v>8</v>
      </c>
      <c r="S32" s="1571">
        <f t="shared" si="12"/>
        <v>100</v>
      </c>
      <c r="T32" s="1570" t="s">
        <v>8</v>
      </c>
      <c r="U32" s="1571">
        <f t="shared" si="13"/>
        <v>100</v>
      </c>
      <c r="V32" s="1570" t="s">
        <v>8</v>
      </c>
      <c r="W32" s="1571">
        <f t="shared" si="14"/>
        <v>100</v>
      </c>
      <c r="X32" s="1564"/>
      <c r="Y32" s="4211" t="s">
        <v>550</v>
      </c>
      <c r="Z32" s="1572" t="str">
        <f t="shared" si="15"/>
        <v>车位类型</v>
      </c>
      <c r="AA32" s="1573">
        <f t="shared" si="3"/>
        <v>1</v>
      </c>
      <c r="AB32" s="1573">
        <f t="shared" si="4"/>
        <v>1</v>
      </c>
      <c r="AC32" s="1573">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4211"/>
      <c r="Q33" s="1569" t="str">
        <f t="shared" si="11"/>
        <v>是否直接入户</v>
      </c>
      <c r="R33" s="1570" t="s">
        <v>8</v>
      </c>
      <c r="S33" s="1571">
        <f t="shared" si="12"/>
        <v>100</v>
      </c>
      <c r="T33" s="1570" t="s">
        <v>8</v>
      </c>
      <c r="U33" s="1571">
        <f t="shared" si="13"/>
        <v>100</v>
      </c>
      <c r="V33" s="1570" t="s">
        <v>8</v>
      </c>
      <c r="W33" s="1571">
        <f t="shared" si="14"/>
        <v>100</v>
      </c>
      <c r="X33" s="1564"/>
      <c r="Y33" s="4211"/>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4211"/>
      <c r="Q34" s="1569">
        <f t="shared" si="11"/>
        <v>111</v>
      </c>
      <c r="R34" s="1570" t="s">
        <v>8</v>
      </c>
      <c r="S34" s="1571">
        <f t="shared" si="12"/>
        <v>100</v>
      </c>
      <c r="T34" s="1570" t="s">
        <v>8</v>
      </c>
      <c r="U34" s="1571">
        <f t="shared" si="13"/>
        <v>100</v>
      </c>
      <c r="V34" s="1570" t="s">
        <v>8</v>
      </c>
      <c r="W34" s="1571">
        <f t="shared" si="14"/>
        <v>100</v>
      </c>
      <c r="X34" s="1564"/>
      <c r="Y34" s="4211"/>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4211"/>
      <c r="Q35" s="1602">
        <f t="shared" si="11"/>
        <v>111</v>
      </c>
      <c r="R35" s="1574" t="s">
        <v>8</v>
      </c>
      <c r="S35" s="1575">
        <f t="shared" si="12"/>
        <v>100</v>
      </c>
      <c r="T35" s="1574" t="s">
        <v>8</v>
      </c>
      <c r="U35" s="1575">
        <f t="shared" si="13"/>
        <v>100</v>
      </c>
      <c r="V35" s="1574" t="s">
        <v>8</v>
      </c>
      <c r="W35" s="1575">
        <f t="shared" si="14"/>
        <v>100</v>
      </c>
      <c r="X35" s="1576"/>
      <c r="Y35" s="4211"/>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4211"/>
      <c r="Q36" s="1569">
        <f t="shared" si="11"/>
        <v>111</v>
      </c>
      <c r="R36" s="1570" t="s">
        <v>8</v>
      </c>
      <c r="S36" s="1571">
        <f t="shared" si="12"/>
        <v>100</v>
      </c>
      <c r="T36" s="1570" t="s">
        <v>8</v>
      </c>
      <c r="U36" s="1571">
        <f t="shared" si="13"/>
        <v>100</v>
      </c>
      <c r="V36" s="1570" t="s">
        <v>8</v>
      </c>
      <c r="W36" s="1571">
        <f t="shared" si="14"/>
        <v>100</v>
      </c>
      <c r="X36" s="1564"/>
      <c r="Y36" s="4211"/>
      <c r="Z36" s="1572">
        <f t="shared" si="15"/>
        <v>111</v>
      </c>
      <c r="AA36" s="1573">
        <f t="shared" si="3"/>
        <v>1</v>
      </c>
      <c r="AB36" s="1573">
        <f t="shared" si="4"/>
        <v>1</v>
      </c>
      <c r="AC36" s="1573">
        <f t="shared" si="5"/>
        <v>1</v>
      </c>
    </row>
    <row r="37" spans="1:29" ht="15">
      <c r="A37" s="1844" t="s">
        <v>2079</v>
      </c>
      <c r="B37" s="1845" t="s">
        <v>2080</v>
      </c>
      <c r="C37" s="2649" t="s">
        <v>1</v>
      </c>
      <c r="D37" s="2650"/>
      <c r="E37" s="2651"/>
      <c r="F37" s="2652"/>
      <c r="G37" s="2653"/>
      <c r="H37" s="2654"/>
      <c r="I37" s="2651"/>
      <c r="J37" s="2654"/>
      <c r="K37" s="1608"/>
      <c r="L37" s="2142"/>
      <c r="M37" s="2143"/>
      <c r="N37" s="2132"/>
      <c r="O37" s="2143"/>
      <c r="P37" s="4206" t="str">
        <f>A37</f>
        <v>成交单价</v>
      </c>
      <c r="Q37" s="4206"/>
      <c r="R37" s="4311">
        <f>E37</f>
        <v>0</v>
      </c>
      <c r="S37" s="4311"/>
      <c r="T37" s="4311">
        <f>G37</f>
        <v>0</v>
      </c>
      <c r="U37" s="4311"/>
      <c r="V37" s="4311">
        <f>I37</f>
        <v>0</v>
      </c>
      <c r="W37" s="4311"/>
      <c r="X37" s="1556"/>
      <c r="Y37" s="1578"/>
      <c r="Z37" s="1556"/>
      <c r="AA37" s="1556"/>
      <c r="AB37" s="1556"/>
      <c r="AC37" s="1556"/>
    </row>
    <row r="38" spans="1:29" ht="15.75" thickBot="1">
      <c r="A38" s="613" t="s">
        <v>2759</v>
      </c>
      <c r="B38" s="886"/>
      <c r="C38" s="2655" t="e">
        <f>R39</f>
        <v>#DIV/0!</v>
      </c>
      <c r="D38" s="2656"/>
      <c r="E38" s="2657" t="e">
        <f>R38</f>
        <v>#DIV/0!</v>
      </c>
      <c r="F38" s="2657"/>
      <c r="G38" s="2655" t="e">
        <f>T38</f>
        <v>#DIV/0!</v>
      </c>
      <c r="H38" s="2656"/>
      <c r="I38" s="2657" t="e">
        <f>V38</f>
        <v>#DIV/0!</v>
      </c>
      <c r="J38" s="2656"/>
      <c r="K38" s="1609"/>
      <c r="L38" s="2142"/>
      <c r="M38" s="2143"/>
      <c r="N38" s="2143"/>
      <c r="O38" s="2143"/>
      <c r="P38" s="4206" t="str">
        <f>A38</f>
        <v>比较价格（元/平方米）</v>
      </c>
      <c r="Q38" s="4206"/>
      <c r="R38" s="4311" t="e">
        <f>IF(F1="售价",ROUND(PRODUCT(R37,AA7:AA36),0),ROUND(PRODUCT(R37,AA7:AA36),1))</f>
        <v>#DIV/0!</v>
      </c>
      <c r="S38" s="4311"/>
      <c r="T38" s="4311" t="e">
        <f>IF(F1="售价",ROUND(PRODUCT(T37,AB7:AB36),0),ROUND(PRODUCT(T37,AB7:AB36),1))</f>
        <v>#DIV/0!</v>
      </c>
      <c r="U38" s="4311"/>
      <c r="V38" s="4311" t="e">
        <f>IF(F1="售价",ROUND(PRODUCT(V37,AC7:AC36),0),ROUND(PRODUCT(V37,AC7:AC36),1))</f>
        <v>#DIV/0!</v>
      </c>
      <c r="W38" s="4311"/>
      <c r="X38" s="1556"/>
      <c r="Y38" s="1556"/>
      <c r="Z38" s="1556"/>
      <c r="AA38" s="1556"/>
      <c r="AB38" s="1556"/>
      <c r="AC38" s="1556"/>
    </row>
    <row r="39" spans="1:29" ht="15.75" thickBot="1">
      <c r="A39" s="619" t="s">
        <v>2923</v>
      </c>
      <c r="B39" s="620"/>
      <c r="C39" s="2658" t="e">
        <f>R39</f>
        <v>#DIV/0!</v>
      </c>
      <c r="D39" s="2658"/>
      <c r="E39" s="2658"/>
      <c r="F39" s="2658"/>
      <c r="G39" s="2658"/>
      <c r="H39" s="2658"/>
      <c r="I39" s="2658"/>
      <c r="J39" s="2658"/>
      <c r="K39" s="1610"/>
      <c r="L39" s="2142"/>
      <c r="M39" s="2143"/>
      <c r="N39" s="2143"/>
      <c r="O39" s="2143"/>
      <c r="P39" s="4227" t="str">
        <f>A39</f>
        <v>估价对象XX用房的比较价格（楼面单价，元/平方米）</v>
      </c>
      <c r="Q39" s="4228"/>
      <c r="R39" s="4310" t="e">
        <f>IF(F1="售价",ROUND(AVERAGE(R38:V38),0),ROUND(AVERAGE(R38:V38),1))</f>
        <v>#DIV/0!</v>
      </c>
      <c r="S39" s="4310"/>
      <c r="T39" s="4310"/>
      <c r="U39" s="4310"/>
      <c r="V39" s="4310"/>
      <c r="W39" s="4310"/>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8"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2557</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2558</v>
      </c>
      <c r="C67" s="2620" t="s">
        <v>2559</v>
      </c>
      <c r="D67" s="2620" t="s">
        <v>2560</v>
      </c>
      <c r="E67" s="2620" t="s">
        <v>2561</v>
      </c>
      <c r="F67" s="2620" t="s">
        <v>2562</v>
      </c>
      <c r="G67" s="2620" t="s">
        <v>2563</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791</v>
      </c>
      <c r="D1" s="847"/>
      <c r="E1" s="504"/>
      <c r="F1" s="2829"/>
      <c r="G1" s="1598" t="s">
        <v>792</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793</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4"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5">
      <c r="A4" s="510" t="s">
        <v>796</v>
      </c>
      <c r="B4" s="511"/>
      <c r="C4" s="4212" t="s">
        <v>797</v>
      </c>
      <c r="D4" s="4213"/>
      <c r="E4" s="4237" t="s">
        <v>798</v>
      </c>
      <c r="F4" s="4238"/>
      <c r="G4" s="4212" t="s">
        <v>799</v>
      </c>
      <c r="H4" s="4213"/>
      <c r="I4" s="4212" t="s">
        <v>800</v>
      </c>
      <c r="J4" s="4213"/>
      <c r="K4" s="512" t="s">
        <v>801</v>
      </c>
      <c r="L4" s="2131"/>
      <c r="M4" s="2132"/>
      <c r="N4" s="2132"/>
      <c r="O4" s="2132"/>
      <c r="P4" s="4214" t="s">
        <v>802</v>
      </c>
      <c r="Q4" s="4215"/>
      <c r="R4" s="4200" t="s">
        <v>798</v>
      </c>
      <c r="S4" s="4201"/>
      <c r="T4" s="4200" t="s">
        <v>799</v>
      </c>
      <c r="U4" s="4201"/>
      <c r="V4" s="4220" t="s">
        <v>800</v>
      </c>
      <c r="W4" s="4220"/>
      <c r="X4" s="1564"/>
      <c r="Y4" s="4200" t="s">
        <v>802</v>
      </c>
      <c r="Z4" s="4201"/>
      <c r="AA4" s="4195" t="s">
        <v>798</v>
      </c>
      <c r="AB4" s="4196" t="s">
        <v>799</v>
      </c>
      <c r="AC4" s="4195" t="s">
        <v>800</v>
      </c>
    </row>
    <row r="5" spans="1:29" ht="15">
      <c r="A5" s="513"/>
      <c r="B5" s="514"/>
      <c r="C5" s="4223" t="s">
        <v>2917</v>
      </c>
      <c r="D5" s="4224"/>
      <c r="E5" s="4239" t="s">
        <v>2918</v>
      </c>
      <c r="F5" s="4240"/>
      <c r="G5" s="4223" t="s">
        <v>2919</v>
      </c>
      <c r="H5" s="4224"/>
      <c r="I5" s="4223" t="s">
        <v>2920</v>
      </c>
      <c r="J5" s="4224"/>
      <c r="K5" s="512"/>
      <c r="L5" s="2131"/>
      <c r="M5" s="2132"/>
      <c r="N5" s="2132"/>
      <c r="O5" s="2132"/>
      <c r="P5" s="4216"/>
      <c r="Q5" s="4217"/>
      <c r="R5" s="4202"/>
      <c r="S5" s="4203"/>
      <c r="T5" s="4202"/>
      <c r="U5" s="4203"/>
      <c r="V5" s="4220"/>
      <c r="W5" s="4220"/>
      <c r="X5" s="1564"/>
      <c r="Y5" s="4202"/>
      <c r="Z5" s="4203"/>
      <c r="AA5" s="4196"/>
      <c r="AB5" s="4196"/>
      <c r="AC5" s="4196"/>
    </row>
    <row r="6" spans="1:29" ht="15.75" thickBot="1">
      <c r="A6" s="515"/>
      <c r="B6" s="516"/>
      <c r="C6" s="4221" t="s">
        <v>2921</v>
      </c>
      <c r="D6" s="4222"/>
      <c r="E6" s="4241" t="s">
        <v>2921</v>
      </c>
      <c r="F6" s="4242"/>
      <c r="G6" s="4221" t="s">
        <v>2921</v>
      </c>
      <c r="H6" s="4222"/>
      <c r="I6" s="4221" t="s">
        <v>2921</v>
      </c>
      <c r="J6" s="4222"/>
      <c r="K6" s="512" t="s">
        <v>528</v>
      </c>
      <c r="L6" s="2131"/>
      <c r="M6" s="2132"/>
      <c r="N6" s="2132"/>
      <c r="O6" s="2132"/>
      <c r="P6" s="4218"/>
      <c r="Q6" s="4219"/>
      <c r="R6" s="4202"/>
      <c r="S6" s="4203"/>
      <c r="T6" s="4204"/>
      <c r="U6" s="4205"/>
      <c r="V6" s="4220"/>
      <c r="W6" s="4220"/>
      <c r="X6" s="1564"/>
      <c r="Y6" s="4204"/>
      <c r="Z6" s="4205"/>
      <c r="AA6" s="4197"/>
      <c r="AB6" s="4197"/>
      <c r="AC6" s="4197"/>
    </row>
    <row r="7" spans="1:29" s="1218" customFormat="1" ht="15.75" thickBot="1">
      <c r="A7" s="2934"/>
      <c r="B7" s="2941" t="s">
        <v>529</v>
      </c>
      <c r="C7" s="517">
        <f>'数据-取费表'!B2</f>
        <v>43251</v>
      </c>
      <c r="D7" s="518">
        <v>100</v>
      </c>
      <c r="E7" s="519"/>
      <c r="F7" s="520">
        <f>SUMIF(46:46,YEAR(E7)&amp;"-"&amp;MONTH(E7),47:47)</f>
        <v>0</v>
      </c>
      <c r="G7" s="521"/>
      <c r="H7" s="518">
        <f>SUMIF(46:46,YEAR(G7)&amp;"-"&amp;MONTH(G7),47:47)</f>
        <v>0</v>
      </c>
      <c r="I7" s="521"/>
      <c r="J7" s="518">
        <f>SUMIF(46:46,YEAR(I7)&amp;"-"&amp;MONTH(I7),47:47)</f>
        <v>0</v>
      </c>
      <c r="K7" s="522"/>
      <c r="L7" s="2133"/>
      <c r="M7" s="2134"/>
      <c r="N7" s="2134"/>
      <c r="O7" s="2134"/>
      <c r="P7" s="4198" t="s">
        <v>530</v>
      </c>
      <c r="Q7" s="4207"/>
      <c r="R7" s="1565" t="s">
        <v>8</v>
      </c>
      <c r="S7" s="1566">
        <f t="shared" ref="S7:S14" si="0">F7</f>
        <v>0</v>
      </c>
      <c r="T7" s="1565" t="s">
        <v>8</v>
      </c>
      <c r="U7" s="1566">
        <f t="shared" ref="U7:U14" si="1">H7</f>
        <v>0</v>
      </c>
      <c r="V7" s="1565" t="s">
        <v>8</v>
      </c>
      <c r="W7" s="1566">
        <f t="shared" ref="W7:W14" si="2">J7</f>
        <v>0</v>
      </c>
      <c r="X7" s="1567"/>
      <c r="Y7" s="4198" t="s">
        <v>530</v>
      </c>
      <c r="Z7" s="4199"/>
      <c r="AA7" s="1568" t="e">
        <f>D7/F7</f>
        <v>#DIV/0!</v>
      </c>
      <c r="AB7" s="1568" t="e">
        <f>D7/H7</f>
        <v>#DIV/0!</v>
      </c>
      <c r="AC7" s="1568"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4198" t="s">
        <v>533</v>
      </c>
      <c r="Q8" s="4199"/>
      <c r="R8" s="1565" t="s">
        <v>8</v>
      </c>
      <c r="S8" s="1566">
        <f t="shared" si="0"/>
        <v>0</v>
      </c>
      <c r="T8" s="1565" t="s">
        <v>8</v>
      </c>
      <c r="U8" s="1566">
        <f t="shared" si="1"/>
        <v>0</v>
      </c>
      <c r="V8" s="1565" t="s">
        <v>8</v>
      </c>
      <c r="W8" s="1566">
        <f t="shared" si="2"/>
        <v>0</v>
      </c>
      <c r="X8" s="1567"/>
      <c r="Y8" s="4198" t="s">
        <v>533</v>
      </c>
      <c r="Z8" s="4199"/>
      <c r="AA8" s="1568" t="e">
        <f t="shared" ref="AA8:AA34" si="3">D8/F8</f>
        <v>#DIV/0!</v>
      </c>
      <c r="AB8" s="1568" t="e">
        <f t="shared" ref="AB8:AB34" si="4">D8/H8</f>
        <v>#DIV/0!</v>
      </c>
      <c r="AC8" s="1568" t="e">
        <f t="shared" ref="AC8:AC34" si="5">D8/J8</f>
        <v>#DIV/0!</v>
      </c>
    </row>
    <row r="9" spans="1:29" s="1218" customFormat="1" ht="15">
      <c r="A9" s="2936"/>
      <c r="B9" s="2943" t="s">
        <v>2755</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4206" t="s">
        <v>535</v>
      </c>
      <c r="Q9" s="1149" t="str">
        <f t="shared" ref="Q9:Q14" si="6">B9</f>
        <v>用途</v>
      </c>
      <c r="R9" s="1565" t="s">
        <v>8</v>
      </c>
      <c r="S9" s="1566">
        <f t="shared" si="0"/>
        <v>100</v>
      </c>
      <c r="T9" s="1565" t="s">
        <v>8</v>
      </c>
      <c r="U9" s="1566">
        <f t="shared" si="1"/>
        <v>100</v>
      </c>
      <c r="V9" s="1565" t="s">
        <v>8</v>
      </c>
      <c r="W9" s="1566">
        <f t="shared" si="2"/>
        <v>100</v>
      </c>
      <c r="X9" s="1567"/>
      <c r="Y9" s="4121" t="s">
        <v>536</v>
      </c>
      <c r="Z9" s="1148" t="str">
        <f t="shared" ref="Z9:Z14" si="7">Q9</f>
        <v>用途</v>
      </c>
      <c r="AA9" s="1568">
        <f t="shared" si="3"/>
        <v>1</v>
      </c>
      <c r="AB9" s="1568">
        <f t="shared" si="4"/>
        <v>1</v>
      </c>
      <c r="AC9" s="1568">
        <f t="shared" si="5"/>
        <v>1</v>
      </c>
    </row>
    <row r="10" spans="1:29" s="1336" customFormat="1" ht="27">
      <c r="A10" s="2937"/>
      <c r="B10" s="2942" t="s">
        <v>2756</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4206"/>
      <c r="Q10" s="1149" t="str">
        <f t="shared" si="6"/>
        <v>土地使用年限（年）</v>
      </c>
      <c r="R10" s="1565" t="s">
        <v>8</v>
      </c>
      <c r="S10" s="1566">
        <f t="shared" si="0"/>
        <v>100</v>
      </c>
      <c r="T10" s="1565" t="s">
        <v>8</v>
      </c>
      <c r="U10" s="1566">
        <f t="shared" si="1"/>
        <v>100</v>
      </c>
      <c r="V10" s="1565" t="s">
        <v>8</v>
      </c>
      <c r="W10" s="1566">
        <f t="shared" si="2"/>
        <v>100</v>
      </c>
      <c r="X10" s="1567"/>
      <c r="Y10" s="4121"/>
      <c r="Z10" s="1148" t="str">
        <f t="shared" si="7"/>
        <v>土地使用年限（年）</v>
      </c>
      <c r="AA10" s="1568">
        <f t="shared" si="3"/>
        <v>1</v>
      </c>
      <c r="AB10" s="1568">
        <f t="shared" si="4"/>
        <v>1</v>
      </c>
      <c r="AC10" s="1568">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4206"/>
      <c r="Q11" s="1149">
        <f t="shared" si="6"/>
        <v>111</v>
      </c>
      <c r="R11" s="1565" t="s">
        <v>8</v>
      </c>
      <c r="S11" s="1566">
        <f t="shared" si="0"/>
        <v>100</v>
      </c>
      <c r="T11" s="1565" t="s">
        <v>8</v>
      </c>
      <c r="U11" s="1566">
        <f t="shared" si="1"/>
        <v>100</v>
      </c>
      <c r="V11" s="1565" t="s">
        <v>8</v>
      </c>
      <c r="W11" s="1566">
        <f t="shared" si="2"/>
        <v>100</v>
      </c>
      <c r="X11" s="1567"/>
      <c r="Y11" s="4121"/>
      <c r="Z11" s="1148">
        <f t="shared" si="7"/>
        <v>111</v>
      </c>
      <c r="AA11" s="1568">
        <f t="shared" si="3"/>
        <v>1</v>
      </c>
      <c r="AB11" s="1568">
        <f t="shared" si="4"/>
        <v>1</v>
      </c>
      <c r="AC11" s="1568">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4206"/>
      <c r="Q12" s="1149">
        <f t="shared" si="6"/>
        <v>111</v>
      </c>
      <c r="R12" s="1565" t="s">
        <v>8</v>
      </c>
      <c r="S12" s="1566">
        <f t="shared" si="0"/>
        <v>100</v>
      </c>
      <c r="T12" s="1565" t="s">
        <v>8</v>
      </c>
      <c r="U12" s="1566">
        <f t="shared" si="1"/>
        <v>100</v>
      </c>
      <c r="V12" s="1565" t="s">
        <v>8</v>
      </c>
      <c r="W12" s="1566">
        <f t="shared" si="2"/>
        <v>100</v>
      </c>
      <c r="X12" s="1567"/>
      <c r="Y12" s="4121"/>
      <c r="Z12" s="1148">
        <f t="shared" si="7"/>
        <v>111</v>
      </c>
      <c r="AA12" s="1568">
        <f>D12/F12</f>
        <v>1</v>
      </c>
      <c r="AB12" s="1568">
        <f>D12/H12</f>
        <v>1</v>
      </c>
      <c r="AC12" s="1568">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4206"/>
      <c r="Q13" s="1149">
        <f t="shared" si="6"/>
        <v>111</v>
      </c>
      <c r="R13" s="1565" t="s">
        <v>8</v>
      </c>
      <c r="S13" s="1566">
        <f t="shared" si="0"/>
        <v>100</v>
      </c>
      <c r="T13" s="1565" t="s">
        <v>8</v>
      </c>
      <c r="U13" s="1566">
        <f t="shared" si="1"/>
        <v>100</v>
      </c>
      <c r="V13" s="1565" t="s">
        <v>8</v>
      </c>
      <c r="W13" s="1566">
        <f t="shared" si="2"/>
        <v>100</v>
      </c>
      <c r="X13" s="1567"/>
      <c r="Y13" s="4121"/>
      <c r="Z13" s="1148">
        <f t="shared" si="7"/>
        <v>111</v>
      </c>
      <c r="AA13" s="1568">
        <f t="shared" si="3"/>
        <v>1</v>
      </c>
      <c r="AB13" s="1568">
        <f t="shared" si="4"/>
        <v>1</v>
      </c>
      <c r="AC13" s="1568">
        <f t="shared" si="5"/>
        <v>1</v>
      </c>
    </row>
    <row r="14" spans="1:29" ht="57">
      <c r="A14" s="2932" t="s">
        <v>2753</v>
      </c>
      <c r="B14" s="166" t="s">
        <v>543</v>
      </c>
      <c r="C14" s="919" t="str">
        <f>IF(B1="工业",估价对象房地状况!G4,估价对象房地状况!C6)</f>
        <v>周边道路状况、公共交通通达情况、停车便捷程度</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4208" t="s">
        <v>540</v>
      </c>
      <c r="Q14" s="1569" t="str">
        <f t="shared" si="6"/>
        <v>交通便捷度</v>
      </c>
      <c r="R14" s="1570" t="s">
        <v>8</v>
      </c>
      <c r="S14" s="1571">
        <f t="shared" si="0"/>
        <v>100</v>
      </c>
      <c r="T14" s="1570" t="s">
        <v>8</v>
      </c>
      <c r="U14" s="1571">
        <f t="shared" si="1"/>
        <v>100</v>
      </c>
      <c r="V14" s="1570" t="s">
        <v>8</v>
      </c>
      <c r="W14" s="1571">
        <f t="shared" si="2"/>
        <v>100</v>
      </c>
      <c r="X14" s="1564"/>
      <c r="Y14" s="4208"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4209"/>
      <c r="Q15" s="1569"/>
      <c r="R15" s="1570"/>
      <c r="S15" s="1571"/>
      <c r="T15" s="1570"/>
      <c r="U15" s="1571"/>
      <c r="V15" s="1570"/>
      <c r="W15" s="1571"/>
      <c r="X15" s="1564"/>
      <c r="Y15" s="4209"/>
      <c r="Z15" s="1572"/>
      <c r="AA15" s="1573">
        <v>1</v>
      </c>
      <c r="AB15" s="1573">
        <v>1</v>
      </c>
      <c r="AC15" s="1573">
        <v>1</v>
      </c>
    </row>
    <row r="16" spans="1:29" ht="15">
      <c r="A16" s="530"/>
      <c r="B16" s="2625" t="s">
        <v>2546</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4209"/>
      <c r="Q16" s="1569" t="str">
        <f>B16</f>
        <v>公共配套设施</v>
      </c>
      <c r="R16" s="1570" t="s">
        <v>8</v>
      </c>
      <c r="S16" s="1571">
        <f>F16</f>
        <v>100</v>
      </c>
      <c r="T16" s="1570" t="s">
        <v>8</v>
      </c>
      <c r="U16" s="1571">
        <f>H16</f>
        <v>100</v>
      </c>
      <c r="V16" s="1570" t="s">
        <v>8</v>
      </c>
      <c r="W16" s="1571">
        <f>J16</f>
        <v>100</v>
      </c>
      <c r="X16" s="1564"/>
      <c r="Y16" s="4209"/>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4209"/>
      <c r="Q17" s="1569"/>
      <c r="R17" s="1570"/>
      <c r="S17" s="1571"/>
      <c r="T17" s="1570"/>
      <c r="U17" s="1571"/>
      <c r="V17" s="1570"/>
      <c r="W17" s="1571"/>
      <c r="X17" s="1564"/>
      <c r="Y17" s="4209"/>
      <c r="Z17" s="1572"/>
      <c r="AA17" s="1573">
        <v>1</v>
      </c>
      <c r="AB17" s="1573">
        <v>1</v>
      </c>
      <c r="AC17" s="1573">
        <v>1</v>
      </c>
    </row>
    <row r="18" spans="1:29" ht="15">
      <c r="A18" s="530"/>
      <c r="B18" s="2613" t="s">
        <v>2558</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4209"/>
      <c r="Q18" s="2601" t="str">
        <f>B18</f>
        <v>基础设施水平</v>
      </c>
      <c r="R18" s="1570" t="s">
        <v>8</v>
      </c>
      <c r="S18" s="1571">
        <f>F18</f>
        <v>100</v>
      </c>
      <c r="T18" s="1570" t="s">
        <v>8</v>
      </c>
      <c r="U18" s="1571">
        <f>H18</f>
        <v>100</v>
      </c>
      <c r="V18" s="1570" t="s">
        <v>8</v>
      </c>
      <c r="W18" s="1571">
        <f>J18</f>
        <v>100</v>
      </c>
      <c r="X18" s="2603"/>
      <c r="Y18" s="4209"/>
      <c r="Z18" s="2602"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24"/>
      <c r="L19" s="2140"/>
      <c r="M19" s="2132"/>
      <c r="N19" s="2132"/>
      <c r="O19" s="2139"/>
      <c r="P19" s="4209"/>
      <c r="Q19" s="2601"/>
      <c r="R19" s="1570"/>
      <c r="S19" s="1571"/>
      <c r="T19" s="1570"/>
      <c r="U19" s="1571"/>
      <c r="V19" s="1570"/>
      <c r="W19" s="1571"/>
      <c r="X19" s="2603"/>
      <c r="Y19" s="4209"/>
      <c r="Z19" s="2602"/>
      <c r="AA19" s="1573">
        <v>1</v>
      </c>
      <c r="AB19" s="1573">
        <v>1</v>
      </c>
      <c r="AC19" s="1573">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4209"/>
      <c r="Q20" s="1569" t="str">
        <f>B20</f>
        <v>自然及人文环境</v>
      </c>
      <c r="R20" s="1570" t="s">
        <v>8</v>
      </c>
      <c r="S20" s="1571">
        <f>F20</f>
        <v>100</v>
      </c>
      <c r="T20" s="1570" t="s">
        <v>8</v>
      </c>
      <c r="U20" s="1571">
        <f>H20</f>
        <v>100</v>
      </c>
      <c r="V20" s="1570" t="s">
        <v>8</v>
      </c>
      <c r="W20" s="1571">
        <f>J20</f>
        <v>100</v>
      </c>
      <c r="X20" s="1564"/>
      <c r="Y20" s="4209"/>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4209"/>
      <c r="Q21" s="1569"/>
      <c r="R21" s="1570"/>
      <c r="S21" s="1571"/>
      <c r="T21" s="1570"/>
      <c r="U21" s="1571"/>
      <c r="V21" s="1570"/>
      <c r="W21" s="1571"/>
      <c r="X21" s="1564"/>
      <c r="Y21" s="4209"/>
      <c r="Z21" s="1572"/>
      <c r="AA21" s="1573">
        <v>1</v>
      </c>
      <c r="AB21" s="1573">
        <v>1</v>
      </c>
      <c r="AC21" s="1573">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4209"/>
      <c r="Q22" s="1569" t="str">
        <f>B22</f>
        <v>楼层</v>
      </c>
      <c r="R22" s="1570" t="s">
        <v>8</v>
      </c>
      <c r="S22" s="1571">
        <f>F22</f>
        <v>100</v>
      </c>
      <c r="T22" s="1570" t="s">
        <v>8</v>
      </c>
      <c r="U22" s="1571">
        <f>H22</f>
        <v>100</v>
      </c>
      <c r="V22" s="1570" t="s">
        <v>8</v>
      </c>
      <c r="W22" s="1571">
        <f>J22</f>
        <v>100</v>
      </c>
      <c r="X22" s="1564"/>
      <c r="Y22" s="4209"/>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4209"/>
      <c r="Q23" s="1569">
        <f>B23</f>
        <v>111</v>
      </c>
      <c r="R23" s="1570" t="s">
        <v>8</v>
      </c>
      <c r="S23" s="1571">
        <f>F23</f>
        <v>100</v>
      </c>
      <c r="T23" s="1570" t="s">
        <v>8</v>
      </c>
      <c r="U23" s="1571">
        <f>H23</f>
        <v>100</v>
      </c>
      <c r="V23" s="1570" t="s">
        <v>8</v>
      </c>
      <c r="W23" s="1571">
        <f>J23</f>
        <v>100</v>
      </c>
      <c r="X23" s="1564"/>
      <c r="Y23" s="4209"/>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4209"/>
      <c r="Q24" s="1569">
        <f t="shared" ref="Q24:Q34" si="11">B24</f>
        <v>111</v>
      </c>
      <c r="R24" s="1570" t="s">
        <v>8</v>
      </c>
      <c r="S24" s="1571">
        <f>F24</f>
        <v>100</v>
      </c>
      <c r="T24" s="1570" t="s">
        <v>8</v>
      </c>
      <c r="U24" s="1571">
        <f>H24</f>
        <v>100</v>
      </c>
      <c r="V24" s="1570" t="s">
        <v>8</v>
      </c>
      <c r="W24" s="1571">
        <f>J24</f>
        <v>100</v>
      </c>
      <c r="X24" s="1564"/>
      <c r="Y24" s="4209"/>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4209"/>
      <c r="Q25" s="1149">
        <f t="shared" si="11"/>
        <v>111</v>
      </c>
      <c r="R25" s="1565" t="s">
        <v>8</v>
      </c>
      <c r="S25" s="1566">
        <f>F25</f>
        <v>100</v>
      </c>
      <c r="T25" s="1565" t="s">
        <v>8</v>
      </c>
      <c r="U25" s="1566">
        <f>H25</f>
        <v>100</v>
      </c>
      <c r="V25" s="1565" t="s">
        <v>8</v>
      </c>
      <c r="W25" s="1566">
        <f>J25</f>
        <v>100</v>
      </c>
      <c r="X25" s="1567"/>
      <c r="Y25" s="4209"/>
      <c r="Z25" s="1148">
        <f>Q25</f>
        <v>111</v>
      </c>
      <c r="AA25" s="1573">
        <f>D25/F25</f>
        <v>1</v>
      </c>
      <c r="AB25" s="1573">
        <f>D25/H25</f>
        <v>1</v>
      </c>
      <c r="AC25" s="1573">
        <f>D25/J25</f>
        <v>1</v>
      </c>
    </row>
    <row r="26" spans="1:29" ht="15">
      <c r="A26" s="2929"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4210"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4211" t="s">
        <v>820</v>
      </c>
      <c r="Z26" s="1572" t="str">
        <f t="shared" ref="Z26:Z34" si="15">Q26</f>
        <v>公共部分装修</v>
      </c>
      <c r="AA26" s="1573">
        <f t="shared" si="3"/>
        <v>1</v>
      </c>
      <c r="AB26" s="1573">
        <f t="shared" si="4"/>
        <v>1</v>
      </c>
      <c r="AC26" s="1573">
        <f t="shared" si="5"/>
        <v>1</v>
      </c>
    </row>
    <row r="27" spans="1:29" s="1337"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4211"/>
      <c r="Q27" s="1602" t="str">
        <f t="shared" si="11"/>
        <v>成新率</v>
      </c>
      <c r="R27" s="1574" t="s">
        <v>8</v>
      </c>
      <c r="S27" s="1575" t="e">
        <f t="shared" si="12"/>
        <v>#N/A</v>
      </c>
      <c r="T27" s="1574" t="s">
        <v>8</v>
      </c>
      <c r="U27" s="1575" t="e">
        <f t="shared" si="13"/>
        <v>#N/A</v>
      </c>
      <c r="V27" s="1574" t="s">
        <v>8</v>
      </c>
      <c r="W27" s="1575" t="e">
        <f t="shared" si="14"/>
        <v>#N/A</v>
      </c>
      <c r="X27" s="1576"/>
      <c r="Y27" s="4211"/>
      <c r="Z27" s="1577" t="str">
        <f t="shared" si="15"/>
        <v>成新率</v>
      </c>
      <c r="AA27" s="1573" t="e">
        <f t="shared" si="3"/>
        <v>#N/A</v>
      </c>
      <c r="AB27" s="1573" t="e">
        <f t="shared" si="4"/>
        <v>#N/A</v>
      </c>
      <c r="AC27" s="1573"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4211"/>
      <c r="Q28" s="1569" t="str">
        <f t="shared" si="11"/>
        <v>物业等级</v>
      </c>
      <c r="R28" s="1570" t="s">
        <v>8</v>
      </c>
      <c r="S28" s="1571">
        <f t="shared" si="12"/>
        <v>100</v>
      </c>
      <c r="T28" s="1570" t="s">
        <v>8</v>
      </c>
      <c r="U28" s="1571">
        <f t="shared" si="13"/>
        <v>100</v>
      </c>
      <c r="V28" s="1570" t="s">
        <v>8</v>
      </c>
      <c r="W28" s="1571">
        <f t="shared" si="14"/>
        <v>100</v>
      </c>
      <c r="X28" s="1564"/>
      <c r="Y28" s="4211"/>
      <c r="Z28" s="1572" t="str">
        <f t="shared" si="15"/>
        <v>物业等级</v>
      </c>
      <c r="AA28" s="1573">
        <f t="shared" si="3"/>
        <v>1</v>
      </c>
      <c r="AB28" s="1573">
        <f t="shared" si="4"/>
        <v>1</v>
      </c>
      <c r="AC28" s="1573">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4211"/>
      <c r="Q29" s="1569" t="str">
        <f t="shared" si="11"/>
        <v>有无电梯</v>
      </c>
      <c r="R29" s="1570" t="s">
        <v>8</v>
      </c>
      <c r="S29" s="1571">
        <f t="shared" si="12"/>
        <v>100</v>
      </c>
      <c r="T29" s="1570" t="s">
        <v>8</v>
      </c>
      <c r="U29" s="1571">
        <f t="shared" si="13"/>
        <v>100</v>
      </c>
      <c r="V29" s="1570" t="s">
        <v>8</v>
      </c>
      <c r="W29" s="1571">
        <f t="shared" si="14"/>
        <v>100</v>
      </c>
      <c r="X29" s="1564"/>
      <c r="Y29" s="4211"/>
      <c r="Z29" s="1572" t="str">
        <f t="shared" si="15"/>
        <v>有无电梯</v>
      </c>
      <c r="AA29" s="1573">
        <f t="shared" si="3"/>
        <v>1</v>
      </c>
      <c r="AB29" s="1573">
        <f t="shared" si="4"/>
        <v>1</v>
      </c>
      <c r="AC29" s="1573">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4211"/>
      <c r="Q30" s="1569" t="str">
        <f t="shared" si="11"/>
        <v>建筑面积</v>
      </c>
      <c r="R30" s="1570" t="s">
        <v>8</v>
      </c>
      <c r="S30" s="1571" t="e">
        <f t="shared" si="12"/>
        <v>#N/A</v>
      </c>
      <c r="T30" s="1570" t="s">
        <v>8</v>
      </c>
      <c r="U30" s="1571" t="e">
        <f t="shared" si="13"/>
        <v>#N/A</v>
      </c>
      <c r="V30" s="1570" t="s">
        <v>8</v>
      </c>
      <c r="W30" s="1571" t="e">
        <f t="shared" si="14"/>
        <v>#N/A</v>
      </c>
      <c r="X30" s="1564"/>
      <c r="Y30" s="4211"/>
      <c r="Z30" s="1572" t="str">
        <f t="shared" si="15"/>
        <v>建筑面积</v>
      </c>
      <c r="AA30" s="1573" t="e">
        <f t="shared" si="3"/>
        <v>#N/A</v>
      </c>
      <c r="AB30" s="1573" t="e">
        <f t="shared" si="4"/>
        <v>#N/A</v>
      </c>
      <c r="AC30" s="1573" t="e">
        <f t="shared" si="5"/>
        <v>#N/A</v>
      </c>
    </row>
    <row r="31" spans="1:29" s="1218"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4211"/>
      <c r="Q31" s="1149" t="str">
        <f t="shared" si="11"/>
        <v>是否封闭</v>
      </c>
      <c r="R31" s="1565" t="s">
        <v>8</v>
      </c>
      <c r="S31" s="1566">
        <f t="shared" si="12"/>
        <v>100</v>
      </c>
      <c r="T31" s="1565" t="s">
        <v>8</v>
      </c>
      <c r="U31" s="1566">
        <f t="shared" si="13"/>
        <v>100</v>
      </c>
      <c r="V31" s="1565" t="s">
        <v>8</v>
      </c>
      <c r="W31" s="1566">
        <f t="shared" si="14"/>
        <v>100</v>
      </c>
      <c r="X31" s="1567"/>
      <c r="Y31" s="4211"/>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4211" t="s">
        <v>550</v>
      </c>
      <c r="Q32" s="1569">
        <f t="shared" si="11"/>
        <v>111</v>
      </c>
      <c r="R32" s="1570" t="s">
        <v>8</v>
      </c>
      <c r="S32" s="1571">
        <f t="shared" si="12"/>
        <v>100</v>
      </c>
      <c r="T32" s="1570" t="s">
        <v>8</v>
      </c>
      <c r="U32" s="1571">
        <f t="shared" si="13"/>
        <v>100</v>
      </c>
      <c r="V32" s="1570" t="s">
        <v>8</v>
      </c>
      <c r="W32" s="1571">
        <f t="shared" si="14"/>
        <v>100</v>
      </c>
      <c r="X32" s="1564"/>
      <c r="Y32" s="4211"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4211"/>
      <c r="Q33" s="1569">
        <f t="shared" si="11"/>
        <v>111</v>
      </c>
      <c r="R33" s="1570" t="s">
        <v>8</v>
      </c>
      <c r="S33" s="1571">
        <f t="shared" si="12"/>
        <v>100</v>
      </c>
      <c r="T33" s="1570" t="s">
        <v>8</v>
      </c>
      <c r="U33" s="1571">
        <f t="shared" si="13"/>
        <v>100</v>
      </c>
      <c r="V33" s="1570" t="s">
        <v>8</v>
      </c>
      <c r="W33" s="1571">
        <f t="shared" si="14"/>
        <v>100</v>
      </c>
      <c r="X33" s="1564"/>
      <c r="Y33" s="4211"/>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4211"/>
      <c r="Q34" s="1569">
        <f t="shared" si="11"/>
        <v>111</v>
      </c>
      <c r="R34" s="1570" t="s">
        <v>8</v>
      </c>
      <c r="S34" s="1571">
        <f t="shared" si="12"/>
        <v>100</v>
      </c>
      <c r="T34" s="1570" t="s">
        <v>8</v>
      </c>
      <c r="U34" s="1571">
        <f t="shared" si="13"/>
        <v>100</v>
      </c>
      <c r="V34" s="1570" t="s">
        <v>8</v>
      </c>
      <c r="W34" s="1571">
        <f t="shared" si="14"/>
        <v>100</v>
      </c>
      <c r="X34" s="1564"/>
      <c r="Y34" s="4211"/>
      <c r="Z34" s="1572">
        <f t="shared" si="15"/>
        <v>111</v>
      </c>
      <c r="AA34" s="1573">
        <f t="shared" si="3"/>
        <v>1</v>
      </c>
      <c r="AB34" s="1573">
        <f t="shared" si="4"/>
        <v>1</v>
      </c>
      <c r="AC34" s="1573">
        <f t="shared" si="5"/>
        <v>1</v>
      </c>
    </row>
    <row r="35" spans="1:29" ht="15">
      <c r="A35" s="605" t="s">
        <v>735</v>
      </c>
      <c r="B35" s="885"/>
      <c r="C35" s="2649" t="s">
        <v>1</v>
      </c>
      <c r="D35" s="2650"/>
      <c r="E35" s="2651"/>
      <c r="F35" s="2652"/>
      <c r="G35" s="2653"/>
      <c r="H35" s="2654"/>
      <c r="I35" s="2651"/>
      <c r="J35" s="2654"/>
      <c r="K35" s="1608"/>
      <c r="L35" s="2142"/>
      <c r="M35" s="2143"/>
      <c r="N35" s="2132"/>
      <c r="O35" s="2143"/>
      <c r="P35" s="4206" t="str">
        <f>A35</f>
        <v>成交单价（元/平方米）</v>
      </c>
      <c r="Q35" s="4206"/>
      <c r="R35" s="4311">
        <f>E35</f>
        <v>0</v>
      </c>
      <c r="S35" s="4311"/>
      <c r="T35" s="4311">
        <f>G35</f>
        <v>0</v>
      </c>
      <c r="U35" s="4311"/>
      <c r="V35" s="4311">
        <f>I35</f>
        <v>0</v>
      </c>
      <c r="W35" s="4311"/>
      <c r="X35" s="1556"/>
      <c r="Y35" s="1578"/>
      <c r="Z35" s="1556"/>
      <c r="AA35" s="1556"/>
      <c r="AB35" s="1556"/>
      <c r="AC35" s="1556"/>
    </row>
    <row r="36" spans="1:29" ht="15.75" thickBot="1">
      <c r="A36" s="613" t="s">
        <v>2759</v>
      </c>
      <c r="B36" s="886"/>
      <c r="C36" s="2655" t="e">
        <f>R37</f>
        <v>#DIV/0!</v>
      </c>
      <c r="D36" s="2656"/>
      <c r="E36" s="2657" t="e">
        <f>R36</f>
        <v>#DIV/0!</v>
      </c>
      <c r="F36" s="2657"/>
      <c r="G36" s="2655" t="e">
        <f>T36</f>
        <v>#DIV/0!</v>
      </c>
      <c r="H36" s="2656"/>
      <c r="I36" s="2657" t="e">
        <f>V36</f>
        <v>#DIV/0!</v>
      </c>
      <c r="J36" s="2656"/>
      <c r="K36" s="1609"/>
      <c r="L36" s="2142"/>
      <c r="M36" s="2143"/>
      <c r="N36" s="2132"/>
      <c r="O36" s="2143"/>
      <c r="P36" s="4206" t="str">
        <f>A36</f>
        <v>比较价格（元/平方米）</v>
      </c>
      <c r="Q36" s="4206"/>
      <c r="R36" s="4311" t="e">
        <f>IF(F1="售价",ROUND(PRODUCT(R35,AA7:AA34),0),ROUND(PRODUCT(R35,AA7:AA34),1))</f>
        <v>#DIV/0!</v>
      </c>
      <c r="S36" s="4311"/>
      <c r="T36" s="4311" t="e">
        <f>IF(F1="售价",ROUND(PRODUCT(T35,AB7:AB34),0),ROUND(PRODUCT(T35,AB7:AB34),1))</f>
        <v>#DIV/0!</v>
      </c>
      <c r="U36" s="4311"/>
      <c r="V36" s="4311" t="e">
        <f>IF(F1="售价",ROUND(PRODUCT(V35,AC7:AC34),0),ROUND(PRODUCT(V35,AC7:AC34),1))</f>
        <v>#DIV/0!</v>
      </c>
      <c r="W36" s="4311"/>
      <c r="X36" s="1556"/>
      <c r="Y36" s="1556"/>
      <c r="Z36" s="1556"/>
      <c r="AA36" s="1556"/>
      <c r="AB36" s="1556"/>
      <c r="AC36" s="1556"/>
    </row>
    <row r="37" spans="1:29" ht="15.75" thickBot="1">
      <c r="A37" s="619" t="s">
        <v>2923</v>
      </c>
      <c r="B37" s="620"/>
      <c r="C37" s="2658" t="e">
        <f>R37</f>
        <v>#DIV/0!</v>
      </c>
      <c r="D37" s="2658"/>
      <c r="E37" s="2658"/>
      <c r="F37" s="2658"/>
      <c r="G37" s="2658"/>
      <c r="H37" s="2658"/>
      <c r="I37" s="2658"/>
      <c r="J37" s="2658"/>
      <c r="K37" s="1610"/>
      <c r="L37" s="2142"/>
      <c r="M37" s="2143"/>
      <c r="N37" s="2143"/>
      <c r="O37" s="2143"/>
      <c r="P37" s="4227" t="str">
        <f>A37</f>
        <v>估价对象XX用房的比较价格（楼面单价，元/平方米）</v>
      </c>
      <c r="Q37" s="4228"/>
      <c r="R37" s="4310" t="e">
        <f>IF(F1="售价",ROUND(AVERAGE(R36:V36),0),ROUND(AVERAGE(R36:V36),1))</f>
        <v>#DIV/0!</v>
      </c>
      <c r="S37" s="4310"/>
      <c r="T37" s="4310"/>
      <c r="U37" s="4310"/>
      <c r="V37" s="4310"/>
      <c r="W37" s="4310"/>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2557</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2558</v>
      </c>
      <c r="C65" s="2620" t="s">
        <v>2559</v>
      </c>
      <c r="D65" s="2620" t="s">
        <v>2560</v>
      </c>
      <c r="E65" s="2620" t="s">
        <v>2561</v>
      </c>
      <c r="F65" s="2620" t="s">
        <v>2562</v>
      </c>
      <c r="G65" s="2620" t="s">
        <v>2563</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2" t="s">
        <v>2305</v>
      </c>
      <c r="C1" s="4320" t="s">
        <v>2306</v>
      </c>
      <c r="D1" s="4321"/>
      <c r="E1" s="4321"/>
      <c r="F1" s="4321"/>
      <c r="G1" s="4321"/>
      <c r="H1" s="4321"/>
      <c r="I1" s="4321"/>
      <c r="J1" s="4321"/>
      <c r="K1" s="4321"/>
      <c r="L1" s="4321"/>
      <c r="M1" s="4321"/>
      <c r="N1" s="4321"/>
      <c r="O1" s="4321"/>
      <c r="P1" s="4321"/>
      <c r="Q1" s="4321"/>
      <c r="R1" s="4321"/>
      <c r="S1" s="4322"/>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9" t="s">
        <v>2916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1" t="s">
        <v>2915</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1" t="s">
        <v>2914</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0"/>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9" t="s">
        <v>2929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9" t="s">
        <v>2913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9" t="s">
        <v>2912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4317" t="s">
        <v>20</v>
      </c>
      <c r="D22" s="4318"/>
      <c r="E22" s="4318"/>
      <c r="F22" s="4318"/>
      <c r="G22" s="4318"/>
      <c r="H22" s="4318"/>
      <c r="I22" s="4318"/>
      <c r="J22" s="4318"/>
      <c r="K22" s="4318"/>
      <c r="L22" s="4318"/>
      <c r="M22" s="4318"/>
      <c r="N22" s="4318"/>
      <c r="O22" s="4318"/>
      <c r="P22" s="4318"/>
      <c r="Q22" s="4319"/>
      <c r="R22" s="488"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2"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43251</v>
      </c>
      <c r="H1" s="2960">
        <f>IF(C1&gt;C13,0,MATCH(C1,C$13:C$100,-1))+IF(SUMIF(C13:C100,C1,D13:D100)=0,13,12)</f>
        <v>13</v>
      </c>
      <c r="I1" s="2960">
        <f>MATCH(C2,H3:H7,1)+IF(SUMIF(H3:H7,C2,I3:I7)=0,2,1)</f>
        <v>6</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3.5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K32" sqref="K32"/>
    </sheetView>
  </sheetViews>
  <sheetFormatPr defaultRowHeight="14.25"/>
  <cols>
    <col min="1" max="1" width="10.5" style="1335" customWidth="1"/>
    <col min="2" max="2" width="15.7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t="s">
        <v>922</v>
      </c>
      <c r="E1" s="2648"/>
      <c r="F1" s="2829" t="s">
        <v>4363</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44">
        <f>ROUND(B3*D3/10000,0)</f>
        <v>182681</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11964</v>
      </c>
      <c r="C3" s="850" t="s">
        <v>722</v>
      </c>
      <c r="D3" s="849">
        <f>SUMIF('数据-汇总表'!$C19:$C33,D1,'数据-汇总表'!$E19:$E33)</f>
        <v>152691.87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0" t="s">
        <v>521</v>
      </c>
      <c r="B4" s="511"/>
      <c r="C4" s="4212" t="s">
        <v>522</v>
      </c>
      <c r="D4" s="4213"/>
      <c r="E4" s="4237" t="s">
        <v>523</v>
      </c>
      <c r="F4" s="4238"/>
      <c r="G4" s="4212" t="s">
        <v>524</v>
      </c>
      <c r="H4" s="4213"/>
      <c r="I4" s="4212" t="s">
        <v>525</v>
      </c>
      <c r="J4" s="4213"/>
      <c r="K4" s="851" t="s">
        <v>526</v>
      </c>
      <c r="L4" s="2131"/>
      <c r="M4" s="2132"/>
      <c r="N4" s="2132"/>
      <c r="O4" s="2132"/>
      <c r="P4" s="4214" t="s">
        <v>527</v>
      </c>
      <c r="Q4" s="4215"/>
      <c r="R4" s="4200" t="s">
        <v>523</v>
      </c>
      <c r="S4" s="4201"/>
      <c r="T4" s="4200" t="s">
        <v>524</v>
      </c>
      <c r="U4" s="4201"/>
      <c r="V4" s="4220" t="s">
        <v>525</v>
      </c>
      <c r="W4" s="4220"/>
      <c r="X4" s="3183"/>
      <c r="Y4" s="4200" t="s">
        <v>527</v>
      </c>
      <c r="Z4" s="4201"/>
      <c r="AA4" s="4195" t="s">
        <v>523</v>
      </c>
      <c r="AB4" s="4195" t="s">
        <v>524</v>
      </c>
      <c r="AC4" s="4195" t="s">
        <v>525</v>
      </c>
    </row>
    <row r="5" spans="1:29" ht="15">
      <c r="A5" s="513"/>
      <c r="B5" s="514"/>
      <c r="C5" s="4223" t="s">
        <v>2917</v>
      </c>
      <c r="D5" s="4224"/>
      <c r="E5" s="4306" t="s">
        <v>4370</v>
      </c>
      <c r="F5" s="4240"/>
      <c r="G5" s="4307" t="s">
        <v>4364</v>
      </c>
      <c r="H5" s="4224"/>
      <c r="I5" s="4307" t="s">
        <v>4369</v>
      </c>
      <c r="J5" s="4224"/>
      <c r="K5" s="852"/>
      <c r="L5" s="2131"/>
      <c r="M5" s="2132"/>
      <c r="N5" s="2132"/>
      <c r="O5" s="2132"/>
      <c r="P5" s="4216"/>
      <c r="Q5" s="4217"/>
      <c r="R5" s="4202"/>
      <c r="S5" s="4203"/>
      <c r="T5" s="4202"/>
      <c r="U5" s="4203"/>
      <c r="V5" s="4220"/>
      <c r="W5" s="4220"/>
      <c r="X5" s="3183"/>
      <c r="Y5" s="4202"/>
      <c r="Z5" s="4203"/>
      <c r="AA5" s="4196"/>
      <c r="AB5" s="4196"/>
      <c r="AC5" s="4196"/>
    </row>
    <row r="6" spans="1:29" ht="15.75" thickBot="1">
      <c r="A6" s="515"/>
      <c r="B6" s="516"/>
      <c r="C6" s="4221" t="s">
        <v>2921</v>
      </c>
      <c r="D6" s="4222"/>
      <c r="E6" s="4308" t="s">
        <v>4371</v>
      </c>
      <c r="F6" s="4242"/>
      <c r="G6" s="4309" t="s">
        <v>4376</v>
      </c>
      <c r="H6" s="4222"/>
      <c r="I6" s="4309" t="s">
        <v>4368</v>
      </c>
      <c r="J6" s="4222"/>
      <c r="K6" s="852" t="s">
        <v>528</v>
      </c>
      <c r="L6" s="2131"/>
      <c r="M6" s="2132"/>
      <c r="N6" s="2132"/>
      <c r="O6" s="2132"/>
      <c r="P6" s="4218"/>
      <c r="Q6" s="4219"/>
      <c r="R6" s="4202"/>
      <c r="S6" s="4203"/>
      <c r="T6" s="4204"/>
      <c r="U6" s="4205"/>
      <c r="V6" s="4220"/>
      <c r="W6" s="4220"/>
      <c r="X6" s="3183"/>
      <c r="Y6" s="4204"/>
      <c r="Z6" s="4205"/>
      <c r="AA6" s="4197"/>
      <c r="AB6" s="4197"/>
      <c r="AC6" s="4197"/>
    </row>
    <row r="7" spans="1:29" s="1218" customFormat="1" ht="15.75" thickBot="1">
      <c r="A7" s="2934"/>
      <c r="B7" s="2941" t="s">
        <v>529</v>
      </c>
      <c r="C7" s="517">
        <f>'数据-取费表'!B2</f>
        <v>43251</v>
      </c>
      <c r="D7" s="518">
        <v>100</v>
      </c>
      <c r="E7" s="519">
        <v>43221</v>
      </c>
      <c r="F7" s="520">
        <f>SUMIF(58:58,YEAR(E7)&amp;"-"&amp;MONTH(E7),59:59)</f>
        <v>100</v>
      </c>
      <c r="G7" s="521">
        <f>E7</f>
        <v>43221</v>
      </c>
      <c r="H7" s="518">
        <f>SUMIF(58:58,YEAR(G7)&amp;"-"&amp;MONTH(G7),59:59)</f>
        <v>100</v>
      </c>
      <c r="I7" s="521">
        <f>E7</f>
        <v>43221</v>
      </c>
      <c r="J7" s="518">
        <f>SUMIF(58:58,YEAR(I7)&amp;"-"&amp;MONTH(I7),59:59)</f>
        <v>100</v>
      </c>
      <c r="K7" s="853"/>
      <c r="L7" s="2133"/>
      <c r="M7" s="2134"/>
      <c r="N7" s="2134"/>
      <c r="O7" s="2134"/>
      <c r="P7" s="4198" t="s">
        <v>530</v>
      </c>
      <c r="Q7" s="4207"/>
      <c r="R7" s="1565" t="s">
        <v>13</v>
      </c>
      <c r="S7" s="1566">
        <f t="shared" ref="S7:S15" si="0">F7</f>
        <v>100</v>
      </c>
      <c r="T7" s="1565" t="s">
        <v>13</v>
      </c>
      <c r="U7" s="1566">
        <f t="shared" ref="U7:U15" si="1">H7</f>
        <v>100</v>
      </c>
      <c r="V7" s="1565" t="s">
        <v>13</v>
      </c>
      <c r="W7" s="1566">
        <f t="shared" ref="W7:W15" si="2">J7</f>
        <v>100</v>
      </c>
      <c r="X7" s="1567"/>
      <c r="Y7" s="4198" t="s">
        <v>530</v>
      </c>
      <c r="Z7" s="4199"/>
      <c r="AA7" s="1568">
        <f>D7/F7</f>
        <v>1</v>
      </c>
      <c r="AB7" s="1568">
        <f>D7/H7</f>
        <v>1</v>
      </c>
      <c r="AC7" s="1568">
        <f>D7/J7</f>
        <v>1</v>
      </c>
    </row>
    <row r="8" spans="1:29" s="1218" customFormat="1" ht="15.75" thickBot="1">
      <c r="A8" s="2935"/>
      <c r="B8" s="2942" t="s">
        <v>531</v>
      </c>
      <c r="C8" s="523" t="s">
        <v>576</v>
      </c>
      <c r="D8" s="518">
        <v>100</v>
      </c>
      <c r="E8" s="854" t="s">
        <v>4357</v>
      </c>
      <c r="F8" s="520">
        <f>SUMIF(61:61,E8,62:62)-SUMIF(61:61,C8,62:62)+100</f>
        <v>100</v>
      </c>
      <c r="G8" s="523" t="s">
        <v>4357</v>
      </c>
      <c r="H8" s="518">
        <f>SUMIF(61:61,G8,62:62)-SUMIF(61:61,C8,62:62)+100</f>
        <v>100</v>
      </c>
      <c r="I8" s="854" t="s">
        <v>4357</v>
      </c>
      <c r="J8" s="518">
        <f>SUMIF(61:61,I8,62:62)-SUMIF(61:61,C8,62:62)+100</f>
        <v>100</v>
      </c>
      <c r="K8" s="853"/>
      <c r="L8" s="2133"/>
      <c r="M8" s="2134"/>
      <c r="N8" s="2134"/>
      <c r="O8" s="2134"/>
      <c r="P8" s="4198" t="s">
        <v>533</v>
      </c>
      <c r="Q8" s="4199"/>
      <c r="R8" s="1565" t="s">
        <v>13</v>
      </c>
      <c r="S8" s="1566">
        <f t="shared" si="0"/>
        <v>100</v>
      </c>
      <c r="T8" s="1565" t="s">
        <v>13</v>
      </c>
      <c r="U8" s="1566">
        <f t="shared" si="1"/>
        <v>100</v>
      </c>
      <c r="V8" s="1565" t="s">
        <v>13</v>
      </c>
      <c r="W8" s="1566">
        <f t="shared" si="2"/>
        <v>100</v>
      </c>
      <c r="X8" s="1567"/>
      <c r="Y8" s="4198" t="s">
        <v>533</v>
      </c>
      <c r="Z8" s="4199"/>
      <c r="AA8" s="1568">
        <f t="shared" ref="AA8:AA46" si="3">D8/F8</f>
        <v>1</v>
      </c>
      <c r="AB8" s="1568">
        <f t="shared" ref="AB8:AB46" si="4">D8/H8</f>
        <v>1</v>
      </c>
      <c r="AC8" s="1568">
        <f t="shared" ref="AC8:AC46" si="5">D8/J8</f>
        <v>1</v>
      </c>
    </row>
    <row r="9" spans="1:29" s="1218" customFormat="1" ht="15">
      <c r="A9" s="2936"/>
      <c r="B9" s="2943" t="s">
        <v>2755</v>
      </c>
      <c r="C9" s="3409" t="s">
        <v>4358</v>
      </c>
      <c r="D9" s="252">
        <v>100</v>
      </c>
      <c r="E9" s="856" t="s">
        <v>922</v>
      </c>
      <c r="F9" s="857">
        <f>SUMIF(63:63,E9,64:64)-SUMIF(63:63,C9,64:64)+100</f>
        <v>100</v>
      </c>
      <c r="G9" s="858" t="s">
        <v>922</v>
      </c>
      <c r="H9" s="252">
        <f>SUMIF(63:63,G9,64:64)-SUMIF(63:63,C9,64:64)+100</f>
        <v>100</v>
      </c>
      <c r="I9" s="856" t="s">
        <v>922</v>
      </c>
      <c r="J9" s="252">
        <f>SUMIF(63:63,I9,64:64)-SUMIF(63:63,C9,64:64)+100</f>
        <v>100</v>
      </c>
      <c r="K9" s="853"/>
      <c r="L9" s="2133"/>
      <c r="M9" s="2134"/>
      <c r="N9" s="2134"/>
      <c r="O9" s="2135"/>
      <c r="P9" s="4206" t="s">
        <v>535</v>
      </c>
      <c r="Q9" s="3178" t="str">
        <f t="shared" ref="Q9:Q15" si="6">B9</f>
        <v>用途</v>
      </c>
      <c r="R9" s="1565" t="s">
        <v>8</v>
      </c>
      <c r="S9" s="1566">
        <f t="shared" si="0"/>
        <v>100</v>
      </c>
      <c r="T9" s="1565" t="s">
        <v>8</v>
      </c>
      <c r="U9" s="1566">
        <f t="shared" si="1"/>
        <v>100</v>
      </c>
      <c r="V9" s="1565" t="s">
        <v>8</v>
      </c>
      <c r="W9" s="1566">
        <f t="shared" si="2"/>
        <v>100</v>
      </c>
      <c r="X9" s="1567"/>
      <c r="Y9" s="4121" t="s">
        <v>536</v>
      </c>
      <c r="Z9" s="3176" t="str">
        <f t="shared" ref="Z9:Z15" si="7">Q9</f>
        <v>用途</v>
      </c>
      <c r="AA9" s="1568">
        <f t="shared" si="3"/>
        <v>1</v>
      </c>
      <c r="AB9" s="1568">
        <f t="shared" si="4"/>
        <v>1</v>
      </c>
      <c r="AC9" s="1568">
        <f t="shared" si="5"/>
        <v>1</v>
      </c>
    </row>
    <row r="10" spans="1:29" s="1336" customFormat="1" ht="27">
      <c r="A10" s="2937"/>
      <c r="B10" s="2942" t="s">
        <v>2756</v>
      </c>
      <c r="C10" s="859" t="s">
        <v>4359</v>
      </c>
      <c r="D10" s="253">
        <v>100</v>
      </c>
      <c r="E10" s="859" t="s">
        <v>4359</v>
      </c>
      <c r="F10" s="861">
        <f>SUMIF(65:65,E10,66:66)-SUMIF(65:65,C10,66:66)+100</f>
        <v>100</v>
      </c>
      <c r="G10" s="859" t="s">
        <v>4359</v>
      </c>
      <c r="H10" s="253">
        <f>SUMIF(65:65,G10,66:66)-SUMIF(65:65,C10,66:66)+100</f>
        <v>100</v>
      </c>
      <c r="I10" s="859" t="s">
        <v>4359</v>
      </c>
      <c r="J10" s="253">
        <f>SUMIF(65:65,I10,66:66)-SUMIF(65:65,C10,66:66)+100</f>
        <v>100</v>
      </c>
      <c r="K10" s="862">
        <v>1</v>
      </c>
      <c r="L10" s="2136"/>
      <c r="M10" s="2176"/>
      <c r="N10" s="2176"/>
      <c r="O10" s="2137"/>
      <c r="P10" s="4206"/>
      <c r="Q10" s="3178" t="str">
        <f t="shared" si="6"/>
        <v>土地使用年限（年）</v>
      </c>
      <c r="R10" s="1565" t="s">
        <v>8</v>
      </c>
      <c r="S10" s="1566">
        <f t="shared" si="0"/>
        <v>100</v>
      </c>
      <c r="T10" s="1565" t="s">
        <v>8</v>
      </c>
      <c r="U10" s="1566">
        <f t="shared" si="1"/>
        <v>100</v>
      </c>
      <c r="V10" s="1565" t="s">
        <v>8</v>
      </c>
      <c r="W10" s="1566">
        <f t="shared" si="2"/>
        <v>100</v>
      </c>
      <c r="X10" s="1567"/>
      <c r="Y10" s="4121"/>
      <c r="Z10" s="3176" t="str">
        <f t="shared" si="7"/>
        <v>土地使用年限（年）</v>
      </c>
      <c r="AA10" s="1568">
        <f t="shared" si="3"/>
        <v>1</v>
      </c>
      <c r="AB10" s="1568">
        <f t="shared" si="4"/>
        <v>1</v>
      </c>
      <c r="AC10" s="1568">
        <f t="shared" si="5"/>
        <v>1</v>
      </c>
    </row>
    <row r="11" spans="1:29" ht="15.75" thickBot="1">
      <c r="A11" s="2938"/>
      <c r="B11" s="2942" t="s">
        <v>2757</v>
      </c>
      <c r="C11" s="531">
        <f>'数据-汇总表'!I5</f>
        <v>1.0900000000000001</v>
      </c>
      <c r="D11" s="253">
        <v>100</v>
      </c>
      <c r="E11" s="532">
        <v>0.68</v>
      </c>
      <c r="F11" s="861">
        <f>LOOKUP(E11,68:68,69:69)-LOOKUP(C11,68:68,69:69)+100</f>
        <v>102</v>
      </c>
      <c r="G11" s="3412">
        <v>1.66</v>
      </c>
      <c r="H11" s="254">
        <f>LOOKUP(G11,68:68,69:69)-LOOKUP(C11,68:68,69:69)+100</f>
        <v>100</v>
      </c>
      <c r="I11" s="531">
        <v>0.56000000000000005</v>
      </c>
      <c r="J11" s="253">
        <f>LOOKUP(I11,68:68,69:69)-LOOKUP(C11,68:68,69:69)+100</f>
        <v>102</v>
      </c>
      <c r="K11" s="862">
        <v>2</v>
      </c>
      <c r="L11" s="2138"/>
      <c r="M11" s="2132"/>
      <c r="N11" s="2132"/>
      <c r="O11" s="2139"/>
      <c r="P11" s="4206"/>
      <c r="Q11" s="3178" t="str">
        <f t="shared" si="6"/>
        <v>容积率</v>
      </c>
      <c r="R11" s="1565" t="s">
        <v>11</v>
      </c>
      <c r="S11" s="1566">
        <f t="shared" si="0"/>
        <v>102</v>
      </c>
      <c r="T11" s="1565" t="s">
        <v>11</v>
      </c>
      <c r="U11" s="1566">
        <f t="shared" si="1"/>
        <v>100</v>
      </c>
      <c r="V11" s="1565" t="s">
        <v>11</v>
      </c>
      <c r="W11" s="1566">
        <f t="shared" si="2"/>
        <v>102</v>
      </c>
      <c r="X11" s="1567"/>
      <c r="Y11" s="4121"/>
      <c r="Z11" s="3176" t="str">
        <f t="shared" si="7"/>
        <v>容积率</v>
      </c>
      <c r="AA11" s="1568">
        <f t="shared" si="3"/>
        <v>0.98039215686274506</v>
      </c>
      <c r="AB11" s="1568">
        <f t="shared" si="4"/>
        <v>1</v>
      </c>
      <c r="AC11" s="1568">
        <f t="shared" si="5"/>
        <v>0.98039215686274506</v>
      </c>
    </row>
    <row r="12" spans="1:29" s="1218" customFormat="1" ht="15.75" hidden="1" thickBot="1">
      <c r="A12" s="2939"/>
      <c r="B12" s="2945"/>
      <c r="C12" s="526"/>
      <c r="D12" s="536">
        <v>100</v>
      </c>
      <c r="E12" s="526"/>
      <c r="F12" s="861">
        <f>SUMIF(70:70,E12,71:71)-SUMIF(70:70,C12,71:71)+100</f>
        <v>100</v>
      </c>
      <c r="G12" s="526"/>
      <c r="H12" s="873">
        <f>SUMIF(70:70,G12,71:71)-SUMIF(70:70,C12,71:71)+100</f>
        <v>100</v>
      </c>
      <c r="I12" s="526"/>
      <c r="J12" s="253">
        <f>SUMIF(70:70,I12,71:71)-SUMIF(70:70,C12,71:71)+100</f>
        <v>100</v>
      </c>
      <c r="K12" s="863"/>
      <c r="L12" s="2133"/>
      <c r="M12" s="2134"/>
      <c r="N12" s="2134"/>
      <c r="O12" s="2135"/>
      <c r="P12" s="4206"/>
      <c r="Q12" s="3178">
        <f t="shared" si="6"/>
        <v>0</v>
      </c>
      <c r="R12" s="1565" t="s">
        <v>11</v>
      </c>
      <c r="S12" s="1566">
        <f t="shared" si="0"/>
        <v>100</v>
      </c>
      <c r="T12" s="1565" t="s">
        <v>11</v>
      </c>
      <c r="U12" s="1566">
        <f t="shared" si="1"/>
        <v>100</v>
      </c>
      <c r="V12" s="1565" t="s">
        <v>11</v>
      </c>
      <c r="W12" s="1566">
        <f t="shared" si="2"/>
        <v>100</v>
      </c>
      <c r="X12" s="1567"/>
      <c r="Y12" s="4121"/>
      <c r="Z12" s="3176">
        <f t="shared" si="7"/>
        <v>0</v>
      </c>
      <c r="AA12" s="1568">
        <f>D12/F12</f>
        <v>1</v>
      </c>
      <c r="AB12" s="1568">
        <f>D12/H12</f>
        <v>1</v>
      </c>
      <c r="AC12" s="1568">
        <f>D12/J12</f>
        <v>1</v>
      </c>
    </row>
    <row r="13" spans="1:29" ht="15.75" hidden="1" thickBot="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4206"/>
      <c r="Q13" s="3178">
        <f t="shared" si="6"/>
        <v>0</v>
      </c>
      <c r="R13" s="1565" t="s">
        <v>11</v>
      </c>
      <c r="S13" s="1566">
        <f t="shared" si="0"/>
        <v>100</v>
      </c>
      <c r="T13" s="1565" t="s">
        <v>11</v>
      </c>
      <c r="U13" s="1566">
        <f t="shared" si="1"/>
        <v>100</v>
      </c>
      <c r="V13" s="1565" t="s">
        <v>11</v>
      </c>
      <c r="W13" s="1566">
        <f t="shared" si="2"/>
        <v>100</v>
      </c>
      <c r="X13" s="1567"/>
      <c r="Y13" s="4121"/>
      <c r="Z13" s="3176">
        <f t="shared" si="7"/>
        <v>0</v>
      </c>
      <c r="AA13" s="1568">
        <f t="shared" si="3"/>
        <v>1</v>
      </c>
      <c r="AB13" s="1568">
        <f t="shared" si="4"/>
        <v>1</v>
      </c>
      <c r="AC13" s="1568">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4206"/>
      <c r="Q14" s="3178">
        <f t="shared" si="6"/>
        <v>0</v>
      </c>
      <c r="R14" s="1565" t="s">
        <v>11</v>
      </c>
      <c r="S14" s="1566">
        <f t="shared" si="0"/>
        <v>100</v>
      </c>
      <c r="T14" s="1565" t="s">
        <v>11</v>
      </c>
      <c r="U14" s="1566">
        <f t="shared" si="1"/>
        <v>100</v>
      </c>
      <c r="V14" s="1565" t="s">
        <v>11</v>
      </c>
      <c r="W14" s="1566">
        <f t="shared" si="2"/>
        <v>100</v>
      </c>
      <c r="X14" s="1567"/>
      <c r="Y14" s="4121"/>
      <c r="Z14" s="3176">
        <f t="shared" si="7"/>
        <v>0</v>
      </c>
      <c r="AA14" s="1568">
        <f t="shared" si="3"/>
        <v>1</v>
      </c>
      <c r="AB14" s="1568">
        <f t="shared" si="4"/>
        <v>1</v>
      </c>
      <c r="AC14" s="1568">
        <f t="shared" si="5"/>
        <v>1</v>
      </c>
    </row>
    <row r="15" spans="1:29" ht="28.5">
      <c r="A15" s="2932" t="s">
        <v>2753</v>
      </c>
      <c r="B15" s="166" t="s">
        <v>295</v>
      </c>
      <c r="C15" s="865" t="str">
        <f>估价对象房地状况!C3</f>
        <v>周边居住用地比例、居住小区规模和社区发展完善程度</v>
      </c>
      <c r="D15" s="547">
        <v>100</v>
      </c>
      <c r="E15" s="548"/>
      <c r="F15" s="549">
        <f>SUMIF(76:76,E16,77:77)-SUMIF(76:76,C16,77:77)+100</f>
        <v>100</v>
      </c>
      <c r="G15" s="550"/>
      <c r="H15" s="547">
        <f>SUMIF(76:76,G16,77:77)-SUMIF(76:76,C16,77:77)+100</f>
        <v>103</v>
      </c>
      <c r="I15" s="548"/>
      <c r="J15" s="547">
        <f>SUMIF(76:76,I16,77:77)-SUMIF(76:76,C16,77:77)+100</f>
        <v>103</v>
      </c>
      <c r="K15" s="866">
        <v>3</v>
      </c>
      <c r="L15" s="2140"/>
      <c r="M15" s="2132"/>
      <c r="N15" s="2132"/>
      <c r="O15" s="2139"/>
      <c r="P15" s="4208" t="s">
        <v>540</v>
      </c>
      <c r="Q15" s="3184" t="str">
        <f t="shared" si="6"/>
        <v>居住社区成熟度</v>
      </c>
      <c r="R15" s="1570" t="s">
        <v>11</v>
      </c>
      <c r="S15" s="1571">
        <f t="shared" si="0"/>
        <v>100</v>
      </c>
      <c r="T15" s="1570" t="s">
        <v>11</v>
      </c>
      <c r="U15" s="1571">
        <f t="shared" si="1"/>
        <v>103</v>
      </c>
      <c r="V15" s="1570" t="s">
        <v>11</v>
      </c>
      <c r="W15" s="1571">
        <f t="shared" si="2"/>
        <v>103</v>
      </c>
      <c r="X15" s="3183"/>
      <c r="Y15" s="4208" t="s">
        <v>540</v>
      </c>
      <c r="Z15" s="3185" t="str">
        <f t="shared" si="7"/>
        <v>居住社区成熟度</v>
      </c>
      <c r="AA15" s="3186">
        <f t="shared" si="3"/>
        <v>1</v>
      </c>
      <c r="AB15" s="3186">
        <f t="shared" si="4"/>
        <v>0.970873786407767</v>
      </c>
      <c r="AC15" s="3186">
        <f t="shared" si="5"/>
        <v>0.970873786407767</v>
      </c>
    </row>
    <row r="16" spans="1:29" ht="15">
      <c r="A16" s="530"/>
      <c r="B16" s="867"/>
      <c r="C16" s="574" t="s">
        <v>4360</v>
      </c>
      <c r="D16" s="553"/>
      <c r="E16" s="574" t="s">
        <v>4360</v>
      </c>
      <c r="F16" s="555"/>
      <c r="G16" s="574" t="s">
        <v>4361</v>
      </c>
      <c r="H16" s="557"/>
      <c r="I16" s="574" t="s">
        <v>4361</v>
      </c>
      <c r="J16" s="553"/>
      <c r="K16" s="868"/>
      <c r="L16" s="2140"/>
      <c r="M16" s="2132"/>
      <c r="N16" s="2132"/>
      <c r="O16" s="2139"/>
      <c r="P16" s="4209"/>
      <c r="Q16" s="3184"/>
      <c r="R16" s="1570"/>
      <c r="S16" s="1571"/>
      <c r="T16" s="1570"/>
      <c r="U16" s="1571"/>
      <c r="V16" s="1570"/>
      <c r="W16" s="1571"/>
      <c r="X16" s="3183"/>
      <c r="Y16" s="4209"/>
      <c r="Z16" s="3185"/>
      <c r="AA16" s="3186">
        <v>1</v>
      </c>
      <c r="AB16" s="3186">
        <v>1</v>
      </c>
      <c r="AC16" s="3186">
        <v>1</v>
      </c>
    </row>
    <row r="17" spans="1:29" ht="28.5">
      <c r="A17" s="530"/>
      <c r="B17" s="869" t="s">
        <v>296</v>
      </c>
      <c r="C17" s="870" t="str">
        <f>估价对象房地状况!C6</f>
        <v>周边道路状况、公共交通通达情况、停车便捷程度</v>
      </c>
      <c r="D17" s="557">
        <v>100</v>
      </c>
      <c r="E17" s="560"/>
      <c r="F17" s="561">
        <f>SUMIF(78:78,E18,79:79)-SUMIF(78:78,C18,79:79)+100</f>
        <v>100</v>
      </c>
      <c r="G17" s="562"/>
      <c r="H17" s="563">
        <f>SUMIF(78:78,G18,79:79)-SUMIF(78:78,C18,79:79)+100</f>
        <v>100</v>
      </c>
      <c r="I17" s="560"/>
      <c r="J17" s="563">
        <f>SUMIF(78:78,I18,79:79)-SUMIF(78:78,C18,79:79)+100</f>
        <v>100</v>
      </c>
      <c r="K17" s="866">
        <v>3</v>
      </c>
      <c r="L17" s="2140"/>
      <c r="M17" s="2132"/>
      <c r="N17" s="2132"/>
      <c r="O17" s="2139"/>
      <c r="P17" s="4209"/>
      <c r="Q17" s="3184" t="str">
        <f>B17</f>
        <v>交通便捷度</v>
      </c>
      <c r="R17" s="1570" t="s">
        <v>11</v>
      </c>
      <c r="S17" s="1571">
        <f>F17</f>
        <v>100</v>
      </c>
      <c r="T17" s="1570" t="s">
        <v>11</v>
      </c>
      <c r="U17" s="1571">
        <f>H17</f>
        <v>100</v>
      </c>
      <c r="V17" s="1570" t="s">
        <v>11</v>
      </c>
      <c r="W17" s="1571">
        <f>J17</f>
        <v>100</v>
      </c>
      <c r="X17" s="3183"/>
      <c r="Y17" s="4209"/>
      <c r="Z17" s="3185" t="str">
        <f>Q17</f>
        <v>交通便捷度</v>
      </c>
      <c r="AA17" s="3186">
        <f t="shared" si="3"/>
        <v>1</v>
      </c>
      <c r="AB17" s="3186">
        <f t="shared" si="4"/>
        <v>1</v>
      </c>
      <c r="AC17" s="3186">
        <f t="shared" si="5"/>
        <v>1</v>
      </c>
    </row>
    <row r="18" spans="1:29" ht="15">
      <c r="A18" s="530"/>
      <c r="B18" s="593"/>
      <c r="C18" s="871" t="s">
        <v>4361</v>
      </c>
      <c r="D18" s="557"/>
      <c r="E18" s="871" t="s">
        <v>4361</v>
      </c>
      <c r="F18" s="561"/>
      <c r="G18" s="871" t="s">
        <v>4361</v>
      </c>
      <c r="H18" s="553"/>
      <c r="I18" s="871" t="s">
        <v>4361</v>
      </c>
      <c r="J18" s="553"/>
      <c r="K18" s="868"/>
      <c r="L18" s="2140"/>
      <c r="M18" s="2132"/>
      <c r="N18" s="2132"/>
      <c r="O18" s="2139"/>
      <c r="P18" s="4209"/>
      <c r="Q18" s="3184"/>
      <c r="R18" s="1570"/>
      <c r="S18" s="1571"/>
      <c r="T18" s="1570"/>
      <c r="U18" s="1571"/>
      <c r="V18" s="1570"/>
      <c r="W18" s="1571"/>
      <c r="X18" s="3183"/>
      <c r="Y18" s="4209"/>
      <c r="Z18" s="3185"/>
      <c r="AA18" s="3186">
        <v>1</v>
      </c>
      <c r="AB18" s="3186">
        <v>1</v>
      </c>
      <c r="AC18" s="3186">
        <v>1</v>
      </c>
    </row>
    <row r="19" spans="1:29" ht="15">
      <c r="A19" s="530"/>
      <c r="B19" s="2622" t="s">
        <v>2546</v>
      </c>
      <c r="C19" s="870">
        <f>估价对象房地状况!C7</f>
        <v>0</v>
      </c>
      <c r="D19" s="563">
        <v>100</v>
      </c>
      <c r="E19" s="568"/>
      <c r="F19" s="569">
        <f>SUMIF(80:80,E20,81:81)-SUMIF(80:80,C20,81:81)+100</f>
        <v>100</v>
      </c>
      <c r="G19" s="570"/>
      <c r="H19" s="557">
        <f>SUMIF(80:80,G20,81:81)-SUMIF(80:80,C20,81:81)+100</f>
        <v>103</v>
      </c>
      <c r="I19" s="568"/>
      <c r="J19" s="557">
        <f>SUMIF(80:80,I20,81:81)-SUMIF(80:80,C20,81:81)+100</f>
        <v>103</v>
      </c>
      <c r="K19" s="866">
        <v>3</v>
      </c>
      <c r="L19" s="2140"/>
      <c r="M19" s="2132"/>
      <c r="N19" s="2132"/>
      <c r="O19" s="2139"/>
      <c r="P19" s="4209"/>
      <c r="Q19" s="3184" t="str">
        <f>B19</f>
        <v>公共配套设施</v>
      </c>
      <c r="R19" s="1570" t="s">
        <v>11</v>
      </c>
      <c r="S19" s="1571">
        <f>F19</f>
        <v>100</v>
      </c>
      <c r="T19" s="1570" t="s">
        <v>11</v>
      </c>
      <c r="U19" s="1571">
        <f>H19</f>
        <v>103</v>
      </c>
      <c r="V19" s="1570" t="s">
        <v>11</v>
      </c>
      <c r="W19" s="1571">
        <f>J19</f>
        <v>103</v>
      </c>
      <c r="X19" s="3183"/>
      <c r="Y19" s="4209"/>
      <c r="Z19" s="3185" t="str">
        <f>Q19</f>
        <v>公共配套设施</v>
      </c>
      <c r="AA19" s="3186">
        <f t="shared" si="3"/>
        <v>1</v>
      </c>
      <c r="AB19" s="3186">
        <f t="shared" si="4"/>
        <v>0.970873786407767</v>
      </c>
      <c r="AC19" s="3186">
        <f t="shared" si="5"/>
        <v>0.970873786407767</v>
      </c>
    </row>
    <row r="20" spans="1:29" ht="15">
      <c r="A20" s="530"/>
      <c r="B20" s="593"/>
      <c r="C20" s="574" t="s">
        <v>4361</v>
      </c>
      <c r="D20" s="553"/>
      <c r="E20" s="574" t="s">
        <v>4361</v>
      </c>
      <c r="F20" s="555"/>
      <c r="G20" s="574" t="s">
        <v>4362</v>
      </c>
      <c r="H20" s="553"/>
      <c r="I20" s="574" t="s">
        <v>4362</v>
      </c>
      <c r="J20" s="553"/>
      <c r="K20" s="868"/>
      <c r="L20" s="2140"/>
      <c r="M20" s="2132"/>
      <c r="N20" s="2132"/>
      <c r="O20" s="2139"/>
      <c r="P20" s="4209"/>
      <c r="Q20" s="3184"/>
      <c r="R20" s="1570"/>
      <c r="S20" s="1571"/>
      <c r="T20" s="1570"/>
      <c r="U20" s="1571"/>
      <c r="V20" s="1570"/>
      <c r="W20" s="1571"/>
      <c r="X20" s="3183"/>
      <c r="Y20" s="4209"/>
      <c r="Z20" s="3185"/>
      <c r="AA20" s="3186">
        <v>1</v>
      </c>
      <c r="AB20" s="3186">
        <v>1</v>
      </c>
      <c r="AC20" s="3186">
        <v>1</v>
      </c>
    </row>
    <row r="21" spans="1:29" ht="15">
      <c r="A21" s="530"/>
      <c r="B21" s="2615" t="s">
        <v>2558</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40"/>
      <c r="M21" s="2132"/>
      <c r="N21" s="2132"/>
      <c r="O21" s="2139"/>
      <c r="P21" s="4209"/>
      <c r="Q21" s="3184" t="str">
        <f>B21</f>
        <v>基础设施水平</v>
      </c>
      <c r="R21" s="1570" t="s">
        <v>11</v>
      </c>
      <c r="S21" s="1571">
        <f>F21</f>
        <v>100</v>
      </c>
      <c r="T21" s="1570" t="s">
        <v>11</v>
      </c>
      <c r="U21" s="1571">
        <f>H21</f>
        <v>100</v>
      </c>
      <c r="V21" s="1570" t="s">
        <v>11</v>
      </c>
      <c r="W21" s="1571">
        <f>J21</f>
        <v>100</v>
      </c>
      <c r="X21" s="3183"/>
      <c r="Y21" s="4209"/>
      <c r="Z21" s="3185" t="str">
        <f>Q21</f>
        <v>基础设施水平</v>
      </c>
      <c r="AA21" s="3186">
        <f t="shared" ref="AA21" si="8">D21/F21</f>
        <v>1</v>
      </c>
      <c r="AB21" s="3186">
        <f t="shared" ref="AB21" si="9">D21/H21</f>
        <v>1</v>
      </c>
      <c r="AC21" s="3186">
        <f t="shared" ref="AC21" si="10">D21/J21</f>
        <v>1</v>
      </c>
    </row>
    <row r="22" spans="1:29" ht="15">
      <c r="A22" s="530"/>
      <c r="B22" s="920"/>
      <c r="C22" s="871" t="s">
        <v>4350</v>
      </c>
      <c r="D22" s="553"/>
      <c r="E22" s="871" t="s">
        <v>4350</v>
      </c>
      <c r="F22" s="555"/>
      <c r="G22" s="871" t="s">
        <v>4350</v>
      </c>
      <c r="H22" s="553"/>
      <c r="I22" s="871" t="s">
        <v>4350</v>
      </c>
      <c r="J22" s="553"/>
      <c r="K22" s="2621"/>
      <c r="L22" s="2140"/>
      <c r="M22" s="2132"/>
      <c r="N22" s="2132"/>
      <c r="O22" s="2139"/>
      <c r="P22" s="4209"/>
      <c r="Q22" s="3184"/>
      <c r="R22" s="1570"/>
      <c r="S22" s="1571"/>
      <c r="T22" s="1570"/>
      <c r="U22" s="1571"/>
      <c r="V22" s="1570"/>
      <c r="W22" s="1571"/>
      <c r="X22" s="3183"/>
      <c r="Y22" s="4209"/>
      <c r="Z22" s="3185"/>
      <c r="AA22" s="3186">
        <v>1</v>
      </c>
      <c r="AB22" s="3186">
        <v>1</v>
      </c>
      <c r="AC22" s="3186">
        <v>1</v>
      </c>
    </row>
    <row r="23" spans="1:29" ht="15">
      <c r="A23" s="530"/>
      <c r="B23" s="869" t="s">
        <v>297</v>
      </c>
      <c r="C23" s="870">
        <f>估价对象房地状况!C9</f>
        <v>0</v>
      </c>
      <c r="D23" s="557">
        <v>100</v>
      </c>
      <c r="E23" s="560"/>
      <c r="F23" s="561">
        <f>SUMIF(84:84,E24,85:85)-SUMIF(84:84,C24,85:85)+100</f>
        <v>100</v>
      </c>
      <c r="G23" s="562"/>
      <c r="H23" s="557">
        <f>SUMIF(84:84,G24,85:85)-SUMIF(84:84,C24,85:85)+100</f>
        <v>100</v>
      </c>
      <c r="I23" s="560"/>
      <c r="J23" s="557">
        <f>SUMIF(84:84,I24,85:85)-SUMIF(84:84,C24,85:85)+100</f>
        <v>100</v>
      </c>
      <c r="K23" s="866">
        <v>5</v>
      </c>
      <c r="L23" s="2140"/>
      <c r="M23" s="2132"/>
      <c r="N23" s="2132"/>
      <c r="O23" s="2139"/>
      <c r="P23" s="4209"/>
      <c r="Q23" s="3184" t="str">
        <f>B23</f>
        <v>自然及人文环境</v>
      </c>
      <c r="R23" s="1570" t="s">
        <v>11</v>
      </c>
      <c r="S23" s="1571">
        <f>F23</f>
        <v>100</v>
      </c>
      <c r="T23" s="1570" t="s">
        <v>11</v>
      </c>
      <c r="U23" s="1571">
        <f>H23</f>
        <v>100</v>
      </c>
      <c r="V23" s="1570" t="s">
        <v>11</v>
      </c>
      <c r="W23" s="1571">
        <f>J23</f>
        <v>100</v>
      </c>
      <c r="X23" s="3183"/>
      <c r="Y23" s="4209"/>
      <c r="Z23" s="3185" t="str">
        <f>Q23</f>
        <v>自然及人文环境</v>
      </c>
      <c r="AA23" s="3186">
        <f t="shared" si="3"/>
        <v>1</v>
      </c>
      <c r="AB23" s="3186">
        <f t="shared" si="4"/>
        <v>1</v>
      </c>
      <c r="AC23" s="3186">
        <f t="shared" si="5"/>
        <v>1</v>
      </c>
    </row>
    <row r="24" spans="1:29" ht="15.75" thickBot="1">
      <c r="A24" s="530"/>
      <c r="B24" s="593"/>
      <c r="C24" s="574" t="s">
        <v>4362</v>
      </c>
      <c r="D24" s="553"/>
      <c r="E24" s="574" t="s">
        <v>4362</v>
      </c>
      <c r="F24" s="555"/>
      <c r="G24" s="574" t="s">
        <v>4362</v>
      </c>
      <c r="H24" s="553"/>
      <c r="I24" s="574" t="s">
        <v>4362</v>
      </c>
      <c r="J24" s="553"/>
      <c r="K24" s="868"/>
      <c r="L24" s="2140"/>
      <c r="M24" s="2132"/>
      <c r="N24" s="2132"/>
      <c r="O24" s="2139"/>
      <c r="P24" s="4209"/>
      <c r="Q24" s="3184"/>
      <c r="R24" s="1570"/>
      <c r="S24" s="1571"/>
      <c r="T24" s="1570"/>
      <c r="U24" s="1571"/>
      <c r="V24" s="1570"/>
      <c r="W24" s="1571"/>
      <c r="X24" s="3183"/>
      <c r="Y24" s="4209"/>
      <c r="Z24" s="3185"/>
      <c r="AA24" s="3186">
        <v>1</v>
      </c>
      <c r="AB24" s="3186">
        <v>1</v>
      </c>
      <c r="AC24" s="3186">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4209"/>
      <c r="Q25" s="3184" t="str">
        <f t="shared" ref="Q25:Q46" si="11">B25</f>
        <v>楼层-1</v>
      </c>
      <c r="R25" s="1570" t="s">
        <v>11</v>
      </c>
      <c r="S25" s="1571">
        <f>F25</f>
        <v>100</v>
      </c>
      <c r="T25" s="1570" t="s">
        <v>11</v>
      </c>
      <c r="U25" s="1571">
        <f>H25</f>
        <v>100</v>
      </c>
      <c r="V25" s="1570" t="s">
        <v>11</v>
      </c>
      <c r="W25" s="1571">
        <f>J25</f>
        <v>100</v>
      </c>
      <c r="X25" s="3183"/>
      <c r="Y25" s="4209"/>
      <c r="Z25" s="3185" t="str">
        <f>Q25</f>
        <v>楼层-1</v>
      </c>
      <c r="AA25" s="3186">
        <f t="shared" si="3"/>
        <v>1</v>
      </c>
      <c r="AB25" s="3186">
        <f t="shared" si="4"/>
        <v>1</v>
      </c>
      <c r="AC25" s="3186">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4209"/>
      <c r="Q26" s="3184" t="str">
        <f t="shared" si="11"/>
        <v>朝向</v>
      </c>
      <c r="R26" s="1570" t="s">
        <v>11</v>
      </c>
      <c r="S26" s="1571">
        <f>F26</f>
        <v>100</v>
      </c>
      <c r="T26" s="1570" t="s">
        <v>11</v>
      </c>
      <c r="U26" s="1571">
        <f>H26</f>
        <v>100</v>
      </c>
      <c r="V26" s="1570" t="s">
        <v>11</v>
      </c>
      <c r="W26" s="1571">
        <f>J26</f>
        <v>100</v>
      </c>
      <c r="X26" s="3183"/>
      <c r="Y26" s="4209"/>
      <c r="Z26" s="3185" t="str">
        <f>Q26</f>
        <v>朝向</v>
      </c>
      <c r="AA26" s="3186">
        <f t="shared" si="3"/>
        <v>1</v>
      </c>
      <c r="AB26" s="3186">
        <f t="shared" si="4"/>
        <v>1</v>
      </c>
      <c r="AC26" s="3186">
        <f t="shared" si="5"/>
        <v>1</v>
      </c>
    </row>
    <row r="27" spans="1:29" s="1218" customFormat="1" ht="15.75" hidden="1" thickBot="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4209"/>
      <c r="Q27" s="3178">
        <f t="shared" si="11"/>
        <v>0</v>
      </c>
      <c r="R27" s="1565" t="s">
        <v>11</v>
      </c>
      <c r="S27" s="1566">
        <f>F27</f>
        <v>100</v>
      </c>
      <c r="T27" s="1565" t="s">
        <v>11</v>
      </c>
      <c r="U27" s="1566">
        <f>H27</f>
        <v>100</v>
      </c>
      <c r="V27" s="1565" t="s">
        <v>11</v>
      </c>
      <c r="W27" s="1566">
        <f>J27</f>
        <v>100</v>
      </c>
      <c r="X27" s="1567"/>
      <c r="Y27" s="4209"/>
      <c r="Z27" s="3176">
        <f>Q27</f>
        <v>0</v>
      </c>
      <c r="AA27" s="3186">
        <f>D27/F27</f>
        <v>1</v>
      </c>
      <c r="AB27" s="3186">
        <f>D27/H27</f>
        <v>1</v>
      </c>
      <c r="AC27" s="3186">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4209"/>
      <c r="Q28" s="3184">
        <f t="shared" si="11"/>
        <v>0</v>
      </c>
      <c r="R28" s="1570" t="s">
        <v>11</v>
      </c>
      <c r="S28" s="1571">
        <f t="shared" ref="S28:S46" si="12">F28</f>
        <v>100</v>
      </c>
      <c r="T28" s="1570" t="s">
        <v>11</v>
      </c>
      <c r="U28" s="1571">
        <f t="shared" ref="U28:U46" si="13">H28</f>
        <v>100</v>
      </c>
      <c r="V28" s="1570" t="s">
        <v>11</v>
      </c>
      <c r="W28" s="1571">
        <f t="shared" ref="W28:W46" si="14">J28</f>
        <v>100</v>
      </c>
      <c r="X28" s="3183"/>
      <c r="Y28" s="4209"/>
      <c r="Z28" s="3185">
        <f t="shared" ref="Z28:Z46" si="15">Q28</f>
        <v>0</v>
      </c>
      <c r="AA28" s="3186">
        <f t="shared" si="3"/>
        <v>1</v>
      </c>
      <c r="AB28" s="3186">
        <f t="shared" si="4"/>
        <v>1</v>
      </c>
      <c r="AC28" s="3186">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4209"/>
      <c r="Q29" s="3184">
        <f t="shared" si="11"/>
        <v>0</v>
      </c>
      <c r="R29" s="1570" t="s">
        <v>11</v>
      </c>
      <c r="S29" s="1571">
        <f t="shared" si="12"/>
        <v>100</v>
      </c>
      <c r="T29" s="1570" t="s">
        <v>11</v>
      </c>
      <c r="U29" s="1571">
        <f t="shared" si="13"/>
        <v>100</v>
      </c>
      <c r="V29" s="1570" t="s">
        <v>11</v>
      </c>
      <c r="W29" s="1571">
        <f t="shared" si="14"/>
        <v>100</v>
      </c>
      <c r="X29" s="3183"/>
      <c r="Y29" s="4209"/>
      <c r="Z29" s="3185">
        <f t="shared" si="15"/>
        <v>0</v>
      </c>
      <c r="AA29" s="3186">
        <f t="shared" si="3"/>
        <v>1</v>
      </c>
      <c r="AB29" s="3186">
        <f t="shared" si="4"/>
        <v>1</v>
      </c>
      <c r="AC29" s="3186">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4209"/>
      <c r="Q30" s="3184">
        <f t="shared" si="11"/>
        <v>0</v>
      </c>
      <c r="R30" s="1570" t="s">
        <v>11</v>
      </c>
      <c r="S30" s="1571">
        <f t="shared" si="12"/>
        <v>100</v>
      </c>
      <c r="T30" s="1570" t="s">
        <v>11</v>
      </c>
      <c r="U30" s="1571">
        <f t="shared" si="13"/>
        <v>100</v>
      </c>
      <c r="V30" s="1570" t="s">
        <v>11</v>
      </c>
      <c r="W30" s="1571">
        <f t="shared" si="14"/>
        <v>100</v>
      </c>
      <c r="X30" s="3183"/>
      <c r="Y30" s="4209"/>
      <c r="Z30" s="3185">
        <f t="shared" si="15"/>
        <v>0</v>
      </c>
      <c r="AA30" s="3186">
        <f t="shared" si="3"/>
        <v>1</v>
      </c>
      <c r="AB30" s="3186">
        <f t="shared" si="4"/>
        <v>1</v>
      </c>
      <c r="AC30" s="3186">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4209"/>
      <c r="Q31" s="3184">
        <f t="shared" si="11"/>
        <v>0</v>
      </c>
      <c r="R31" s="1570" t="s">
        <v>11</v>
      </c>
      <c r="S31" s="1571">
        <f t="shared" si="12"/>
        <v>100</v>
      </c>
      <c r="T31" s="1570" t="s">
        <v>11</v>
      </c>
      <c r="U31" s="1571">
        <f t="shared" si="13"/>
        <v>100</v>
      </c>
      <c r="V31" s="1570" t="s">
        <v>11</v>
      </c>
      <c r="W31" s="1571">
        <f t="shared" si="14"/>
        <v>100</v>
      </c>
      <c r="X31" s="3183"/>
      <c r="Y31" s="4209"/>
      <c r="Z31" s="3185">
        <f t="shared" si="15"/>
        <v>0</v>
      </c>
      <c r="AA31" s="3186">
        <f t="shared" si="3"/>
        <v>1</v>
      </c>
      <c r="AB31" s="3186">
        <f t="shared" si="4"/>
        <v>1</v>
      </c>
      <c r="AC31" s="3186">
        <f t="shared" si="5"/>
        <v>1</v>
      </c>
    </row>
    <row r="32" spans="1:29" ht="15">
      <c r="A32" s="2929" t="s">
        <v>2754</v>
      </c>
      <c r="B32" s="172" t="s">
        <v>724</v>
      </c>
      <c r="C32" s="876" t="s">
        <v>4559</v>
      </c>
      <c r="D32" s="595">
        <v>100</v>
      </c>
      <c r="E32" s="877" t="s">
        <v>4374</v>
      </c>
      <c r="F32" s="573">
        <f>SUMIF(100:100,E32,101:101)-SUMIF(100:100,C32,101:101)+100</f>
        <v>105</v>
      </c>
      <c r="G32" s="876" t="s">
        <v>4374</v>
      </c>
      <c r="H32" s="595">
        <f>SUMIF(100:100,G32,101:101)-SUMIF(100:100,C32,101:101)+100</f>
        <v>105</v>
      </c>
      <c r="I32" s="877" t="s">
        <v>4374</v>
      </c>
      <c r="J32" s="538">
        <f>SUMIF(100:100,I32,101:101)-SUMIF(100:100,C32,101:101)+100</f>
        <v>105</v>
      </c>
      <c r="K32" s="862">
        <v>5</v>
      </c>
      <c r="L32" s="2140"/>
      <c r="M32" s="2132"/>
      <c r="N32" s="2132"/>
      <c r="O32" s="2139"/>
      <c r="P32" s="4210" t="s">
        <v>550</v>
      </c>
      <c r="Q32" s="3184" t="str">
        <f t="shared" si="11"/>
        <v>建筑类型</v>
      </c>
      <c r="R32" s="1570" t="s">
        <v>11</v>
      </c>
      <c r="S32" s="1571">
        <f t="shared" si="12"/>
        <v>105</v>
      </c>
      <c r="T32" s="1570" t="s">
        <v>11</v>
      </c>
      <c r="U32" s="1571">
        <f t="shared" si="13"/>
        <v>105</v>
      </c>
      <c r="V32" s="1570" t="s">
        <v>11</v>
      </c>
      <c r="W32" s="1571">
        <f t="shared" si="14"/>
        <v>105</v>
      </c>
      <c r="X32" s="3183"/>
      <c r="Y32" s="4211" t="s">
        <v>550</v>
      </c>
      <c r="Z32" s="3185" t="str">
        <f t="shared" si="15"/>
        <v>建筑类型</v>
      </c>
      <c r="AA32" s="3186">
        <f t="shared" si="3"/>
        <v>0.95238095238095233</v>
      </c>
      <c r="AB32" s="3186">
        <f t="shared" si="4"/>
        <v>0.95238095238095233</v>
      </c>
      <c r="AC32" s="3186">
        <f t="shared" si="5"/>
        <v>0.95238095238095233</v>
      </c>
    </row>
    <row r="33" spans="1:29" s="1337" customFormat="1" ht="15">
      <c r="A33" s="601"/>
      <c r="B33" s="525" t="s">
        <v>725</v>
      </c>
      <c r="C33" s="878">
        <f>'数据-汇总表'!E3</f>
        <v>446955.26</v>
      </c>
      <c r="D33" s="253">
        <v>100</v>
      </c>
      <c r="E33" s="532">
        <v>186706</v>
      </c>
      <c r="F33" s="861">
        <f>LOOKUP(E33,103:103,104:104)-LOOKUP(C33,103:103,104:104)+100</f>
        <v>100</v>
      </c>
      <c r="G33" s="531">
        <v>708122.11</v>
      </c>
      <c r="H33" s="253">
        <f>LOOKUP(G33,103:103,104:104)-LOOKUP(C33,103:103,104:104)+100</f>
        <v>101</v>
      </c>
      <c r="I33" s="532">
        <v>238206</v>
      </c>
      <c r="J33" s="253">
        <f>LOOKUP(I33,103:103,104:104)-LOOKUP(C33,103:103,104:104)+100</f>
        <v>100</v>
      </c>
      <c r="K33" s="863"/>
      <c r="L33" s="2138"/>
      <c r="M33" s="2169"/>
      <c r="N33" s="2169"/>
      <c r="O33" s="2141"/>
      <c r="P33" s="4211"/>
      <c r="Q33" s="1602" t="str">
        <f t="shared" si="11"/>
        <v>项目建筑规模</v>
      </c>
      <c r="R33" s="1574" t="s">
        <v>11</v>
      </c>
      <c r="S33" s="1575">
        <f t="shared" si="12"/>
        <v>100</v>
      </c>
      <c r="T33" s="1574" t="s">
        <v>11</v>
      </c>
      <c r="U33" s="1575">
        <f t="shared" si="13"/>
        <v>101</v>
      </c>
      <c r="V33" s="1574" t="s">
        <v>11</v>
      </c>
      <c r="W33" s="1575">
        <f t="shared" si="14"/>
        <v>100</v>
      </c>
      <c r="X33" s="1576"/>
      <c r="Y33" s="4211"/>
      <c r="Z33" s="1577" t="str">
        <f t="shared" si="15"/>
        <v>项目建筑规模</v>
      </c>
      <c r="AA33" s="3186">
        <f t="shared" si="3"/>
        <v>1</v>
      </c>
      <c r="AB33" s="3186">
        <f t="shared" si="4"/>
        <v>0.99009900990099009</v>
      </c>
      <c r="AC33" s="3186">
        <f t="shared" si="5"/>
        <v>1</v>
      </c>
    </row>
    <row r="34" spans="1:29" ht="15">
      <c r="A34" s="592"/>
      <c r="B34" s="525" t="s">
        <v>726</v>
      </c>
      <c r="C34" s="879" t="s">
        <v>3484</v>
      </c>
      <c r="D34" s="538">
        <v>100</v>
      </c>
      <c r="E34" s="880" t="s">
        <v>3484</v>
      </c>
      <c r="F34" s="573">
        <f>SUMIF(105:105,E34,106:106)-SUMIF(105:105,C34,106:106)+100</f>
        <v>100</v>
      </c>
      <c r="G34" s="879" t="s">
        <v>3484</v>
      </c>
      <c r="H34" s="538">
        <f>SUMIF(105:105,G34,106:106)-SUMIF(105:105,C34,106:106)+100</f>
        <v>100</v>
      </c>
      <c r="I34" s="880" t="s">
        <v>3484</v>
      </c>
      <c r="J34" s="538">
        <f>SUMIF(105:105,I34,106:106)-SUMIF(105:105,C34,106:106)+100</f>
        <v>100</v>
      </c>
      <c r="K34" s="862">
        <v>2</v>
      </c>
      <c r="L34" s="2140"/>
      <c r="M34" s="2132"/>
      <c r="N34" s="2132"/>
      <c r="O34" s="2139"/>
      <c r="P34" s="4211"/>
      <c r="Q34" s="3184" t="str">
        <f t="shared" si="11"/>
        <v>建筑结构</v>
      </c>
      <c r="R34" s="1570" t="s">
        <v>11</v>
      </c>
      <c r="S34" s="1571">
        <f t="shared" si="12"/>
        <v>100</v>
      </c>
      <c r="T34" s="1570" t="s">
        <v>11</v>
      </c>
      <c r="U34" s="1571">
        <f t="shared" si="13"/>
        <v>100</v>
      </c>
      <c r="V34" s="1570" t="s">
        <v>11</v>
      </c>
      <c r="W34" s="1571">
        <f t="shared" si="14"/>
        <v>100</v>
      </c>
      <c r="X34" s="3183"/>
      <c r="Y34" s="4211"/>
      <c r="Z34" s="3185" t="str">
        <f t="shared" si="15"/>
        <v>建筑结构</v>
      </c>
      <c r="AA34" s="3186">
        <f t="shared" si="3"/>
        <v>1</v>
      </c>
      <c r="AB34" s="3186">
        <f t="shared" si="4"/>
        <v>1</v>
      </c>
      <c r="AC34" s="3186">
        <f t="shared" si="5"/>
        <v>1</v>
      </c>
    </row>
    <row r="35" spans="1:29" ht="15">
      <c r="A35" s="592"/>
      <c r="B35" s="525" t="s">
        <v>727</v>
      </c>
      <c r="C35" s="597" t="s">
        <v>4344</v>
      </c>
      <c r="D35" s="538">
        <v>100</v>
      </c>
      <c r="E35" s="872" t="s">
        <v>4344</v>
      </c>
      <c r="F35" s="573">
        <f>SUMIF(107:107,E35,108:108)-SUMIF(107:107,C35,108:108)+100</f>
        <v>100</v>
      </c>
      <c r="G35" s="597" t="s">
        <v>4344</v>
      </c>
      <c r="H35" s="538">
        <f>SUMIF(107:107,G35,108:108)-SUMIF(107:107,C35,108:108)+100</f>
        <v>100</v>
      </c>
      <c r="I35" s="872" t="s">
        <v>4344</v>
      </c>
      <c r="J35" s="538">
        <f>SUMIF(107:107,I35,108:108)-SUMIF(107:107,C35,108:108)+100</f>
        <v>100</v>
      </c>
      <c r="K35" s="862">
        <v>2</v>
      </c>
      <c r="L35" s="2140"/>
      <c r="M35" s="2132"/>
      <c r="N35" s="2132"/>
      <c r="O35" s="2139"/>
      <c r="P35" s="4211"/>
      <c r="Q35" s="3184" t="str">
        <f t="shared" si="11"/>
        <v>建筑品质</v>
      </c>
      <c r="R35" s="1570" t="s">
        <v>11</v>
      </c>
      <c r="S35" s="1571">
        <f t="shared" si="12"/>
        <v>100</v>
      </c>
      <c r="T35" s="1570" t="s">
        <v>11</v>
      </c>
      <c r="U35" s="1571">
        <f t="shared" si="13"/>
        <v>100</v>
      </c>
      <c r="V35" s="1570" t="s">
        <v>11</v>
      </c>
      <c r="W35" s="1571">
        <f t="shared" si="14"/>
        <v>100</v>
      </c>
      <c r="X35" s="3183"/>
      <c r="Y35" s="4211"/>
      <c r="Z35" s="3185" t="str">
        <f t="shared" si="15"/>
        <v>建筑品质</v>
      </c>
      <c r="AA35" s="3186">
        <f t="shared" si="3"/>
        <v>1</v>
      </c>
      <c r="AB35" s="3186">
        <f t="shared" si="4"/>
        <v>1</v>
      </c>
      <c r="AC35" s="3186">
        <f t="shared" si="5"/>
        <v>1</v>
      </c>
    </row>
    <row r="36" spans="1:29" ht="15">
      <c r="A36" s="592"/>
      <c r="B36" s="525" t="s">
        <v>728</v>
      </c>
      <c r="C36" s="597" t="s">
        <v>4346</v>
      </c>
      <c r="D36" s="538">
        <v>100</v>
      </c>
      <c r="E36" s="872" t="s">
        <v>4346</v>
      </c>
      <c r="F36" s="573">
        <f>SUMIF(109:109,E36,110:110)-SUMIF(109:109,C36,110:110)+100</f>
        <v>100</v>
      </c>
      <c r="G36" s="597" t="s">
        <v>4346</v>
      </c>
      <c r="H36" s="538">
        <f>SUMIF(109:109,G36,110:110)-SUMIF(109:109,C36,110:110)+100</f>
        <v>100</v>
      </c>
      <c r="I36" s="872" t="s">
        <v>4346</v>
      </c>
      <c r="J36" s="538">
        <f>SUMIF(109:109,I36,110:110)-SUMIF(109:109,C36,110:110)+100</f>
        <v>100</v>
      </c>
      <c r="K36" s="862">
        <v>2</v>
      </c>
      <c r="L36" s="2140"/>
      <c r="M36" s="2132"/>
      <c r="N36" s="2132"/>
      <c r="O36" s="2139"/>
      <c r="P36" s="4211"/>
      <c r="Q36" s="3184" t="str">
        <f t="shared" si="11"/>
        <v>公共部分装修</v>
      </c>
      <c r="R36" s="1570" t="s">
        <v>11</v>
      </c>
      <c r="S36" s="1571">
        <f t="shared" si="12"/>
        <v>100</v>
      </c>
      <c r="T36" s="1570" t="s">
        <v>11</v>
      </c>
      <c r="U36" s="1571">
        <f t="shared" si="13"/>
        <v>100</v>
      </c>
      <c r="V36" s="1570" t="s">
        <v>11</v>
      </c>
      <c r="W36" s="1571">
        <f t="shared" si="14"/>
        <v>100</v>
      </c>
      <c r="X36" s="3183"/>
      <c r="Y36" s="4211"/>
      <c r="Z36" s="3185" t="str">
        <f t="shared" si="15"/>
        <v>公共部分装修</v>
      </c>
      <c r="AA36" s="3186">
        <f t="shared" si="3"/>
        <v>1</v>
      </c>
      <c r="AB36" s="3186">
        <f t="shared" si="4"/>
        <v>1</v>
      </c>
      <c r="AC36" s="3186">
        <f t="shared" si="5"/>
        <v>1</v>
      </c>
    </row>
    <row r="37" spans="1:29" s="1218" customFormat="1" ht="15">
      <c r="A37" s="598"/>
      <c r="B37" s="525" t="s">
        <v>729</v>
      </c>
      <c r="C37" s="883">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2</v>
      </c>
      <c r="L37" s="2133"/>
      <c r="M37" s="2134"/>
      <c r="N37" s="2134"/>
      <c r="O37" s="2135"/>
      <c r="P37" s="4211"/>
      <c r="Q37" s="3178" t="str">
        <f t="shared" si="11"/>
        <v>成新度</v>
      </c>
      <c r="R37" s="1565" t="s">
        <v>11</v>
      </c>
      <c r="S37" s="1566">
        <f t="shared" si="12"/>
        <v>100</v>
      </c>
      <c r="T37" s="1565" t="s">
        <v>11</v>
      </c>
      <c r="U37" s="1566">
        <f t="shared" si="13"/>
        <v>100</v>
      </c>
      <c r="V37" s="1565" t="s">
        <v>11</v>
      </c>
      <c r="W37" s="1566">
        <f t="shared" si="14"/>
        <v>100</v>
      </c>
      <c r="X37" s="1567"/>
      <c r="Y37" s="4211"/>
      <c r="Z37" s="3176" t="str">
        <f t="shared" si="15"/>
        <v>成新度</v>
      </c>
      <c r="AA37" s="1568">
        <f t="shared" si="3"/>
        <v>1</v>
      </c>
      <c r="AB37" s="1568">
        <f t="shared" si="4"/>
        <v>1</v>
      </c>
      <c r="AC37" s="1568">
        <f t="shared" si="5"/>
        <v>1</v>
      </c>
    </row>
    <row r="38" spans="1:29" ht="15">
      <c r="A38" s="592"/>
      <c r="B38" s="525" t="s">
        <v>730</v>
      </c>
      <c r="C38" s="597" t="s">
        <v>4348</v>
      </c>
      <c r="D38" s="538">
        <v>100</v>
      </c>
      <c r="E38" s="872" t="s">
        <v>4348</v>
      </c>
      <c r="F38" s="573">
        <f>SUMIF(114:114,E38,115:115)-SUMIF(114:114,C38,115:115)+100</f>
        <v>100</v>
      </c>
      <c r="G38" s="597" t="s">
        <v>4348</v>
      </c>
      <c r="H38" s="538">
        <f>SUMIF(114:114,G38,115:115)-SUMIF(114:114,C38,115:115)+100</f>
        <v>100</v>
      </c>
      <c r="I38" s="872" t="s">
        <v>4348</v>
      </c>
      <c r="J38" s="538">
        <f>SUMIF(114:114,I38,115:115)-SUMIF(114:114,C38,115:115)+100</f>
        <v>100</v>
      </c>
      <c r="K38" s="862">
        <v>2</v>
      </c>
      <c r="L38" s="2140"/>
      <c r="M38" s="2132"/>
      <c r="N38" s="2132"/>
      <c r="O38" s="2139"/>
      <c r="P38" s="4211" t="s">
        <v>550</v>
      </c>
      <c r="Q38" s="3184" t="str">
        <f t="shared" si="11"/>
        <v>物业管理</v>
      </c>
      <c r="R38" s="1570" t="s">
        <v>11</v>
      </c>
      <c r="S38" s="1571">
        <f t="shared" si="12"/>
        <v>100</v>
      </c>
      <c r="T38" s="1570" t="s">
        <v>11</v>
      </c>
      <c r="U38" s="1571">
        <f t="shared" si="13"/>
        <v>100</v>
      </c>
      <c r="V38" s="1570" t="s">
        <v>11</v>
      </c>
      <c r="W38" s="1571">
        <f t="shared" si="14"/>
        <v>100</v>
      </c>
      <c r="X38" s="3183"/>
      <c r="Y38" s="4211" t="s">
        <v>550</v>
      </c>
      <c r="Z38" s="3185" t="str">
        <f t="shared" si="15"/>
        <v>物业管理</v>
      </c>
      <c r="AA38" s="3186">
        <f t="shared" si="3"/>
        <v>1</v>
      </c>
      <c r="AB38" s="3186">
        <f t="shared" si="4"/>
        <v>1</v>
      </c>
      <c r="AC38" s="3186">
        <f t="shared" si="5"/>
        <v>1</v>
      </c>
    </row>
    <row r="39" spans="1:29" ht="15">
      <c r="A39" s="592"/>
      <c r="B39" s="1893" t="s">
        <v>2564</v>
      </c>
      <c r="C39" s="597" t="s">
        <v>4350</v>
      </c>
      <c r="D39" s="538">
        <v>100</v>
      </c>
      <c r="E39" s="872" t="s">
        <v>4350</v>
      </c>
      <c r="F39" s="573">
        <f>SUMIF(116:116,E39,117:117)-SUMIF(116:116,C39,117:117)+100</f>
        <v>100</v>
      </c>
      <c r="G39" s="597" t="s">
        <v>4350</v>
      </c>
      <c r="H39" s="538">
        <f>SUMIF(116:116,G39,117:117)-SUMIF(116:116,C39,117:117)+100</f>
        <v>100</v>
      </c>
      <c r="I39" s="872" t="s">
        <v>4350</v>
      </c>
      <c r="J39" s="538">
        <f>SUMIF(116:116,I39,117:117)-SUMIF(116:116,C39,117:117)+100</f>
        <v>100</v>
      </c>
      <c r="K39" s="862">
        <v>2</v>
      </c>
      <c r="L39" s="2140"/>
      <c r="M39" s="2132"/>
      <c r="N39" s="2132"/>
      <c r="O39" s="2139"/>
      <c r="P39" s="4211"/>
      <c r="Q39" s="3184" t="str">
        <f t="shared" si="11"/>
        <v>市政基础设施</v>
      </c>
      <c r="R39" s="1570" t="s">
        <v>11</v>
      </c>
      <c r="S39" s="1571">
        <f t="shared" si="12"/>
        <v>100</v>
      </c>
      <c r="T39" s="1570" t="s">
        <v>11</v>
      </c>
      <c r="U39" s="1571">
        <f t="shared" si="13"/>
        <v>100</v>
      </c>
      <c r="V39" s="1570" t="s">
        <v>11</v>
      </c>
      <c r="W39" s="1571">
        <f t="shared" si="14"/>
        <v>100</v>
      </c>
      <c r="X39" s="3183"/>
      <c r="Y39" s="4211"/>
      <c r="Z39" s="3185" t="str">
        <f t="shared" si="15"/>
        <v>市政基础设施</v>
      </c>
      <c r="AA39" s="3186">
        <f t="shared" si="3"/>
        <v>1</v>
      </c>
      <c r="AB39" s="3186">
        <f t="shared" si="4"/>
        <v>1</v>
      </c>
      <c r="AC39" s="3186">
        <f t="shared" si="5"/>
        <v>1</v>
      </c>
    </row>
    <row r="40" spans="1:29" ht="15" hidden="1">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4211"/>
      <c r="Q40" s="3184" t="str">
        <f t="shared" si="11"/>
        <v>房型</v>
      </c>
      <c r="R40" s="1570" t="s">
        <v>11</v>
      </c>
      <c r="S40" s="1571">
        <f t="shared" si="12"/>
        <v>100</v>
      </c>
      <c r="T40" s="1570" t="s">
        <v>11</v>
      </c>
      <c r="U40" s="1571">
        <f t="shared" si="13"/>
        <v>100</v>
      </c>
      <c r="V40" s="1570" t="s">
        <v>11</v>
      </c>
      <c r="W40" s="1571">
        <f t="shared" si="14"/>
        <v>100</v>
      </c>
      <c r="X40" s="3183"/>
      <c r="Y40" s="4211"/>
      <c r="Z40" s="3185" t="str">
        <f t="shared" si="15"/>
        <v>房型</v>
      </c>
      <c r="AA40" s="3186">
        <f t="shared" si="3"/>
        <v>1</v>
      </c>
      <c r="AB40" s="3186">
        <f t="shared" si="4"/>
        <v>1</v>
      </c>
      <c r="AC40" s="3186">
        <f t="shared" si="5"/>
        <v>1</v>
      </c>
    </row>
    <row r="41" spans="1:29" s="1337" customFormat="1" ht="28.5">
      <c r="A41" s="601"/>
      <c r="B41" s="525" t="s">
        <v>732</v>
      </c>
      <c r="C41" s="531"/>
      <c r="D41" s="253">
        <v>100</v>
      </c>
      <c r="E41" s="532" t="s">
        <v>4698</v>
      </c>
      <c r="F41" s="861">
        <f>SUMIF(120:120,E41,121:121)-SUMIF(120:120,C41,121:121)+100</f>
        <v>100</v>
      </c>
      <c r="G41" s="531" t="s">
        <v>4699</v>
      </c>
      <c r="H41" s="253">
        <f>SUMIF(120:120,G41,121:121)-SUMIF(120:120,C41,121:121)+100</f>
        <v>100</v>
      </c>
      <c r="I41" s="532" t="s">
        <v>4700</v>
      </c>
      <c r="J41" s="538">
        <f>SUMIF(120:120,I41,121:121)-SUMIF(120:120,C41,121:121)+100</f>
        <v>100</v>
      </c>
      <c r="K41" s="863"/>
      <c r="L41" s="2138"/>
      <c r="M41" s="2169"/>
      <c r="N41" s="2169"/>
      <c r="O41" s="2141"/>
      <c r="P41" s="4211"/>
      <c r="Q41" s="1602" t="str">
        <f t="shared" si="11"/>
        <v>单套/主力户型建筑面积</v>
      </c>
      <c r="R41" s="1574" t="s">
        <v>11</v>
      </c>
      <c r="S41" s="1575">
        <f t="shared" si="12"/>
        <v>100</v>
      </c>
      <c r="T41" s="1574" t="s">
        <v>11</v>
      </c>
      <c r="U41" s="1575">
        <f t="shared" si="13"/>
        <v>100</v>
      </c>
      <c r="V41" s="1574" t="s">
        <v>11</v>
      </c>
      <c r="W41" s="1575">
        <f t="shared" si="14"/>
        <v>100</v>
      </c>
      <c r="X41" s="1576"/>
      <c r="Y41" s="4211"/>
      <c r="Z41" s="1577" t="str">
        <f t="shared" si="15"/>
        <v>单套/主力户型建筑面积</v>
      </c>
      <c r="AA41" s="3186">
        <f t="shared" si="3"/>
        <v>1</v>
      </c>
      <c r="AB41" s="3186">
        <f t="shared" si="4"/>
        <v>1</v>
      </c>
      <c r="AC41" s="3186">
        <f t="shared" si="5"/>
        <v>1</v>
      </c>
    </row>
    <row r="42" spans="1:29" ht="15">
      <c r="A42" s="592"/>
      <c r="B42" s="525" t="s">
        <v>733</v>
      </c>
      <c r="C42" s="597" t="s">
        <v>4354</v>
      </c>
      <c r="D42" s="538">
        <v>100</v>
      </c>
      <c r="E42" s="872" t="s">
        <v>4354</v>
      </c>
      <c r="F42" s="573">
        <f>SUMIF(122:122,E42,123:123)-SUMIF(122:122,C42,123:123)+100</f>
        <v>100</v>
      </c>
      <c r="G42" s="597" t="s">
        <v>4354</v>
      </c>
      <c r="H42" s="538">
        <f>SUMIF(122:122,G42,123:123)-SUMIF(122:122,C42,123:123)+100</f>
        <v>100</v>
      </c>
      <c r="I42" s="597" t="s">
        <v>4354</v>
      </c>
      <c r="J42" s="538">
        <f>SUMIF(122:122,I42,123:123)-SUMIF(122:122,C42,123:123)+100</f>
        <v>100</v>
      </c>
      <c r="K42" s="862">
        <v>5</v>
      </c>
      <c r="L42" s="2140"/>
      <c r="M42" s="2132"/>
      <c r="N42" s="2132"/>
      <c r="O42" s="2139"/>
      <c r="P42" s="4211"/>
      <c r="Q42" s="3184" t="str">
        <f t="shared" si="11"/>
        <v>内部装修</v>
      </c>
      <c r="R42" s="1570" t="s">
        <v>11</v>
      </c>
      <c r="S42" s="1571">
        <f t="shared" si="12"/>
        <v>100</v>
      </c>
      <c r="T42" s="1570" t="s">
        <v>11</v>
      </c>
      <c r="U42" s="1571">
        <f t="shared" si="13"/>
        <v>100</v>
      </c>
      <c r="V42" s="1570" t="s">
        <v>11</v>
      </c>
      <c r="W42" s="1571">
        <f t="shared" si="14"/>
        <v>100</v>
      </c>
      <c r="X42" s="3183"/>
      <c r="Y42" s="4211"/>
      <c r="Z42" s="3185" t="str">
        <f t="shared" si="15"/>
        <v>内部装修</v>
      </c>
      <c r="AA42" s="3186">
        <f t="shared" si="3"/>
        <v>1</v>
      </c>
      <c r="AB42" s="3186">
        <f t="shared" si="4"/>
        <v>1</v>
      </c>
      <c r="AC42" s="3186">
        <f t="shared" si="5"/>
        <v>1</v>
      </c>
    </row>
    <row r="43" spans="1:29" ht="27.75" thickBot="1">
      <c r="A43" s="592"/>
      <c r="B43" s="525" t="s">
        <v>734</v>
      </c>
      <c r="C43" s="3411" t="s">
        <v>4362</v>
      </c>
      <c r="D43" s="544">
        <v>100</v>
      </c>
      <c r="E43" s="872" t="s">
        <v>4362</v>
      </c>
      <c r="F43" s="573">
        <f>SUMIF(124:124,E43,125:125)-SUMIF(124:124,C43,125:125)+100</f>
        <v>100</v>
      </c>
      <c r="G43" s="3411" t="s">
        <v>4362</v>
      </c>
      <c r="H43" s="544">
        <f>SUMIF(124:124,G43,125:125)-SUMIF(124:124,C43,125:125)+100</f>
        <v>100</v>
      </c>
      <c r="I43" s="597" t="s">
        <v>4362</v>
      </c>
      <c r="J43" s="538">
        <f>SUMIF(124:124,I43,125:125)-SUMIF(124:124,C43,125:125)+100</f>
        <v>100</v>
      </c>
      <c r="K43" s="862">
        <v>2</v>
      </c>
      <c r="L43" s="2140"/>
      <c r="M43" s="2132"/>
      <c r="N43" s="2132"/>
      <c r="O43" s="2139"/>
      <c r="P43" s="4211"/>
      <c r="Q43" s="3184" t="str">
        <f t="shared" si="11"/>
        <v>内部装修维护情况</v>
      </c>
      <c r="R43" s="1570" t="s">
        <v>11</v>
      </c>
      <c r="S43" s="1571">
        <f t="shared" si="12"/>
        <v>100</v>
      </c>
      <c r="T43" s="1570" t="s">
        <v>11</v>
      </c>
      <c r="U43" s="1571">
        <f t="shared" si="13"/>
        <v>100</v>
      </c>
      <c r="V43" s="1570" t="s">
        <v>11</v>
      </c>
      <c r="W43" s="1571">
        <f t="shared" si="14"/>
        <v>100</v>
      </c>
      <c r="X43" s="3183"/>
      <c r="Y43" s="4211"/>
      <c r="Z43" s="3185" t="str">
        <f t="shared" si="15"/>
        <v>内部装修维护情况</v>
      </c>
      <c r="AA43" s="3186">
        <f t="shared" si="3"/>
        <v>1</v>
      </c>
      <c r="AB43" s="3186">
        <f t="shared" si="4"/>
        <v>1</v>
      </c>
      <c r="AC43" s="3186">
        <f t="shared" si="5"/>
        <v>1</v>
      </c>
    </row>
    <row r="44" spans="1:29" s="1218" customFormat="1" ht="15.75" hidden="1" thickBot="1">
      <c r="A44" s="598"/>
      <c r="B44" s="875"/>
      <c r="C44" s="3410"/>
      <c r="D44" s="873">
        <v>100</v>
      </c>
      <c r="E44" s="878"/>
      <c r="F44" s="861">
        <f>SUMIF(126:126,E44,127:127)-SUMIF(126:126,C44,127:127)+100</f>
        <v>100</v>
      </c>
      <c r="G44" s="3410"/>
      <c r="H44" s="873">
        <f>SUMIF(126:126,G44,127:127)-SUMIF(126:126,C44,127:127)+100</f>
        <v>100</v>
      </c>
      <c r="I44" s="878"/>
      <c r="J44" s="253">
        <f>SUMIF(126:126,I44,127:127)-SUMIF(126:126,C44,127:127)+100</f>
        <v>100</v>
      </c>
      <c r="K44" s="863"/>
      <c r="L44" s="2133"/>
      <c r="M44" s="2134"/>
      <c r="N44" s="2134"/>
      <c r="O44" s="2135"/>
      <c r="P44" s="4211"/>
      <c r="Q44" s="3178">
        <f t="shared" si="11"/>
        <v>0</v>
      </c>
      <c r="R44" s="1565" t="s">
        <v>11</v>
      </c>
      <c r="S44" s="1566">
        <f t="shared" si="12"/>
        <v>100</v>
      </c>
      <c r="T44" s="1565" t="s">
        <v>11</v>
      </c>
      <c r="U44" s="1566">
        <f t="shared" si="13"/>
        <v>100</v>
      </c>
      <c r="V44" s="1565" t="s">
        <v>11</v>
      </c>
      <c r="W44" s="1566">
        <f t="shared" si="14"/>
        <v>100</v>
      </c>
      <c r="X44" s="1567"/>
      <c r="Y44" s="4211"/>
      <c r="Z44" s="3176">
        <f t="shared" si="15"/>
        <v>0</v>
      </c>
      <c r="AA44" s="1568">
        <f t="shared" si="3"/>
        <v>1</v>
      </c>
      <c r="AB44" s="1568">
        <f t="shared" si="4"/>
        <v>1</v>
      </c>
      <c r="AC44" s="1568">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4211"/>
      <c r="Q45" s="3184">
        <f t="shared" si="11"/>
        <v>0</v>
      </c>
      <c r="R45" s="1570" t="s">
        <v>11</v>
      </c>
      <c r="S45" s="1571">
        <f t="shared" si="12"/>
        <v>100</v>
      </c>
      <c r="T45" s="1570" t="s">
        <v>11</v>
      </c>
      <c r="U45" s="1571">
        <f t="shared" si="13"/>
        <v>100</v>
      </c>
      <c r="V45" s="1570" t="s">
        <v>11</v>
      </c>
      <c r="W45" s="1571">
        <f t="shared" si="14"/>
        <v>100</v>
      </c>
      <c r="X45" s="3183"/>
      <c r="Y45" s="4211"/>
      <c r="Z45" s="3185">
        <f t="shared" si="15"/>
        <v>0</v>
      </c>
      <c r="AA45" s="3186">
        <f t="shared" si="3"/>
        <v>1</v>
      </c>
      <c r="AB45" s="3186">
        <f t="shared" si="4"/>
        <v>1</v>
      </c>
      <c r="AC45" s="3186">
        <f t="shared" si="5"/>
        <v>1</v>
      </c>
    </row>
    <row r="46" spans="1:29" ht="15.75" hidden="1"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4312"/>
      <c r="Q46" s="3184">
        <f t="shared" si="11"/>
        <v>0</v>
      </c>
      <c r="R46" s="1570" t="s">
        <v>10</v>
      </c>
      <c r="S46" s="1571">
        <f t="shared" si="12"/>
        <v>100</v>
      </c>
      <c r="T46" s="1570" t="s">
        <v>10</v>
      </c>
      <c r="U46" s="1571">
        <f t="shared" si="13"/>
        <v>100</v>
      </c>
      <c r="V46" s="1570" t="s">
        <v>10</v>
      </c>
      <c r="W46" s="1571">
        <f t="shared" si="14"/>
        <v>100</v>
      </c>
      <c r="X46" s="3183"/>
      <c r="Y46" s="4312"/>
      <c r="Z46" s="3185">
        <f t="shared" si="15"/>
        <v>0</v>
      </c>
      <c r="AA46" s="3186">
        <f t="shared" si="3"/>
        <v>1</v>
      </c>
      <c r="AB46" s="3186">
        <f t="shared" si="4"/>
        <v>1</v>
      </c>
      <c r="AC46" s="3186">
        <f t="shared" si="5"/>
        <v>1</v>
      </c>
    </row>
    <row r="47" spans="1:29" ht="15">
      <c r="A47" s="605" t="s">
        <v>735</v>
      </c>
      <c r="B47" s="885"/>
      <c r="C47" s="2649" t="s">
        <v>9</v>
      </c>
      <c r="D47" s="2650"/>
      <c r="E47" s="2651">
        <f>ROUND(115/92*10000*0.99,0)</f>
        <v>12375</v>
      </c>
      <c r="F47" s="2652"/>
      <c r="G47" s="2653">
        <f>14000*0.99</f>
        <v>13860</v>
      </c>
      <c r="H47" s="2654"/>
      <c r="I47" s="2651">
        <f>ROUND(200/145*10000*0.99,0)</f>
        <v>13655</v>
      </c>
      <c r="J47" s="2654"/>
      <c r="K47" s="1603"/>
      <c r="L47" s="2142"/>
      <c r="M47" s="2143"/>
      <c r="N47" s="2132"/>
      <c r="O47" s="2143"/>
      <c r="P47" s="4206" t="str">
        <f>A47</f>
        <v>成交单价（元/平方米）</v>
      </c>
      <c r="Q47" s="4206"/>
      <c r="R47" s="4311">
        <f>E47</f>
        <v>12375</v>
      </c>
      <c r="S47" s="4311"/>
      <c r="T47" s="4311">
        <f>G47</f>
        <v>13860</v>
      </c>
      <c r="U47" s="4311"/>
      <c r="V47" s="4311">
        <f>I47</f>
        <v>13655</v>
      </c>
      <c r="W47" s="4311"/>
      <c r="X47" s="1556"/>
      <c r="Y47" s="1578"/>
      <c r="Z47" s="1556"/>
      <c r="AA47" s="1556"/>
      <c r="AB47" s="1556"/>
      <c r="AC47" s="1556"/>
    </row>
    <row r="48" spans="1:29" ht="15.75" thickBot="1">
      <c r="A48" s="613" t="s">
        <v>2759</v>
      </c>
      <c r="B48" s="886"/>
      <c r="C48" s="2655">
        <f>R49</f>
        <v>11964</v>
      </c>
      <c r="D48" s="2656"/>
      <c r="E48" s="2657">
        <f>R48</f>
        <v>11555</v>
      </c>
      <c r="F48" s="2657"/>
      <c r="G48" s="2655">
        <f>T48</f>
        <v>12319</v>
      </c>
      <c r="H48" s="2656"/>
      <c r="I48" s="2657">
        <f>V48</f>
        <v>12018</v>
      </c>
      <c r="J48" s="2656"/>
      <c r="K48" s="1604"/>
      <c r="L48" s="2142"/>
      <c r="M48" s="2143"/>
      <c r="N48" s="2143"/>
      <c r="O48" s="2143"/>
      <c r="P48" s="4206" t="str">
        <f>A48</f>
        <v>比较价格（元/平方米）</v>
      </c>
      <c r="Q48" s="4206"/>
      <c r="R48" s="4311">
        <f>IF(F1="售价",ROUND(PRODUCT(R47,AA7:AA46),0),ROUND(PRODUCT(R47,AA7:AA46),1))</f>
        <v>11555</v>
      </c>
      <c r="S48" s="4311"/>
      <c r="T48" s="4311">
        <f>IF(F1="售价",ROUND(PRODUCT(T47,AB7:AB46),0),ROUND(PRODUCT(T47,AB7:AB46),1))</f>
        <v>12319</v>
      </c>
      <c r="U48" s="4311"/>
      <c r="V48" s="4311">
        <f>IF(F1="售价",ROUND(PRODUCT(V47,AC7:AC46),0),ROUND(PRODUCT(V47,AC7:AC46),1))</f>
        <v>12018</v>
      </c>
      <c r="W48" s="4311"/>
      <c r="X48" s="1556"/>
      <c r="Y48" s="1556"/>
      <c r="Z48" s="1556"/>
      <c r="AA48" s="1556"/>
      <c r="AB48" s="1556"/>
      <c r="AC48" s="1556"/>
    </row>
    <row r="49" spans="1:29" ht="15.75" thickBot="1">
      <c r="A49" s="619" t="s">
        <v>2923</v>
      </c>
      <c r="B49" s="620"/>
      <c r="C49" s="2658">
        <f>R49</f>
        <v>11964</v>
      </c>
      <c r="D49" s="2658"/>
      <c r="E49" s="2658"/>
      <c r="F49" s="2658"/>
      <c r="G49" s="2658"/>
      <c r="H49" s="2658"/>
      <c r="I49" s="2658"/>
      <c r="J49" s="2658"/>
      <c r="K49" s="1605"/>
      <c r="L49" s="2142"/>
      <c r="M49" s="2143"/>
      <c r="N49" s="2143"/>
      <c r="O49" s="2143"/>
      <c r="P49" s="4227" t="str">
        <f>A49</f>
        <v>估价对象XX用房的比较价格（楼面单价，元/平方米）</v>
      </c>
      <c r="Q49" s="4228"/>
      <c r="R49" s="4310">
        <f>IF(F1="售价",ROUND(AVERAGE(R48:V48),0),ROUND(AVERAGE(R48:V48),1))</f>
        <v>11964</v>
      </c>
      <c r="S49" s="4310"/>
      <c r="T49" s="4310"/>
      <c r="U49" s="4310"/>
      <c r="V49" s="4310"/>
      <c r="W49" s="4310"/>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7.0964950237992319E-2</v>
      </c>
      <c r="F52" s="625" t="str">
        <f>IF(OR(E52&gt;=0.3,E52&lt;=-0.3),"超过30%","")</f>
        <v/>
      </c>
      <c r="G52" s="624">
        <f>IF(G47&lt;G48,G48/G47-1,G47/G48-1)</f>
        <v>0.12509132234759313</v>
      </c>
      <c r="H52" s="625" t="str">
        <f>IF(OR(G52&gt;=0.3,G52&lt;=-0.3),"超过30%","")</f>
        <v/>
      </c>
      <c r="I52" s="624">
        <f>IF(I47&lt;I48,I48/I47-1,I47/I48-1)</f>
        <v>0.13621234814444994</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6.6118563392470797E-2</v>
      </c>
      <c r="F53" s="625" t="str">
        <f>IF(OR(E53&gt;=0.2,E53&lt;=-0.2),"超过20%","")</f>
        <v/>
      </c>
      <c r="G53" s="624">
        <f>IF(G48&lt;I48,I48/G48-1,G48/I48-1)</f>
        <v>2.5045764686303817E-2</v>
      </c>
      <c r="H53" s="625" t="str">
        <f>IF(OR(G53&gt;=0.2,G53&lt;=-0.2),"超过20%","")</f>
        <v/>
      </c>
      <c r="I53" s="624">
        <f>IF(I48&lt;E48,E48/I48-1,I48/E48-1)</f>
        <v>4.0069234097793061E-2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f>IF(E47&lt;G47,G47/E47-1,E47/G47-1)</f>
        <v>0.12000000000000011</v>
      </c>
      <c r="F54" s="625" t="str">
        <f>IF(OR(E54&gt;=0.3,E54&lt;=-0.3),"超过30%","")</f>
        <v/>
      </c>
      <c r="G54" s="624">
        <f>IF(G47&lt;I47,I47/G47-1,G47/I47-1)</f>
        <v>1.5012815818381542E-2</v>
      </c>
      <c r="H54" s="625" t="str">
        <f>IF(OR(G54&gt;=0.3,G54&lt;=-0.3),"超过30%","")</f>
        <v/>
      </c>
      <c r="I54" s="624">
        <f>IF(I47&lt;E47,E47/I47-1,I47/E47-1)</f>
        <v>0.10343434343434343</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8.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29.25" thickTop="1">
      <c r="A67" s="667"/>
      <c r="B67" s="679" t="s">
        <v>538</v>
      </c>
      <c r="C67" s="680" t="str">
        <f>C68&amp;"（含）"&amp;"-"&amp;D68</f>
        <v>0（含）-1</v>
      </c>
      <c r="D67" s="680" t="str">
        <f t="shared" ref="D67:L67" si="18">D68&amp;"（含）"&amp;"-"&amp;E68</f>
        <v>1（含）-2</v>
      </c>
      <c r="E67" s="680" t="str">
        <f t="shared" si="18"/>
        <v>2（含）-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1</v>
      </c>
      <c r="E68" s="539">
        <v>2</v>
      </c>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7" customFormat="1" ht="16.5" hidden="1" thickTop="1" thickBot="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6.5" hidden="1" thickTop="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6.5" hidden="1" thickTop="1" thickBot="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6.5" hidden="1" thickTop="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6.5" hidden="1" thickTop="1" thickBot="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6.5" hidden="1" thickTop="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97</v>
      </c>
      <c r="E77" s="677">
        <f>D77-$K15</f>
        <v>94</v>
      </c>
      <c r="F77" s="677">
        <f>E77-$K15</f>
        <v>91</v>
      </c>
      <c r="G77" s="677">
        <f>F77-$K15</f>
        <v>88</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2558</v>
      </c>
      <c r="C82" s="2620" t="s">
        <v>2559</v>
      </c>
      <c r="D82" s="2620" t="s">
        <v>2560</v>
      </c>
      <c r="E82" s="2620" t="s">
        <v>2561</v>
      </c>
      <c r="F82" s="2620" t="s">
        <v>2562</v>
      </c>
      <c r="G82" s="2620" t="s">
        <v>2563</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98</v>
      </c>
      <c r="E83" s="677">
        <f>D83-$K21</f>
        <v>96</v>
      </c>
      <c r="F83" s="677">
        <f>E83-$K21</f>
        <v>94</v>
      </c>
      <c r="G83" s="677">
        <f>F83-$K21</f>
        <v>92</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95</v>
      </c>
      <c r="E85" s="677">
        <f>D85-$K23</f>
        <v>90</v>
      </c>
      <c r="F85" s="677">
        <f>E85-$K23</f>
        <v>85</v>
      </c>
      <c r="G85" s="677">
        <f>F85-$K23</f>
        <v>80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6.5" hidden="1" thickTop="1" thickBot="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6.5" hidden="1" thickTop="1" thickBot="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6.5" hidden="1" thickTop="1" thickBot="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6.5" hidden="1" thickTop="1"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6.5" hidden="1" thickTop="1" thickBot="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6.5" hidden="1" thickTop="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6.5" hidden="1" thickTop="1" thickBot="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6.5" hidden="1" thickTop="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6.5" hidden="1" thickTop="1" thickBot="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6.5" hidden="1" thickTop="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6.5" hidden="1" thickTop="1" thickBot="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6.5" hidden="1" thickTop="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551</v>
      </c>
      <c r="B100" s="663" t="s">
        <v>746</v>
      </c>
      <c r="C100" s="3406" t="s">
        <v>4372</v>
      </c>
      <c r="D100" s="3406" t="s">
        <v>4373</v>
      </c>
      <c r="E100" s="3406" t="s">
        <v>4375</v>
      </c>
      <c r="F100" s="3406" t="s">
        <v>4560</v>
      </c>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43.5" thickTop="1">
      <c r="A102" s="667"/>
      <c r="B102" s="671" t="s">
        <v>747</v>
      </c>
      <c r="C102" s="706" t="str">
        <f>C103&amp;"(含)"&amp;"-"&amp;D103</f>
        <v>0(含)-500000</v>
      </c>
      <c r="D102" s="706" t="str">
        <f t="shared" ref="D102:L102" si="23">D103&amp;"(含)"&amp;"-"&amp;E103</f>
        <v>500000(含)-1000000</v>
      </c>
      <c r="E102" s="706" t="str">
        <f t="shared" si="23"/>
        <v>1000000(含)-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500000</v>
      </c>
      <c r="E103" s="728">
        <v>1000000</v>
      </c>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69">
        <v>102</v>
      </c>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407" t="s">
        <v>4343</v>
      </c>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408" t="s">
        <v>4345</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407" t="s">
        <v>4347</v>
      </c>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4"/>
      <c r="O110" s="2164"/>
      <c r="P110" s="2163"/>
      <c r="Q110" s="2156"/>
      <c r="R110" s="2143"/>
      <c r="S110" s="2143"/>
      <c r="T110" s="2143"/>
      <c r="U110" s="2143"/>
      <c r="V110" s="2143"/>
      <c r="W110" s="2143"/>
      <c r="X110" s="2143"/>
      <c r="Y110" s="2143"/>
      <c r="Z110" s="2143"/>
      <c r="AA110" s="2143"/>
      <c r="AB110" s="2143"/>
      <c r="AC110" s="2143"/>
    </row>
    <row r="111" spans="1:29" s="1337" customFormat="1" ht="29.2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407" t="s">
        <v>4349</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2556</v>
      </c>
      <c r="C116" s="3407" t="s">
        <v>4351</v>
      </c>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408" t="s">
        <v>4353</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407" t="s">
        <v>4347</v>
      </c>
      <c r="D122" s="3407" t="s">
        <v>4356</v>
      </c>
      <c r="E122" s="3407" t="s">
        <v>4355</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6.5" hidden="1" thickTop="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6.5" hidden="1" thickTop="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6.5" hidden="1" thickTop="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910" t="s">
        <v>2067</v>
      </c>
      <c r="B1" s="3910"/>
      <c r="C1" s="3910"/>
      <c r="D1" s="3910"/>
    </row>
    <row r="2" spans="1:4" ht="47.25" customHeight="1">
      <c r="A2" s="3914" t="str">
        <f>"1.权利限制："&amp;项目基本情况!L24&amp;"未设定租赁等其他他项权利。"</f>
        <v>1.权利限制：根据估价对象、《国有土地使用权》原件，截至估价期日，估价对象已设定抵押。未设定租赁等其他他项权利。</v>
      </c>
      <c r="B2" s="3914"/>
      <c r="C2" s="3914"/>
      <c r="D2" s="3914"/>
    </row>
    <row r="3" spans="1:4" ht="48" customHeight="1">
      <c r="A3" s="391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910"/>
      <c r="C3" s="3910"/>
      <c r="D3" s="3910"/>
    </row>
    <row r="4" spans="1:4" ht="36.75" customHeight="1">
      <c r="A4" s="3910" t="str">
        <f>"3.估价规划限制条件：详见"&amp;项目基本情况!E21&amp;"。"</f>
        <v>3.估价规划限制条件：详见《建设工程规划许可证》[]、《出让合同》[]。</v>
      </c>
      <c r="B4" s="3910"/>
      <c r="C4" s="3910"/>
      <c r="D4" s="3910"/>
    </row>
    <row r="5" spans="1:4">
      <c r="A5" s="3913" t="s">
        <v>2068</v>
      </c>
      <c r="B5" s="3913"/>
      <c r="C5" s="3913"/>
      <c r="D5" s="3913"/>
    </row>
    <row r="6" spans="1:4">
      <c r="A6" s="3910" t="s">
        <v>2046</v>
      </c>
      <c r="B6" s="3910"/>
      <c r="C6" s="3910"/>
      <c r="D6" s="3910"/>
    </row>
    <row r="7" spans="1:4" ht="33" customHeight="1">
      <c r="A7" s="3910" t="s">
        <v>2575</v>
      </c>
      <c r="B7" s="3910"/>
      <c r="C7" s="3910"/>
      <c r="D7" s="3910"/>
    </row>
    <row r="8" spans="1:4" ht="32.25" customHeight="1">
      <c r="A8" s="39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910"/>
      <c r="C8" s="3910"/>
      <c r="D8" s="3910"/>
    </row>
    <row r="9" spans="1:4" ht="33.75" customHeight="1">
      <c r="A9" s="39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910"/>
      <c r="C9" s="3910"/>
      <c r="D9" s="3910"/>
    </row>
    <row r="10" spans="1:4">
      <c r="A10" s="3910" t="str">
        <f>IF(项目基本情况!B8="抵押","4.估价师所知悉的法定优先受偿款情况为：","——")</f>
        <v>4.估价师所知悉的法定优先受偿款情况为：</v>
      </c>
      <c r="B10" s="3910"/>
      <c r="C10" s="3910"/>
      <c r="D10" s="3910"/>
    </row>
    <row r="11" spans="1:4" ht="37.5" customHeight="1">
      <c r="A11" s="3912" t="str">
        <f>IF(项目基本情况!B8="抵押","（1）"&amp;CONCATENATE(项目基本情况!L24,项目基本情况!L25,项目基本情况!L26),"——")</f>
        <v>（1）根据估价对象、《国有土地使用权》原件，截至估价期日，估价对象已设定抵押。上述抵押权设定日期为2016年9月13日，权利人为华夏银行股份有限公司成都天府支行，权利范围为410194.62平方米，权利价值为47000万元。</v>
      </c>
      <c r="B11" s="3912"/>
      <c r="C11" s="3912"/>
      <c r="D11" s="3912"/>
    </row>
    <row r="12" spans="1:4" ht="168" customHeight="1">
      <c r="A12" s="3913" t="s">
        <v>2070</v>
      </c>
      <c r="B12" s="3913"/>
      <c r="C12" s="3913"/>
      <c r="D12" s="3913"/>
    </row>
    <row r="13" spans="1:4">
      <c r="A13" s="3911" t="s">
        <v>2745</v>
      </c>
      <c r="B13" s="3911"/>
      <c r="C13" s="3911"/>
      <c r="D13" s="3911"/>
    </row>
    <row r="14" spans="1:4">
      <c r="A14" s="3912" t="str">
        <f>IF(项目基本情况!B8="抵押","综上，"&amp;结果表!K47,"——")</f>
        <v>综上，本次评估估价师知悉的法定优先受偿款为人民币47000万元整。</v>
      </c>
      <c r="B14" s="3912"/>
      <c r="C14" s="3912"/>
      <c r="D14" s="3912"/>
    </row>
    <row r="15" spans="1:4" ht="58.5" customHeight="1">
      <c r="A15" s="39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10"/>
      <c r="C15" s="3910"/>
      <c r="D15" s="3910"/>
    </row>
    <row r="16" spans="1:4" ht="70.5" customHeight="1">
      <c r="A16" s="39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10"/>
      <c r="C16" s="3910"/>
      <c r="D16" s="3910"/>
    </row>
    <row r="17" spans="1:4">
      <c r="A17" s="3910" t="s">
        <v>2701</v>
      </c>
      <c r="B17" s="3910"/>
      <c r="C17" s="3910"/>
      <c r="D17" s="3910"/>
    </row>
    <row r="18" spans="1:4">
      <c r="A18" s="3910" t="s">
        <v>2693</v>
      </c>
      <c r="B18" s="3910"/>
      <c r="C18" s="3910"/>
      <c r="D18" s="3910"/>
    </row>
    <row r="19" spans="1:4">
      <c r="A19" s="2890" t="s">
        <v>2694</v>
      </c>
      <c r="B19" s="2890" t="s">
        <v>2695</v>
      </c>
      <c r="C19" s="2890" t="s">
        <v>2696</v>
      </c>
      <c r="D19" s="2890" t="s">
        <v>2697</v>
      </c>
    </row>
    <row r="20" spans="1:4">
      <c r="A20" s="2890" t="str">
        <f>项目基本情况!B4</f>
        <v>王鹏</v>
      </c>
      <c r="B20" s="2890">
        <f ca="1">项目基本情况!C4</f>
        <v>2002110030</v>
      </c>
      <c r="C20" s="2892"/>
      <c r="D20" s="1798" t="s">
        <v>2702</v>
      </c>
    </row>
    <row r="21" spans="1:4">
      <c r="A21" s="2890" t="str">
        <f>项目基本情况!D4</f>
        <v>郑燚</v>
      </c>
      <c r="B21" s="2890">
        <f>项目基本情况!E4</f>
        <v>2014110011</v>
      </c>
      <c r="C21" s="2892"/>
      <c r="D21" s="1798" t="s">
        <v>2703</v>
      </c>
    </row>
    <row r="23" spans="1:4">
      <c r="A23" s="3910" t="s">
        <v>2698</v>
      </c>
      <c r="B23" s="3910"/>
      <c r="C23" s="3910"/>
      <c r="D23" s="3910"/>
    </row>
    <row r="24" spans="1:4">
      <c r="A24" s="2890" t="s">
        <v>2694</v>
      </c>
      <c r="B24" s="2890" t="s">
        <v>2699</v>
      </c>
      <c r="C24" s="2890" t="s">
        <v>2696</v>
      </c>
      <c r="D24" s="2890" t="s">
        <v>2697</v>
      </c>
    </row>
    <row r="25" spans="1:4">
      <c r="A25" s="2893" t="s">
        <v>2700</v>
      </c>
      <c r="B25" s="2890" t="s">
        <v>951</v>
      </c>
      <c r="C25" s="2892"/>
      <c r="D25" s="1798" t="s">
        <v>2703</v>
      </c>
    </row>
    <row r="29" spans="1:4">
      <c r="D29" s="2891" t="s">
        <v>2041</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922" t="s">
        <v>53</v>
      </c>
      <c r="B15" s="3923" t="s">
        <v>845</v>
      </c>
      <c r="C15" s="3919"/>
    </row>
    <row r="16" spans="1:7" ht="14.25">
      <c r="A16" s="3922"/>
      <c r="B16" s="3920" t="s">
        <v>54</v>
      </c>
      <c r="C16" s="1170" t="s">
        <v>53</v>
      </c>
    </row>
    <row r="17" spans="1:3" ht="14.25">
      <c r="A17" s="3922"/>
      <c r="B17" s="3920"/>
      <c r="C17" s="1170" t="s">
        <v>55</v>
      </c>
    </row>
    <row r="18" spans="1:3" ht="14.25">
      <c r="A18" s="3922"/>
      <c r="B18" s="3920"/>
      <c r="C18" s="1170" t="s">
        <v>56</v>
      </c>
    </row>
    <row r="19" spans="1:3" ht="14.25">
      <c r="A19" s="3922"/>
      <c r="B19" s="3918" t="s">
        <v>57</v>
      </c>
      <c r="C19" s="3919"/>
    </row>
    <row r="20" spans="1:3" ht="14.25">
      <c r="A20" s="1171" t="s">
        <v>58</v>
      </c>
      <c r="B20" s="1172"/>
      <c r="C20" s="1173"/>
    </row>
    <row r="21" spans="1:3" ht="14.25">
      <c r="A21" s="3921" t="s">
        <v>59</v>
      </c>
      <c r="B21" s="3918" t="s">
        <v>60</v>
      </c>
      <c r="C21" s="3919"/>
    </row>
    <row r="22" spans="1:3" ht="14.25">
      <c r="A22" s="3921"/>
      <c r="B22" s="3918" t="s">
        <v>61</v>
      </c>
      <c r="C22" s="3919"/>
    </row>
    <row r="23" spans="1:3" ht="14.25">
      <c r="A23" s="3921"/>
      <c r="B23" s="3918" t="s">
        <v>62</v>
      </c>
      <c r="C23" s="3919"/>
    </row>
    <row r="24" spans="1:3" ht="14.25">
      <c r="A24" s="3921"/>
      <c r="B24" s="3924" t="s">
        <v>63</v>
      </c>
      <c r="C24" s="1174" t="s">
        <v>836</v>
      </c>
    </row>
    <row r="25" spans="1:3" ht="14.25">
      <c r="A25" s="3921"/>
      <c r="B25" s="3925"/>
      <c r="C25" s="1174" t="s">
        <v>837</v>
      </c>
    </row>
    <row r="26" spans="1:3" ht="14.25">
      <c r="A26" s="3921"/>
      <c r="B26" s="3925"/>
      <c r="C26" s="1174" t="s">
        <v>838</v>
      </c>
    </row>
    <row r="27" spans="1:3" ht="14.25">
      <c r="A27" s="3921"/>
      <c r="B27" s="3925"/>
      <c r="C27" s="1174" t="s">
        <v>839</v>
      </c>
    </row>
    <row r="28" spans="1:3" ht="14.25">
      <c r="A28" s="3921"/>
      <c r="B28" s="3925"/>
      <c r="C28" s="1174" t="s">
        <v>840</v>
      </c>
    </row>
    <row r="29" spans="1:3" ht="14.25">
      <c r="A29" s="3921"/>
      <c r="B29" s="3925"/>
      <c r="C29" s="1174" t="s">
        <v>841</v>
      </c>
    </row>
    <row r="30" spans="1:3" ht="14.25">
      <c r="A30" s="3921"/>
      <c r="B30" s="3925"/>
      <c r="C30" s="1174" t="s">
        <v>842</v>
      </c>
    </row>
    <row r="31" spans="1:3" ht="14.25">
      <c r="A31" s="3921"/>
      <c r="B31" s="3925"/>
      <c r="C31" s="1174" t="s">
        <v>843</v>
      </c>
    </row>
    <row r="32" spans="1:3" ht="14.25">
      <c r="A32" s="3921"/>
      <c r="B32" s="3925"/>
      <c r="C32" s="1174" t="s">
        <v>1646</v>
      </c>
    </row>
    <row r="33" spans="1:3" ht="14.25">
      <c r="A33" s="3921"/>
      <c r="B33" s="3915" t="s">
        <v>1652</v>
      </c>
      <c r="C33" s="1174" t="s">
        <v>1647</v>
      </c>
    </row>
    <row r="34" spans="1:3" ht="14.25">
      <c r="A34" s="3921"/>
      <c r="B34" s="3916"/>
      <c r="C34" s="1179" t="s">
        <v>1648</v>
      </c>
    </row>
    <row r="35" spans="1:3" ht="14.25">
      <c r="A35" s="3921"/>
      <c r="B35" s="3916"/>
      <c r="C35" s="1180" t="s">
        <v>1649</v>
      </c>
    </row>
    <row r="36" spans="1:3" ht="14.25">
      <c r="A36" s="3921"/>
      <c r="B36" s="3916"/>
      <c r="C36" s="1180" t="s">
        <v>1650</v>
      </c>
    </row>
    <row r="37" spans="1:3" ht="14.25">
      <c r="A37" s="3921"/>
      <c r="B37" s="391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98425196850393704" right="0.78740157480314965" top="1.1811023622047245" bottom="0.9055118110236221" header="0.86614173228346458" footer="0.59055118110236227"/>
  <pageSetup paperSize="9" orientation="portrait" r:id="rId1"/>
  <headerFooter>
    <oddHeader>&amp;C&amp;G</oddHead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4">
        <f ca="1">TODAY()</f>
        <v>43264</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2968</v>
      </c>
      <c r="B12" s="2341">
        <v>1120110054</v>
      </c>
      <c r="C12" s="3028">
        <v>43937</v>
      </c>
      <c r="D12" s="2341" t="s">
        <v>2968</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2055</v>
      </c>
      <c r="B24" s="2343" t="s">
        <v>2055</v>
      </c>
      <c r="C24" s="3028"/>
      <c r="D24" s="3030" t="s">
        <v>2055</v>
      </c>
      <c r="E24" s="2343" t="s">
        <v>2055</v>
      </c>
      <c r="F24" s="2344"/>
    </row>
    <row r="25" spans="1:7" ht="20.25" customHeight="1">
      <c r="A25" s="3926" t="s">
        <v>1928</v>
      </c>
      <c r="B25" s="3926"/>
      <c r="C25" s="3926"/>
      <c r="D25" s="3926"/>
      <c r="E25" s="3926"/>
      <c r="F25" s="3926"/>
      <c r="G25" s="3926"/>
    </row>
    <row r="26" spans="1:7" ht="20.25" customHeight="1">
      <c r="A26" s="3927" t="s">
        <v>1929</v>
      </c>
      <c r="B26" s="3927"/>
      <c r="C26" s="3927"/>
      <c r="D26" s="3927" t="s">
        <v>1930</v>
      </c>
      <c r="E26" s="3927"/>
      <c r="F26" s="3927"/>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2933</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54" priority="82">
      <formula>AND($C24-TODAY()&lt;30,TODAY()&lt;$C24)</formula>
    </cfRule>
  </conditionalFormatting>
  <conditionalFormatting sqref="C28">
    <cfRule type="expression" dxfId="253" priority="81">
      <formula>AND($C28-TODAY()&lt;30,TODAY()&lt;$C28)</formula>
    </cfRule>
  </conditionalFormatting>
  <conditionalFormatting sqref="C28 F4">
    <cfRule type="cellIs" dxfId="252" priority="83" stopIfTrue="1" operator="lessThan">
      <formula>$B$2</formula>
    </cfRule>
  </conditionalFormatting>
  <conditionalFormatting sqref="F5">
    <cfRule type="cellIs" dxfId="251" priority="79" stopIfTrue="1" operator="lessThan">
      <formula>$B$2</formula>
    </cfRule>
  </conditionalFormatting>
  <conditionalFormatting sqref="F6 F8 F10">
    <cfRule type="cellIs" dxfId="250" priority="77" stopIfTrue="1" operator="lessThan">
      <formula>$B$2</formula>
    </cfRule>
  </conditionalFormatting>
  <conditionalFormatting sqref="C24:D24">
    <cfRule type="expression" dxfId="249" priority="75">
      <formula>AND($C24-TODAY()&lt;30,TODAY()&lt;$C24)</formula>
    </cfRule>
  </conditionalFormatting>
  <conditionalFormatting sqref="F7 F9 F11 C24:D24">
    <cfRule type="cellIs" dxfId="248" priority="76" stopIfTrue="1" operator="lessThan">
      <formula>$B$2</formula>
    </cfRule>
  </conditionalFormatting>
  <conditionalFormatting sqref="F16">
    <cfRule type="cellIs" dxfId="247" priority="49" stopIfTrue="1" operator="lessThan">
      <formula>$B$2</formula>
    </cfRule>
  </conditionalFormatting>
  <conditionalFormatting sqref="F18">
    <cfRule type="cellIs" dxfId="246" priority="48" stopIfTrue="1" operator="lessThan">
      <formula>$B$2</formula>
    </cfRule>
  </conditionalFormatting>
  <conditionalFormatting sqref="F22">
    <cfRule type="cellIs" dxfId="245" priority="47" stopIfTrue="1" operator="lessThan">
      <formula>$B$2</formula>
    </cfRule>
  </conditionalFormatting>
  <conditionalFormatting sqref="F21">
    <cfRule type="cellIs" dxfId="244" priority="46" stopIfTrue="1" operator="lessThan">
      <formula>$B$2</formula>
    </cfRule>
  </conditionalFormatting>
  <conditionalFormatting sqref="F17">
    <cfRule type="cellIs" dxfId="243" priority="45" stopIfTrue="1" operator="lessThan">
      <formula>$B$2</formula>
    </cfRule>
  </conditionalFormatting>
  <conditionalFormatting sqref="B4:B11 E4:E11 E16:E23 B16:B23 B13:B14 E13:E14">
    <cfRule type="cellIs" dxfId="242" priority="44" stopIfTrue="1" operator="equal">
      <formula>"已过期"</formula>
    </cfRule>
  </conditionalFormatting>
  <conditionalFormatting sqref="F28">
    <cfRule type="cellIs" dxfId="241" priority="41" stopIfTrue="1" operator="lessThan">
      <formula>$B$2</formula>
    </cfRule>
  </conditionalFormatting>
  <conditionalFormatting sqref="F29">
    <cfRule type="cellIs" dxfId="240" priority="39" stopIfTrue="1" operator="lessThan">
      <formula>$B$2</formula>
    </cfRule>
  </conditionalFormatting>
  <conditionalFormatting sqref="F28">
    <cfRule type="expression" dxfId="239" priority="85">
      <formula>AND($E28-TODAY()&lt;30,TODAY()&lt;$E28)</formula>
    </cfRule>
  </conditionalFormatting>
  <conditionalFormatting sqref="F29">
    <cfRule type="expression" dxfId="238" priority="86" stopIfTrue="1">
      <formula>AND($E29-TODAY()&lt;30,TODAY()&lt;$E29)</formula>
    </cfRule>
  </conditionalFormatting>
  <conditionalFormatting sqref="C5">
    <cfRule type="expression" dxfId="237" priority="36">
      <formula>AND($C5-TODAY()&lt;30,TODAY()&lt;$C5)</formula>
    </cfRule>
  </conditionalFormatting>
  <conditionalFormatting sqref="C5">
    <cfRule type="cellIs" dxfId="236" priority="37" stopIfTrue="1" operator="lessThan">
      <formula>$B$2</formula>
    </cfRule>
  </conditionalFormatting>
  <conditionalFormatting sqref="C4:C6">
    <cfRule type="expression" dxfId="235" priority="34">
      <formula>AND($C4-TODAY()&lt;30,TODAY()&lt;$C4)</formula>
    </cfRule>
  </conditionalFormatting>
  <conditionalFormatting sqref="C4:C6">
    <cfRule type="cellIs" dxfId="234" priority="35" stopIfTrue="1" operator="lessThan">
      <formula>$B$2</formula>
    </cfRule>
  </conditionalFormatting>
  <conditionalFormatting sqref="C8:C9">
    <cfRule type="expression" dxfId="233" priority="32">
      <formula>AND($C8-TODAY()&lt;30,TODAY()&lt;$C8)</formula>
    </cfRule>
  </conditionalFormatting>
  <conditionalFormatting sqref="C8:C9">
    <cfRule type="cellIs" dxfId="232" priority="33" stopIfTrue="1" operator="lessThan">
      <formula>$B$2</formula>
    </cfRule>
  </conditionalFormatting>
  <conditionalFormatting sqref="B15 E15">
    <cfRule type="cellIs" dxfId="231" priority="20" stopIfTrue="1" operator="equal">
      <formula>"已过期"</formula>
    </cfRule>
  </conditionalFormatting>
  <conditionalFormatting sqref="F15">
    <cfRule type="cellIs" dxfId="230" priority="17" stopIfTrue="1" operator="lessThan">
      <formula>$B$2</formula>
    </cfRule>
  </conditionalFormatting>
  <conditionalFormatting sqref="C7">
    <cfRule type="expression" dxfId="229" priority="15">
      <formula>AND($C7-TODAY()&lt;30,TODAY()&lt;$C7)</formula>
    </cfRule>
  </conditionalFormatting>
  <conditionalFormatting sqref="C7">
    <cfRule type="cellIs" dxfId="228" priority="16" stopIfTrue="1" operator="lessThan">
      <formula>$B$2</formula>
    </cfRule>
  </conditionalFormatting>
  <conditionalFormatting sqref="C10:C11 C13:C23">
    <cfRule type="expression" dxfId="227" priority="13">
      <formula>AND($C10-TODAY()&lt;30,TODAY()&lt;$C10)</formula>
    </cfRule>
  </conditionalFormatting>
  <conditionalFormatting sqref="C10:C11 C13:C23">
    <cfRule type="cellIs" dxfId="226" priority="14" stopIfTrue="1" operator="lessThan">
      <formula>$B$2</formula>
    </cfRule>
  </conditionalFormatting>
  <conditionalFormatting sqref="F13">
    <cfRule type="cellIs" dxfId="225" priority="12" stopIfTrue="1" operator="lessThan">
      <formula>$B$2</formula>
    </cfRule>
  </conditionalFormatting>
  <conditionalFormatting sqref="F12">
    <cfRule type="cellIs" dxfId="224" priority="4" stopIfTrue="1" operator="lessThan">
      <formula>$B$2</formula>
    </cfRule>
  </conditionalFormatting>
  <conditionalFormatting sqref="B12 E12">
    <cfRule type="cellIs" dxfId="223" priority="3" stopIfTrue="1" operator="equal">
      <formula>"已过期"</formula>
    </cfRule>
  </conditionalFormatting>
  <conditionalFormatting sqref="C12">
    <cfRule type="expression" dxfId="222" priority="1">
      <formula>AND($C12-TODAY()&lt;30,TODAY()&lt;$C12)</formula>
    </cfRule>
  </conditionalFormatting>
  <conditionalFormatting sqref="C12">
    <cfRule type="cellIs" dxfId="22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8" sqref="W28"/>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2545</v>
      </c>
      <c r="R1" s="2604"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6" t="s">
        <v>2945</v>
      </c>
      <c r="C18" s="1551"/>
    </row>
    <row r="19" spans="1:3">
      <c r="A19" s="8" t="s">
        <v>120</v>
      </c>
      <c r="B19" s="3136" t="s">
        <v>2953</v>
      </c>
      <c r="C19" s="1551"/>
    </row>
    <row r="20" spans="1:3">
      <c r="A20" s="8" t="s">
        <v>121</v>
      </c>
      <c r="B20" s="8" t="s">
        <v>1641</v>
      </c>
      <c r="C20" s="1551"/>
    </row>
    <row r="21" spans="1:3">
      <c r="A21" s="8" t="s">
        <v>122</v>
      </c>
      <c r="B21" s="3136" t="s">
        <v>4377</v>
      </c>
      <c r="C21" s="1551"/>
    </row>
    <row r="22" spans="1:3">
      <c r="A22" s="8" t="s">
        <v>123</v>
      </c>
      <c r="B22" s="3136" t="s">
        <v>4378</v>
      </c>
      <c r="C22" s="1551"/>
    </row>
    <row r="23" spans="1:3">
      <c r="A23" s="8" t="s">
        <v>124</v>
      </c>
      <c r="B23" s="3136" t="s">
        <v>4379</v>
      </c>
      <c r="C23" s="1551"/>
    </row>
    <row r="24" spans="1:3">
      <c r="A24" s="8" t="s">
        <v>12</v>
      </c>
      <c r="B24" s="3136" t="s">
        <v>4414</v>
      </c>
      <c r="C24" s="1551"/>
    </row>
    <row r="25" spans="1:3">
      <c r="A25" s="8" t="s">
        <v>125</v>
      </c>
      <c r="B25" s="8" t="s">
        <v>1641</v>
      </c>
      <c r="C25" s="1551"/>
    </row>
    <row r="26" spans="1:3">
      <c r="A26" s="8" t="s">
        <v>126</v>
      </c>
      <c r="B26" s="3136" t="s">
        <v>4684</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成都民生喜神投资有限公司拟使用四川省成都市都江堰市中兴镇新益村一、五、七、八组510181016002GB00012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928"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六通”、宗地内场地平整，设定用途为住宅、商业用地，剩余土地使用年限为的出让国有建设用地使用权价格。</v>
      </c>
      <c r="D53" s="1765"/>
      <c r="E53" s="1765"/>
    </row>
    <row r="54" spans="1:5">
      <c r="A54" s="3928"/>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928"/>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928"/>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928"/>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162</vt:i4>
      </vt:variant>
    </vt:vector>
  </HeadingPairs>
  <TitlesOfParts>
    <vt:vector size="21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报规文件</vt:lpstr>
      <vt:lpstr>6-分层分栋面积统计表（一期）</vt:lpstr>
      <vt:lpstr>8-综合经济技术指标表（一期）</vt:lpstr>
      <vt:lpstr>6-分层分栋面积统计表（二期）</vt:lpstr>
      <vt:lpstr>8-综合经济技术指标表（二期）</vt:lpstr>
      <vt:lpstr>用地规证及出让合同</vt:lpstr>
      <vt:lpstr>数据-汇总表</vt:lpstr>
      <vt:lpstr>数据-取费表</vt:lpstr>
      <vt:lpstr>总投测算</vt:lpstr>
      <vt:lpstr>估价对象房地状况</vt:lpstr>
      <vt:lpstr>系统读取表</vt:lpstr>
      <vt:lpstr>结果表</vt:lpstr>
      <vt:lpstr>比较法-住宅、综合（楼面价）</vt:lpstr>
      <vt:lpstr>比较法-住宅用途（地面价）</vt:lpstr>
      <vt:lpstr>比较法-商业用途（地面价）</vt:lpstr>
      <vt:lpstr>住宅用地案例</vt:lpstr>
      <vt:lpstr>商业用地案例</vt:lpstr>
      <vt:lpstr>案例位置</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不动产收益法（公寓）</vt:lpstr>
      <vt:lpstr>酒店收入计算</vt:lpstr>
      <vt:lpstr>成本逼近法</vt:lpstr>
      <vt:lpstr>不动产收益法（配套商业）</vt:lpstr>
      <vt:lpstr>不动产收益法（地下车位）</vt:lpstr>
      <vt:lpstr>不动产比较法-住宅（洋房）</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 (联排)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'比较法-商业用途（地面价）'!套工交易情况</vt:lpstr>
      <vt:lpstr>'比较法-住宅、综合（楼面价）'!套工交易情况</vt:lpstr>
      <vt:lpstr>套工交易情况</vt:lpstr>
      <vt:lpstr>套工开发程度</vt:lpstr>
      <vt:lpstr>套工临街等级</vt:lpstr>
      <vt:lpstr>套工土地级别</vt:lpstr>
      <vt:lpstr>套工用途</vt:lpstr>
      <vt:lpstr>套工宗地形状</vt:lpstr>
      <vt:lpstr>'比较法-商业用途（地面价）'!套综道路等级</vt:lpstr>
      <vt:lpstr>'比较法-住宅、综合（楼面价）'!套综道路等级</vt:lpstr>
      <vt:lpstr>套综道路等级</vt:lpstr>
      <vt:lpstr>'比较法-商业用途（地面价）'!套综工程地质条件</vt:lpstr>
      <vt:lpstr>'比较法-住宅、综合（楼面价）'!套综工程地质条件</vt:lpstr>
      <vt:lpstr>套综工程地质条件</vt:lpstr>
      <vt:lpstr>'比较法-商业用途（地面价）'!套综交易情况</vt:lpstr>
      <vt:lpstr>'比较法-住宅、综合（楼面价）'!套综交易情况</vt:lpstr>
      <vt:lpstr>套综交易情况</vt:lpstr>
      <vt:lpstr>'比较法-商业用途（地面价）'!套综临街宽度及深度</vt:lpstr>
      <vt:lpstr>'比较法-住宅、综合（楼面价）'!套综临街宽度及深度</vt:lpstr>
      <vt:lpstr>套综临街宽度及深度</vt:lpstr>
      <vt:lpstr>'比较法-商业用途（地面价）'!套综土地级别</vt:lpstr>
      <vt:lpstr>'比较法-住宅、综合（楼面价）'!套综土地级别</vt:lpstr>
      <vt:lpstr>套综土地级别</vt:lpstr>
      <vt:lpstr>'比较法-商业用途（地面价）'!套综用途</vt:lpstr>
      <vt:lpstr>'比较法-住宅、综合（楼面价）'!套综用途</vt:lpstr>
      <vt:lpstr>套综用途</vt:lpstr>
      <vt:lpstr>'比较法-商业用途（地面价）'!套综宗地内开发程度</vt:lpstr>
      <vt:lpstr>'比较法-住宅、综合（楼面价）'!套综宗地内开发程度</vt:lpstr>
      <vt:lpstr>套综宗地内开发程度</vt:lpstr>
      <vt:lpstr>'比较法-商业用途（地面价）'!套综宗地形状</vt:lpstr>
      <vt:lpstr>'比较法-住宅、综合（楼面价）'!套综宗地形状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(联排)'!住宅朝向</vt:lpstr>
      <vt:lpstr>住宅朝向</vt:lpstr>
      <vt:lpstr>'不动产比较法-住宅 (联排)'!住宅房型</vt:lpstr>
      <vt:lpstr>住宅房型</vt:lpstr>
      <vt:lpstr>'不动产比较法-住宅 (联排)'!住宅公共部分装修</vt:lpstr>
      <vt:lpstr>住宅公共部分装修</vt:lpstr>
      <vt:lpstr>'不动产比较法-住宅 (联排)'!住宅基础设施水平</vt:lpstr>
      <vt:lpstr>住宅基础设施水平</vt:lpstr>
      <vt:lpstr>'不动产比较法-住宅 (联排)'!住宅建筑结构</vt:lpstr>
      <vt:lpstr>住宅建筑结构</vt:lpstr>
      <vt:lpstr>'不动产比较法-住宅 (联排)'!住宅建筑类型</vt:lpstr>
      <vt:lpstr>住宅建筑类型</vt:lpstr>
      <vt:lpstr>'不动产比较法-住宅 (联排)'!住宅建筑品质</vt:lpstr>
      <vt:lpstr>住宅建筑品质</vt:lpstr>
      <vt:lpstr>'不动产比较法-住宅 (联排)'!住宅交易情况</vt:lpstr>
      <vt:lpstr>住宅交易情况</vt:lpstr>
      <vt:lpstr>'不动产比较法-住宅 (联排)'!住宅楼层</vt:lpstr>
      <vt:lpstr>住宅楼层</vt:lpstr>
      <vt:lpstr>'不动产比较法-住宅 (联排)'!住宅内部装修</vt:lpstr>
      <vt:lpstr>住宅内部装修</vt:lpstr>
      <vt:lpstr>'不动产比较法-住宅 (联排)'!住宅物业管理</vt:lpstr>
      <vt:lpstr>住宅物业管理</vt:lpstr>
      <vt:lpstr>'不动产比较法-住宅 (联排)'!住宅用途</vt:lpstr>
      <vt:lpstr>住宅用途</vt:lpstr>
      <vt:lpstr>'不动产比较法-住宅 (联排)'!住宅主力户型面积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2018-06-13T09:48:51Z</dcterms:modified>
</cp:coreProperties>
</file>