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90" windowWidth="13905" windowHeight="13170" tabRatio="885"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收益法-酒店模型" sheetId="63" state="hidden" r:id="rId21"/>
    <sheet name="比较法-住宅" sheetId="21" state="hidden" r:id="rId22"/>
    <sheet name="比较法-商业" sheetId="33"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典型户型修正" sheetId="31" r:id="rId37"/>
    <sheet name="案例" sheetId="64" r:id="rId38"/>
    <sheet name="面积指标" sheetId="65" r:id="rId39"/>
  </sheets>
  <externalReferences>
    <externalReference r:id="rId40"/>
  </externalReferences>
  <definedNames>
    <definedName name="_xlnm._FilterDatabase" localSheetId="18"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36">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G117" i="34" l="1"/>
  <c r="F117" i="34"/>
  <c r="E117" i="34"/>
  <c r="D117" i="34"/>
  <c r="C117" i="34"/>
  <c r="B29" i="31" l="1"/>
  <c r="B30" i="31"/>
  <c r="B31" i="31"/>
  <c r="B32" i="31"/>
  <c r="B33" i="31"/>
  <c r="B34" i="31"/>
  <c r="B35" i="31"/>
  <c r="B36" i="31"/>
  <c r="B28" i="31"/>
  <c r="A28" i="31"/>
  <c r="A29" i="31"/>
  <c r="A30" i="31"/>
  <c r="A31" i="31"/>
  <c r="A32" i="31"/>
  <c r="A33" i="31"/>
  <c r="A34" i="31"/>
  <c r="A35" i="31"/>
  <c r="A36" i="31"/>
  <c r="A27" i="31"/>
  <c r="E5" i="1"/>
  <c r="K21" i="9" l="1"/>
  <c r="K20" i="9"/>
  <c r="F12" i="65" l="1"/>
  <c r="H105" i="34"/>
  <c r="I34" i="34"/>
  <c r="G34" i="34"/>
  <c r="E34" i="34"/>
  <c r="E48" i="34"/>
  <c r="G48" i="34"/>
  <c r="I48" i="34"/>
  <c r="I5" i="34"/>
  <c r="G5" i="34"/>
  <c r="E5" i="34"/>
  <c r="C5" i="34"/>
  <c r="C37" i="34"/>
  <c r="F123" i="34"/>
  <c r="E123" i="34"/>
  <c r="D123" i="34"/>
  <c r="C123" i="34"/>
  <c r="G105" i="34"/>
  <c r="F105" i="34"/>
  <c r="C105" i="34"/>
  <c r="D105" i="34"/>
  <c r="E23" i="1" l="1"/>
  <c r="E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E32" i="63"/>
  <c r="E29" i="63"/>
  <c r="C40"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C21" i="59"/>
  <c r="C20" i="59" s="1"/>
  <c r="A2" i="50"/>
  <c r="B16" i="60" s="1"/>
  <c r="D21" i="59"/>
  <c r="K60" i="15"/>
  <c r="P59" i="15" s="1"/>
  <c r="P72"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P62"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c r="B41" i="59" s="1"/>
  <c r="S41" i="59" s="1"/>
  <c r="D38" i="59"/>
  <c r="Q37" i="59"/>
  <c r="P37" i="59"/>
  <c r="O37" i="59"/>
  <c r="N37" i="59"/>
  <c r="AB36" i="59"/>
  <c r="Q36" i="59"/>
  <c r="P36" i="59"/>
  <c r="O36" i="59"/>
  <c r="N36" i="59"/>
  <c r="X36" i="59"/>
  <c r="Q35" i="59"/>
  <c r="AB35" i="59" s="1"/>
  <c r="P35" i="59"/>
  <c r="O35" i="59"/>
  <c r="Y35" i="59" s="1"/>
  <c r="Z35" i="59" s="1"/>
  <c r="N35" i="59"/>
  <c r="X35" i="59" s="1"/>
  <c r="Q34" i="59"/>
  <c r="AB34" i="59" s="1"/>
  <c r="P34" i="59"/>
  <c r="AA34" i="59" s="1"/>
  <c r="E35" i="59"/>
  <c r="E36" i="59" s="1"/>
  <c r="E37" i="59" s="1"/>
  <c r="O34" i="59"/>
  <c r="N34" i="59"/>
  <c r="X34" i="59" s="1"/>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C25" i="59"/>
  <c r="T25" i="59"/>
  <c r="Y22" i="59"/>
  <c r="Z22" i="59"/>
  <c r="Y23" i="59"/>
  <c r="Z23" i="59"/>
  <c r="Y25" i="59"/>
  <c r="Z25" i="59"/>
  <c r="Y24" i="59"/>
  <c r="Z24" i="59"/>
  <c r="B25" i="59"/>
  <c r="X25" i="59"/>
  <c r="X24" i="59"/>
  <c r="X22" i="59"/>
  <c r="X23" i="59"/>
  <c r="C28" i="59"/>
  <c r="D27" i="59"/>
  <c r="C32" i="59"/>
  <c r="D31" i="59"/>
  <c r="C40" i="59"/>
  <c r="D39" i="59"/>
  <c r="C44" i="59"/>
  <c r="D44" i="59" s="1"/>
  <c r="D43" i="59"/>
  <c r="C48" i="59"/>
  <c r="D47" i="59"/>
  <c r="P25" i="59"/>
  <c r="E56" i="59"/>
  <c r="E57" i="59"/>
  <c r="U57" i="59" s="1"/>
  <c r="Q62" i="59"/>
  <c r="P63" i="59"/>
  <c r="U69" i="59"/>
  <c r="E68" i="59"/>
  <c r="E67" i="59" s="1"/>
  <c r="Q25" i="59"/>
  <c r="C52" i="59"/>
  <c r="D51"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s="1"/>
  <c r="S25" i="59"/>
  <c r="F25" i="59"/>
  <c r="AB3" i="59"/>
  <c r="AB22" i="59"/>
  <c r="AB23" i="59"/>
  <c r="AB24" i="59"/>
  <c r="AB25" i="59"/>
  <c r="E25" i="59"/>
  <c r="AA23" i="59"/>
  <c r="AA24" i="59"/>
  <c r="AA25" i="59"/>
  <c r="AA3" i="59"/>
  <c r="AA22" i="59"/>
  <c r="C24" i="59"/>
  <c r="D25" i="59"/>
  <c r="D80" i="59"/>
  <c r="C79" i="59"/>
  <c r="D79" i="59" s="1"/>
  <c r="D72" i="59"/>
  <c r="C71" i="59"/>
  <c r="D71" i="59"/>
  <c r="C67" i="59"/>
  <c r="D67" i="59"/>
  <c r="D68" i="59"/>
  <c r="C49" i="59"/>
  <c r="D48" i="59"/>
  <c r="D84" i="59"/>
  <c r="C83" i="59"/>
  <c r="D83" i="59"/>
  <c r="D76" i="59"/>
  <c r="C75" i="59"/>
  <c r="D75" i="59" s="1"/>
  <c r="C63" i="59"/>
  <c r="D63" i="59" s="1"/>
  <c r="O64" i="59"/>
  <c r="D64" i="59"/>
  <c r="C61" i="59"/>
  <c r="D60" i="59"/>
  <c r="C53" i="59"/>
  <c r="D52" i="59"/>
  <c r="N62" i="59"/>
  <c r="N63" i="59"/>
  <c r="C41" i="59"/>
  <c r="D40" i="59"/>
  <c r="C33" i="59"/>
  <c r="D32" i="59"/>
  <c r="C29" i="59"/>
  <c r="D28" i="59"/>
  <c r="D24" i="59"/>
  <c r="C23" i="59"/>
  <c r="D23" i="59" s="1"/>
  <c r="E24" i="59"/>
  <c r="E23" i="59" s="1"/>
  <c r="U25" i="59"/>
  <c r="F24" i="59"/>
  <c r="F23" i="59"/>
  <c r="V25" i="59"/>
  <c r="O63" i="59"/>
  <c r="O62" i="59"/>
  <c r="T49" i="59"/>
  <c r="D49" i="59"/>
  <c r="T29" i="59"/>
  <c r="D29" i="59"/>
  <c r="T33" i="59"/>
  <c r="D33" i="59"/>
  <c r="T41" i="59"/>
  <c r="D41" i="59"/>
  <c r="T53" i="59"/>
  <c r="D53" i="59"/>
  <c r="T61" i="59"/>
  <c r="D61"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s="1"/>
  <c r="C21" i="34"/>
  <c r="Z21" i="33"/>
  <c r="Q21" i="33"/>
  <c r="D83" i="33"/>
  <c r="E83" i="33" s="1"/>
  <c r="F83" i="33" s="1"/>
  <c r="G83" i="33" s="1"/>
  <c r="H21" i="33"/>
  <c r="AB21" i="33" s="1"/>
  <c r="F21" i="33"/>
  <c r="AA21" i="33" s="1"/>
  <c r="C21" i="33"/>
  <c r="Q21" i="21"/>
  <c r="Z21" i="21" s="1"/>
  <c r="D83" i="21"/>
  <c r="E83" i="21"/>
  <c r="F21" i="21"/>
  <c r="AA21" i="21"/>
  <c r="C21" i="21"/>
  <c r="G20" i="20"/>
  <c r="B86" i="43" s="1"/>
  <c r="C22" i="20"/>
  <c r="B66" i="43" s="1"/>
  <c r="AB25" i="40"/>
  <c r="S25" i="40"/>
  <c r="S18" i="36"/>
  <c r="W18" i="35"/>
  <c r="U18" i="35"/>
  <c r="S18" i="35"/>
  <c r="U21" i="37"/>
  <c r="S21" i="37"/>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D80" i="34"/>
  <c r="E80" i="34" s="1"/>
  <c r="D78" i="34"/>
  <c r="E78" i="34" s="1"/>
  <c r="F78" i="34" s="1"/>
  <c r="G78" i="34" s="1"/>
  <c r="F15" i="34"/>
  <c r="AA15" i="34" s="1"/>
  <c r="D70" i="34"/>
  <c r="E70" i="34"/>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s="1"/>
  <c r="Q13" i="34"/>
  <c r="Z13" i="34"/>
  <c r="Q12" i="34"/>
  <c r="Z12" i="34"/>
  <c r="J12" i="34"/>
  <c r="H12" i="34"/>
  <c r="U12" i="34" s="1"/>
  <c r="F12" i="34"/>
  <c r="Q11" i="34"/>
  <c r="Z11" i="34"/>
  <c r="Q10" i="34"/>
  <c r="Z10" i="34"/>
  <c r="F10" i="34"/>
  <c r="AA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U39"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s="1"/>
  <c r="W29" i="39"/>
  <c r="W19" i="39"/>
  <c r="U34" i="39"/>
  <c r="S42" i="39"/>
  <c r="S41" i="39"/>
  <c r="W39" i="39"/>
  <c r="W8" i="39"/>
  <c r="AB25" i="39"/>
  <c r="W21" i="39"/>
  <c r="J11" i="39"/>
  <c r="W11" i="39"/>
  <c r="J32" i="39"/>
  <c r="AC32" i="39" s="1"/>
  <c r="AA15" i="39"/>
  <c r="E66" i="39"/>
  <c r="E61" i="40"/>
  <c r="F34" i="43"/>
  <c r="C21" i="11"/>
  <c r="C29" i="11" s="1"/>
  <c r="D27" i="11" s="1"/>
  <c r="H55" i="39"/>
  <c r="S30" i="40"/>
  <c r="G60" i="40"/>
  <c r="C60" i="40" s="1"/>
  <c r="H16" i="44"/>
  <c r="D17" i="43"/>
  <c r="I17" i="43"/>
  <c r="D108" i="9"/>
  <c r="F22" i="43"/>
  <c r="G22" i="43"/>
  <c r="H14" i="44"/>
  <c r="W40" i="39"/>
  <c r="AC20" i="35"/>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A14" i="52" s="1"/>
  <c r="B61" i="60" s="1"/>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c r="J45" i="21"/>
  <c r="F45" i="21"/>
  <c r="AA45" i="21" s="1"/>
  <c r="S42" i="21"/>
  <c r="B41" i="47"/>
  <c r="C23" i="40"/>
  <c r="AC8" i="34"/>
  <c r="W12" i="34"/>
  <c r="AC12" i="34"/>
  <c r="J9" i="34"/>
  <c r="AC9" i="34" s="1"/>
  <c r="F9" i="34"/>
  <c r="S9" i="34" s="1"/>
  <c r="AA9" i="36"/>
  <c r="S9" i="36"/>
  <c r="J12" i="36"/>
  <c r="W12" i="36"/>
  <c r="H12" i="36"/>
  <c r="AB12" i="36"/>
  <c r="AA9" i="39"/>
  <c r="S9" i="39"/>
  <c r="AB12" i="39"/>
  <c r="U12" i="39"/>
  <c r="J12" i="39"/>
  <c r="F12" i="39"/>
  <c r="S12" i="39" s="1"/>
  <c r="F15" i="21"/>
  <c r="S15" i="2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AB32" i="34"/>
  <c r="H45" i="21"/>
  <c r="AB45" i="21" s="1"/>
  <c r="J14" i="36"/>
  <c r="AC14" i="36" s="1"/>
  <c r="AC30" i="21"/>
  <c r="J40" i="34"/>
  <c r="AC40" i="34" s="1"/>
  <c r="S37" i="40"/>
  <c r="H19" i="33"/>
  <c r="AB19" i="33"/>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S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S44" i="34" s="1"/>
  <c r="F126" i="34"/>
  <c r="G126" i="34" s="1"/>
  <c r="J44" i="34"/>
  <c r="AC44" i="34" s="1"/>
  <c r="S40" i="21"/>
  <c r="U31" i="37"/>
  <c r="W27" i="37"/>
  <c r="H60" i="37"/>
  <c r="H10" i="37"/>
  <c r="U10" i="37"/>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11" i="34"/>
  <c r="AC28" i="34"/>
  <c r="AB41" i="34"/>
  <c r="S38" i="34"/>
  <c r="S43" i="34"/>
  <c r="W15" i="34"/>
  <c r="W31"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Y25" i="31"/>
  <c r="C37" i="57" s="1"/>
  <c r="F125" i="57" s="1"/>
  <c r="V25" i="31"/>
  <c r="C36" i="57" s="1"/>
  <c r="D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C7" i="43" s="1"/>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28" i="34"/>
  <c r="AB37" i="34"/>
  <c r="W41" i="34"/>
  <c r="AA45" i="34"/>
  <c r="AB45" i="34"/>
  <c r="AB35" i="34"/>
  <c r="W29" i="34"/>
  <c r="W43" i="34"/>
  <c r="U34"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M86" i="43"/>
  <c r="N86" i="43" s="1"/>
  <c r="F34" i="11"/>
  <c r="E19" i="1"/>
  <c r="D20" i="1"/>
  <c r="D18" i="1"/>
  <c r="F50" i="11"/>
  <c r="F19" i="1"/>
  <c r="F18" i="1"/>
  <c r="C11" i="12" s="1"/>
  <c r="C15" i="12" s="1"/>
  <c r="D19" i="1"/>
  <c r="K87" i="43"/>
  <c r="J87" i="43" s="1"/>
  <c r="D87" i="43"/>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C18" i="59"/>
  <c r="C17" i="59"/>
  <c r="C16" i="59" s="1"/>
  <c r="C15" i="59" s="1"/>
  <c r="C14" i="59" s="1"/>
  <c r="D14" i="59" s="1"/>
  <c r="X3" i="59"/>
  <c r="Y3" i="59"/>
  <c r="Z3" i="59" s="1"/>
  <c r="D18" i="59"/>
  <c r="F48" i="43"/>
  <c r="H50" i="43" s="1"/>
  <c r="G4" i="47"/>
  <c r="B20" i="59"/>
  <c r="B19" i="59" s="1"/>
  <c r="B18" i="59" s="1"/>
  <c r="B17" i="59" s="1"/>
  <c r="AC30" i="35"/>
  <c r="D16" i="59"/>
  <c r="I116" i="57"/>
  <c r="D133" i="57" s="1"/>
  <c r="I14" i="62" s="1"/>
  <c r="B8" i="62" s="1"/>
  <c r="D120" i="57"/>
  <c r="I114" i="9"/>
  <c r="D129" i="9" s="1"/>
  <c r="I112" i="9"/>
  <c r="D116" i="9"/>
  <c r="D114" i="9"/>
  <c r="D115" i="9"/>
  <c r="I113" i="9" s="1"/>
  <c r="H23" i="31"/>
  <c r="E2" i="11"/>
  <c r="F7" i="61"/>
  <c r="E2" i="34"/>
  <c r="E2" i="21"/>
  <c r="D7" i="61"/>
  <c r="F6" i="61"/>
  <c r="D4" i="61"/>
  <c r="D3" i="61"/>
  <c r="F5" i="61"/>
  <c r="F3" i="61"/>
  <c r="E2" i="35"/>
  <c r="E2" i="36"/>
  <c r="D5" i="61"/>
  <c r="E2" i="37"/>
  <c r="D6" i="61"/>
  <c r="F4" i="61"/>
  <c r="E2" i="33"/>
  <c r="W40" i="34" l="1"/>
  <c r="AB40" i="34"/>
  <c r="S40" i="34"/>
  <c r="H103" i="57"/>
  <c r="B125" i="57"/>
  <c r="G125" i="57"/>
  <c r="L106" i="9"/>
  <c r="A18" i="55" s="1"/>
  <c r="B48" i="60" s="1"/>
  <c r="S35" i="34"/>
  <c r="AC23" i="34"/>
  <c r="F19" i="34"/>
  <c r="H17" i="34"/>
  <c r="F17" i="34"/>
  <c r="AA17" i="34" s="1"/>
  <c r="F80" i="34"/>
  <c r="G80" i="34" s="1"/>
  <c r="J17" i="34"/>
  <c r="AC17" i="34" s="1"/>
  <c r="W44" i="34"/>
  <c r="AB44" i="34"/>
  <c r="AA44" i="34"/>
  <c r="S39" i="34"/>
  <c r="U38" i="34"/>
  <c r="W38" i="34"/>
  <c r="AA33" i="34"/>
  <c r="AB27" i="34"/>
  <c r="W9" i="34"/>
  <c r="AA9" i="34"/>
  <c r="U10" i="34"/>
  <c r="U9" i="34"/>
  <c r="U43" i="34"/>
  <c r="AC39" i="34"/>
  <c r="U36" i="34"/>
  <c r="S36" i="34"/>
  <c r="AC36" i="34"/>
  <c r="W35" i="34"/>
  <c r="W34" i="34"/>
  <c r="AC33" i="34"/>
  <c r="AA27" i="34"/>
  <c r="AC25" i="34"/>
  <c r="AA25" i="34"/>
  <c r="AC11" i="34"/>
  <c r="AB8" i="34"/>
  <c r="S17" i="34"/>
  <c r="U23" i="34"/>
  <c r="S23" i="34"/>
  <c r="W21" i="34"/>
  <c r="S21" i="34"/>
  <c r="AC19" i="34"/>
  <c r="AB19" i="34"/>
  <c r="U15" i="34"/>
  <c r="S15" i="34"/>
  <c r="AA30" i="34"/>
  <c r="S28" i="34"/>
  <c r="AC30" i="34"/>
  <c r="AB30" i="34"/>
  <c r="C114" i="57"/>
  <c r="H109" i="57" s="1"/>
  <c r="A8" i="52"/>
  <c r="B65" i="60" s="1"/>
  <c r="D42" i="50"/>
  <c r="D43" i="50" s="1"/>
  <c r="B16" i="59"/>
  <c r="B15" i="59" s="1"/>
  <c r="B14" i="59" s="1"/>
  <c r="B13" i="59" s="1"/>
  <c r="S17" i="59"/>
  <c r="U31" i="33"/>
  <c r="U32" i="36"/>
  <c r="AC13" i="36"/>
  <c r="AC32" i="34"/>
  <c r="W30" i="33"/>
  <c r="W28" i="37"/>
  <c r="AB14" i="33"/>
  <c r="W13" i="35"/>
  <c r="W23" i="36"/>
  <c r="AC23" i="36"/>
  <c r="U30" i="35"/>
  <c r="AC21" i="21"/>
  <c r="D39" i="50"/>
  <c r="D40" i="50" s="1"/>
  <c r="D15" i="59"/>
  <c r="D17" i="59"/>
  <c r="T17" i="59"/>
  <c r="AB19" i="37"/>
  <c r="S40" i="40"/>
  <c r="AB25" i="34"/>
  <c r="S24" i="35"/>
  <c r="AB27" i="37"/>
  <c r="AA12" i="37"/>
  <c r="W40" i="40"/>
  <c r="W17" i="21"/>
  <c r="AC9" i="37"/>
  <c r="U23" i="37"/>
  <c r="B74" i="43"/>
  <c r="F9" i="35"/>
  <c r="H9" i="35"/>
  <c r="F12" i="35"/>
  <c r="H12" i="35"/>
  <c r="J36" i="35"/>
  <c r="H23" i="36"/>
  <c r="M19" i="43"/>
  <c r="U37" i="59"/>
  <c r="C56" i="59"/>
  <c r="D55" i="59"/>
  <c r="D4" i="47"/>
  <c r="F4" i="47" s="1"/>
  <c r="B2" i="47" s="1"/>
  <c r="C29" i="39"/>
  <c r="C25" i="40"/>
  <c r="B55" i="43"/>
  <c r="B75" i="43"/>
  <c r="Y34" i="59"/>
  <c r="Z34" i="59" s="1"/>
  <c r="C35" i="59"/>
  <c r="F35" i="59"/>
  <c r="F36" i="59" s="1"/>
  <c r="F37" i="59" s="1"/>
  <c r="V37" i="59" s="1"/>
  <c r="Y5" i="59"/>
  <c r="Z5" i="59" s="1"/>
  <c r="Y6" i="59"/>
  <c r="Z6" i="59" s="1"/>
  <c r="Y8" i="59"/>
  <c r="Z8" i="59" s="1"/>
  <c r="Y36" i="59"/>
  <c r="Z36" i="59" s="1"/>
  <c r="V73" i="59"/>
  <c r="F72" i="59"/>
  <c r="F71" i="59" s="1"/>
  <c r="E12" i="59"/>
  <c r="E11" i="59" s="1"/>
  <c r="E10" i="59" s="1"/>
  <c r="E9" i="59" s="1"/>
  <c r="U13" i="59"/>
  <c r="AB19" i="59"/>
  <c r="X26" i="59"/>
  <c r="E27" i="59"/>
  <c r="E28" i="59" s="1"/>
  <c r="E29" i="59" s="1"/>
  <c r="U29" i="59" s="1"/>
  <c r="F27" i="59"/>
  <c r="F28" i="59" s="1"/>
  <c r="F29" i="59" s="1"/>
  <c r="V29" i="59" s="1"/>
  <c r="X30" i="59"/>
  <c r="Y30" i="59"/>
  <c r="Z30" i="59" s="1"/>
  <c r="E31" i="59"/>
  <c r="E32" i="59" s="1"/>
  <c r="E33" i="59" s="1"/>
  <c r="U33" i="59" s="1"/>
  <c r="AB30" i="59"/>
  <c r="F31" i="59"/>
  <c r="F32" i="59" s="1"/>
  <c r="F33" i="59" s="1"/>
  <c r="V33" i="59" s="1"/>
  <c r="Y31" i="59"/>
  <c r="Z31" i="59" s="1"/>
  <c r="AB31" i="59"/>
  <c r="Y32" i="59"/>
  <c r="Z32" i="59" s="1"/>
  <c r="AB32" i="59"/>
  <c r="Y33" i="59"/>
  <c r="Z33" i="59" s="1"/>
  <c r="AB33" i="59"/>
  <c r="AA5" i="59"/>
  <c r="AA7" i="59"/>
  <c r="AA36" i="59"/>
  <c r="F52" i="59"/>
  <c r="F53" i="59" s="1"/>
  <c r="V53" i="59" s="1"/>
  <c r="F60" i="59"/>
  <c r="F61" i="59" s="1"/>
  <c r="V61" i="59" s="1"/>
  <c r="S73" i="59"/>
  <c r="B72" i="59"/>
  <c r="B71" i="59" s="1"/>
  <c r="AA18" i="59"/>
  <c r="AA35" i="59"/>
  <c r="X7" i="59"/>
  <c r="X5" i="59"/>
  <c r="X8" i="59"/>
  <c r="AB5" i="59"/>
  <c r="AB6" i="59"/>
  <c r="AB7" i="59"/>
  <c r="P65" i="59"/>
  <c r="AA21" i="59"/>
  <c r="T21" i="59"/>
  <c r="X19" i="59"/>
  <c r="X21" i="59"/>
  <c r="AA16" i="59"/>
  <c r="AB18" i="59"/>
  <c r="Y18" i="59"/>
  <c r="Z18" i="59" s="1"/>
  <c r="Y16" i="59"/>
  <c r="Z16" i="59" s="1"/>
  <c r="AA14" i="59"/>
  <c r="AA13" i="59"/>
  <c r="F20" i="59"/>
  <c r="F19" i="59" s="1"/>
  <c r="F18" i="59" s="1"/>
  <c r="F17" i="59" s="1"/>
  <c r="V21" i="59"/>
  <c r="Y21" i="59"/>
  <c r="Z21" i="59" s="1"/>
  <c r="Y20" i="59"/>
  <c r="Z20" i="59" s="1"/>
  <c r="X18" i="59"/>
  <c r="AB14" i="59"/>
  <c r="X14" i="59"/>
  <c r="AB13" i="59"/>
  <c r="Y15" i="59"/>
  <c r="Z15" i="59" s="1"/>
  <c r="Y11" i="59"/>
  <c r="Z11" i="59" s="1"/>
  <c r="AB10" i="59"/>
  <c r="X12" i="59"/>
  <c r="AA12" i="59"/>
  <c r="Y9" i="59"/>
  <c r="Z9" i="59" s="1"/>
  <c r="AA6" i="59"/>
  <c r="AA10" i="59"/>
  <c r="X6" i="59"/>
  <c r="X11" i="59"/>
  <c r="B15" i="50"/>
  <c r="Y14" i="59"/>
  <c r="Z14" i="59" s="1"/>
  <c r="Y12" i="59"/>
  <c r="Z12" i="59" s="1"/>
  <c r="AB12" i="59"/>
  <c r="Y7" i="59"/>
  <c r="Z7" i="59" s="1"/>
  <c r="Y10" i="59"/>
  <c r="Z10" i="59" s="1"/>
  <c r="AA8" i="59"/>
  <c r="AA9" i="59"/>
  <c r="AA11" i="59"/>
  <c r="X9" i="59"/>
  <c r="X10" i="59"/>
  <c r="AB8" i="59"/>
  <c r="AB9" i="59"/>
  <c r="AB11" i="59"/>
  <c r="E8" i="59"/>
  <c r="E7" i="59" s="1"/>
  <c r="E6" i="59" s="1"/>
  <c r="E5" i="59" s="1"/>
  <c r="U5" i="59" s="1"/>
  <c r="U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B5" i="48"/>
  <c r="D5" i="48" s="1"/>
  <c r="F7" i="48"/>
  <c r="H7" i="48" s="1"/>
  <c r="F11" i="48"/>
  <c r="H11" i="48" s="1"/>
  <c r="B12" i="48"/>
  <c r="D12" i="48" s="1"/>
  <c r="D13" i="59"/>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AA19" i="34" l="1"/>
  <c r="S19" i="34"/>
  <c r="W17" i="34"/>
  <c r="U17" i="34"/>
  <c r="AB17" i="34"/>
  <c r="D10" i="48"/>
  <c r="C3" i="4"/>
  <c r="B4" i="55" s="1"/>
  <c r="B53" i="60" s="1"/>
  <c r="D35" i="59"/>
  <c r="C36" i="59"/>
  <c r="C57" i="59"/>
  <c r="D56" i="59"/>
  <c r="AC36" i="35"/>
  <c r="W36" i="35"/>
  <c r="S12" i="35"/>
  <c r="AA12" i="35"/>
  <c r="AA9" i="35"/>
  <c r="S9" i="35"/>
  <c r="C12" i="59"/>
  <c r="T13" i="59"/>
  <c r="H7" i="35"/>
  <c r="F7" i="35"/>
  <c r="F16" i="59"/>
  <c r="F15" i="59" s="1"/>
  <c r="F14" i="59" s="1"/>
  <c r="F13" i="59" s="1"/>
  <c r="V17" i="59"/>
  <c r="AB23" i="36"/>
  <c r="U23" i="36"/>
  <c r="U12" i="35"/>
  <c r="AB12" i="35"/>
  <c r="AB9" i="35"/>
  <c r="U9" i="35"/>
  <c r="B12" i="59"/>
  <c r="B11" i="59" s="1"/>
  <c r="B10" i="59" s="1"/>
  <c r="B9" i="59" s="1"/>
  <c r="S13"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C37" i="59"/>
  <c r="D36" i="59"/>
  <c r="J7" i="36"/>
  <c r="B8" i="59"/>
  <c r="B7" i="59" s="1"/>
  <c r="B6" i="59" s="1"/>
  <c r="B5" i="59" s="1"/>
  <c r="S5" i="59" s="1"/>
  <c r="S9" i="59"/>
  <c r="F12" i="59"/>
  <c r="F11" i="59" s="1"/>
  <c r="F10" i="59" s="1"/>
  <c r="F9" i="59" s="1"/>
  <c r="V13" i="59"/>
  <c r="T57" i="59"/>
  <c r="D57" i="59"/>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7" i="59" l="1"/>
  <c r="D37" i="59"/>
  <c r="F8" i="59"/>
  <c r="F7" i="59" s="1"/>
  <c r="F6" i="59" s="1"/>
  <c r="F5" i="59" s="1"/>
  <c r="V5" i="59" s="1"/>
  <c r="V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5" i="59" l="1"/>
  <c r="T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20" i="9"/>
  <c r="D20" i="57"/>
  <c r="D19" i="9"/>
  <c r="D104" i="57" l="1"/>
  <c r="D103" i="57"/>
  <c r="D101" i="9"/>
  <c r="D102"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9" i="57"/>
  <c r="C103" i="57" l="1"/>
  <c r="D22" i="57"/>
  <c r="G19" i="57"/>
  <c r="C101" i="9"/>
  <c r="G19" i="9"/>
  <c r="D22"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20" i="57"/>
  <c r="C104" i="57" l="1"/>
  <c r="G20" i="57"/>
  <c r="C102" i="9"/>
  <c r="G20" i="9"/>
  <c r="G47" i="40"/>
  <c r="H47" i="40" s="1"/>
  <c r="E42" i="40"/>
  <c r="R27" i="31" l="1"/>
  <c r="C106" i="57"/>
  <c r="C105" i="57"/>
  <c r="C32" i="9"/>
  <c r="C35" i="9" s="1"/>
  <c r="C34" i="9" s="1"/>
  <c r="I47" i="40"/>
  <c r="J47" i="40" s="1"/>
  <c r="E47" i="40"/>
  <c r="F47" i="40" s="1"/>
  <c r="E46" i="40"/>
  <c r="F46" i="40" s="1"/>
  <c r="C43" i="40"/>
  <c r="C42" i="40"/>
  <c r="C33" i="57" l="1"/>
  <c r="S27" i="31"/>
  <c r="R28" i="31"/>
  <c r="T27" i="31"/>
  <c r="R29" i="31"/>
  <c r="R37" i="31"/>
  <c r="R33" i="31"/>
  <c r="R31" i="31"/>
  <c r="R34" i="31"/>
  <c r="R35" i="31"/>
  <c r="R30" i="31"/>
  <c r="R36" i="31"/>
  <c r="R32"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30" i="31" l="1"/>
  <c r="S30" i="31"/>
  <c r="T36" i="31"/>
  <c r="S36" i="31"/>
  <c r="T35" i="31"/>
  <c r="S35" i="31"/>
  <c r="T31" i="31"/>
  <c r="S31" i="31"/>
  <c r="T37" i="31"/>
  <c r="S37" i="31"/>
  <c r="T32" i="31"/>
  <c r="S32" i="31"/>
  <c r="T34" i="31"/>
  <c r="S34" i="31"/>
  <c r="T33" i="31"/>
  <c r="S33" i="31"/>
  <c r="T29" i="31"/>
  <c r="S29" i="31"/>
  <c r="S28" i="31"/>
  <c r="T28" i="31"/>
  <c r="G121" i="9"/>
  <c r="E121" i="9"/>
  <c r="I121" i="9"/>
  <c r="T25" i="31" l="1"/>
  <c r="S25" i="31"/>
  <c r="D107" i="9"/>
  <c r="F121" i="9"/>
  <c r="G4" i="52"/>
  <c r="B41" i="60" s="1"/>
  <c r="D121" i="9"/>
  <c r="E4" i="52"/>
  <c r="B38" i="60" s="1"/>
  <c r="H121" i="9"/>
  <c r="C104" i="9"/>
  <c r="I103" i="9"/>
  <c r="B23" i="31" l="1"/>
  <c r="R25" i="31"/>
  <c r="H122" i="9"/>
  <c r="D122" i="9"/>
  <c r="D5" i="52" s="1"/>
  <c r="B39" i="60" s="1"/>
  <c r="D4" i="52"/>
  <c r="B37" i="60" s="1"/>
  <c r="F122" i="9"/>
  <c r="F5" i="52" s="1"/>
  <c r="B42" i="60" s="1"/>
  <c r="F4" i="52"/>
  <c r="B40" i="60" s="1"/>
  <c r="C103" i="9"/>
  <c r="I102" i="9"/>
  <c r="D106" i="9"/>
  <c r="D112" i="9" s="1"/>
  <c r="D113" i="9" s="1"/>
  <c r="I110" i="9"/>
  <c r="B24" i="31" l="1"/>
  <c r="B3" i="31" s="1"/>
  <c r="C35" i="57" s="1"/>
  <c r="I125" i="57" s="1"/>
  <c r="I4" i="52" s="1"/>
  <c r="B2" i="31"/>
  <c r="N48" i="9"/>
  <c r="I111" i="9"/>
  <c r="D117" i="9"/>
  <c r="D45" i="9"/>
  <c r="C78" i="9" s="1"/>
  <c r="C73" i="9" s="1"/>
  <c r="D125" i="9"/>
  <c r="N49" i="9"/>
  <c r="C34" i="57" l="1"/>
  <c r="H125" i="57" s="1"/>
  <c r="H4" i="52" s="1"/>
  <c r="C108" i="57"/>
  <c r="D111" i="57"/>
  <c r="I105" i="57"/>
  <c r="I115" i="9"/>
  <c r="D126" i="9"/>
  <c r="D53" i="9"/>
  <c r="D48" i="9" s="1"/>
  <c r="N52" i="9" s="1"/>
  <c r="O57" i="9" s="1"/>
  <c r="O58" i="9" s="1"/>
  <c r="C85" i="9"/>
  <c r="C72" i="9"/>
  <c r="C79" i="9" s="1"/>
  <c r="C64" i="9"/>
  <c r="C63" i="9" s="1"/>
  <c r="C67" i="9" s="1"/>
  <c r="C68" i="9" s="1"/>
  <c r="D54" i="9" s="1"/>
  <c r="D52" i="9"/>
  <c r="C93" i="9"/>
  <c r="C86" i="9" s="1"/>
  <c r="C95" i="9" s="1"/>
  <c r="M68" i="9"/>
  <c r="N68" i="9" s="1"/>
  <c r="M64" i="9"/>
  <c r="N64" i="9" s="1"/>
  <c r="M65" i="9"/>
  <c r="N65" i="9" s="1"/>
  <c r="M67" i="9"/>
  <c r="N67" i="9" s="1"/>
  <c r="M63" i="9"/>
  <c r="N63" i="9" s="1"/>
  <c r="M66" i="9"/>
  <c r="N66" i="9" s="1"/>
  <c r="H126" i="57" l="1"/>
  <c r="H5" i="52" s="1"/>
  <c r="D14" i="62"/>
  <c r="F14" i="62" s="1"/>
  <c r="D110" i="57"/>
  <c r="D116" i="57" s="1"/>
  <c r="D117" i="57" s="1"/>
  <c r="I104" i="57"/>
  <c r="D7" i="50" s="1"/>
  <c r="C107" i="57"/>
  <c r="D28" i="50"/>
  <c r="D29" i="50" s="1"/>
  <c r="D9" i="50"/>
  <c r="B21" i="60" s="1"/>
  <c r="D30" i="50"/>
  <c r="D47" i="57"/>
  <c r="E14" i="62"/>
  <c r="N69" i="9"/>
  <c r="O69" i="9" s="1"/>
  <c r="O59" i="9"/>
  <c r="O61" i="9" s="1"/>
  <c r="Q57" i="9"/>
  <c r="C96" i="9"/>
  <c r="E96" i="9" s="1"/>
  <c r="E97" i="9" s="1"/>
  <c r="C80" i="9"/>
  <c r="E80" i="9" s="1"/>
  <c r="E81" i="9" s="1"/>
  <c r="B5" i="62" l="1"/>
  <c r="C5" i="62" s="1"/>
  <c r="I112" i="57"/>
  <c r="D121" i="57"/>
  <c r="D44" i="50" s="1"/>
  <c r="N50" i="57"/>
  <c r="I113" i="57"/>
  <c r="D38" i="50"/>
  <c r="B62" i="60" s="1"/>
  <c r="I117" i="57"/>
  <c r="D23" i="50" s="1"/>
  <c r="B34" i="60" s="1"/>
  <c r="D8" i="50"/>
  <c r="B22" i="60" s="1"/>
  <c r="B19" i="60"/>
  <c r="D15" i="50"/>
  <c r="D36" i="50"/>
  <c r="D37" i="50" s="1"/>
  <c r="D55" i="57"/>
  <c r="D50" i="57" s="1"/>
  <c r="N54" i="57" s="1"/>
  <c r="C80" i="57"/>
  <c r="C75" i="57" s="1"/>
  <c r="C66" i="57"/>
  <c r="C65" i="57" s="1"/>
  <c r="C69" i="57" s="1"/>
  <c r="C70" i="57" s="1"/>
  <c r="D56" i="57" s="1"/>
  <c r="C74" i="57"/>
  <c r="D61" i="57"/>
  <c r="N57" i="57" s="1"/>
  <c r="D57" i="57"/>
  <c r="N55" i="57" s="1"/>
  <c r="C95" i="57"/>
  <c r="C88" i="57" s="1"/>
  <c r="D54" i="57"/>
  <c r="C87" i="57"/>
  <c r="N51" i="57"/>
  <c r="D129" i="57"/>
  <c r="C97" i="9"/>
  <c r="D58" i="9" s="1"/>
  <c r="C81" i="9"/>
  <c r="O60" i="9"/>
  <c r="D5" i="62" l="1"/>
  <c r="C81" i="57"/>
  <c r="G14" i="62"/>
  <c r="B6" i="62" s="1"/>
  <c r="C6" i="62" s="1"/>
  <c r="D8" i="52"/>
  <c r="D16" i="50"/>
  <c r="B30" i="60" s="1"/>
  <c r="B29" i="60"/>
  <c r="D130" i="57"/>
  <c r="D17" i="50"/>
  <c r="C97" i="57"/>
  <c r="C98" i="57" s="1"/>
  <c r="E98" i="57" s="1"/>
  <c r="E99" i="57" s="1"/>
  <c r="M69" i="57"/>
  <c r="N69" i="57" s="1"/>
  <c r="M67" i="57"/>
  <c r="N67" i="57" s="1"/>
  <c r="M66" i="57"/>
  <c r="N66" i="57" s="1"/>
  <c r="M70" i="57"/>
  <c r="N70" i="57" s="1"/>
  <c r="M68" i="57"/>
  <c r="N68" i="57" s="1"/>
  <c r="M65" i="57"/>
  <c r="N65" i="57" s="1"/>
  <c r="C82" i="57"/>
  <c r="E82" i="57" s="1"/>
  <c r="E83" i="57" s="1"/>
  <c r="D6" i="62"/>
  <c r="D10" i="52" l="1"/>
  <c r="D9" i="52"/>
  <c r="C83" i="57"/>
  <c r="N71" i="57"/>
  <c r="O71" i="57" s="1"/>
  <c r="C99" i="57"/>
  <c r="D60" i="57" s="1"/>
  <c r="D58" i="57" s="1"/>
  <c r="N56" i="57" s="1"/>
  <c r="O59" i="57" s="1"/>
  <c r="Q59" i="57" s="1"/>
  <c r="O60"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<sst xmlns="http://schemas.openxmlformats.org/spreadsheetml/2006/main" count="7013" uniqueCount="3054">
  <si>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</si>
  <si>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</si>
  <si>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</si>
  <si>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</si>
  <si>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</si>
  <si>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</si>
  <si>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</si>
  <si>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</si>
  <si>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</si>
  <si>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</si>
  <si>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</si>
  <si>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</si>
  <si>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</si>
  <si>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</si>
  <si>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</si>
  <si>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</si>
  <si>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</si>
  <si>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</si>
  <si>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</si>
  <si>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</si>
  <si>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</si>
  <si>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</si>
  <si>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</si>
  <si>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</si>
  <si>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</si>
  <si>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</si>
  <si>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</si>
  <si>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</si>
  <si>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</si>
  <si>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</si>
  <si>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</si>
  <si>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</si>
  <si>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</si>
  <si>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</si>
  <si>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</si>
  <si>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</si>
  <si>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</si>
  <si>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</si>
  <si>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</si>
  <si>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</si>
  <si>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</si>
  <si>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</si>
  <si>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</si>
  <si>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</si>
  <si>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</si>
  <si>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</si>
  <si>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</si>
  <si>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</si>
  <si>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</si>
  <si>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</si>
  <si>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</si>
  <si>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</si>
  <si>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</si>
  <si>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</si>
  <si>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</si>
  <si>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</si>
  <si>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</si>
  <si>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</si>
  <si>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</si>
  <si>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</si>
  <si>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</si>
  <si>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</si>
  <si>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</si>
  <si>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</si>
  <si>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</si>
  <si>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</si>
  <si>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</si>
  <si>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</si>
  <si>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</si>
  <si>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</si>
  <si>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</si>
  <si>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</si>
  <si>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</si>
  <si>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</si>
  <si>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</si>
  <si>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</si>
  <si>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</si>
  <si>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</si>
  <si>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</si>
  <si>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</si>
  <si>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</si>
  <si>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</si>
  <si>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</si>
  <si>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</si>
  <si>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</si>
  <si>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</si>
  <si>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</si>
  <si>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</si>
  <si>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</si>
  <si>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</si>
  <si>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</si>
  <si>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</si>
  <si>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</si>
  <si>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</si>
  <si>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</si>
  <si>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</si>
  <si>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</si>
  <si>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</si>
  <si>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</si>
  <si>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</si>
  <si>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</si>
  <si>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</si>
  <si>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</si>
  <si>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</si>
  <si>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</si>
  <si>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</si>
  <si>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</si>
  <si>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</si>
  <si>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</si>
  <si>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</si>
  <si>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</si>
  <si>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</si>
  <si>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</si>
  <si>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</si>
  <si>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</si>
  <si>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</si>
  <si>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</si>
  <si>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</si>
  <si>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</si>
  <si>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</si>
  <si>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</si>
  <si>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</si>
  <si>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</si>
  <si>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</si>
  <si>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</si>
  <si>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</si>
  <si>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</si>
  <si>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</si>
  <si>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</si>
  <si>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</si>
  <si>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</si>
  <si>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</si>
  <si>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</si>
  <si>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</si>
  <si>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</si>
  <si>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</si>
  <si>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</si>
  <si>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</si>
  <si>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</si>
  <si>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</si>
  <si>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</si>
  <si>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</si>
  <si>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</si>
  <si>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</si>
  <si>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</si>
  <si>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</si>
  <si>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</si>
  <si>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</si>
  <si>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</si>
  <si>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</si>
  <si>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</si>
  <si>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</si>
  <si>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</si>
  <si>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</si>
  <si>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</si>
  <si>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</si>
  <si>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</si>
  <si>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</si>
  <si>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</si>
  <si>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</si>
  <si>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</si>
  <si>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</si>
  <si>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</si>
  <si>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</si>
  <si>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</si>
  <si>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</si>
  <si>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</si>
  <si>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</si>
  <si>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</si>
  <si>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</si>
  <si>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</si>
  <si>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</si>
  <si>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</si>
  <si>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</si>
  <si>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</si>
  <si>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</si>
  <si>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</si>
  <si>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</si>
  <si>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</si>
  <si>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</si>
  <si>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</si>
  <si>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</si>
  <si>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</si>
  <si>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</si>
  <si>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</si>
  <si>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</si>
  <si>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</si>
  <si>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</si>
  <si>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</si>
  <si>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</si>
  <si>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</si>
  <si>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</si>
  <si>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</si>
  <si>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</si>
  <si>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</si>
  <si>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</si>
  <si>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</si>
  <si>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</si>
  <si>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</si>
  <si>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</si>
  <si>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</si>
  <si>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</si>
  <si>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</si>
  <si>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</si>
  <si>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</si>
  <si>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</si>
  <si>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</si>
  <si>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</si>
  <si>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</si>
  <si>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</si>
  <si>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</si>
  <si>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</si>
  <si>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</si>
  <si>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</si>
  <si>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</si>
  <si>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</si>
  <si>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</si>
  <si>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</si>
  <si>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</si>
  <si>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</si>
  <si>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</si>
  <si>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</si>
  <si>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</si>
  <si>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</si>
  <si>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</si>
  <si>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</si>
  <si>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</si>
  <si>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</si>
  <si>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</si>
  <si>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</si>
  <si>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</si>
  <si>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</si>
  <si>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</si>
  <si>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</si>
  <si>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</si>
  <si>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</si>
  <si>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</si>
  <si>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</si>
  <si>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</si>
  <si>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</si>
  <si>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</si>
  <si>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</si>
  <si>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</si>
  <si>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</si>
  <si>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</si>
  <si>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</si>
  <si>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</si>
  <si>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</si>
  <si>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</si>
  <si>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</si>
  <si>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</si>
  <si>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</si>
  <si>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</si>
  <si>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</si>
  <si>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</si>
  <si>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</si>
  <si>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</si>
  <si>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</si>
  <si>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</si>
  <si>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</si>
  <si>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</si>
  <si>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</si>
  <si>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</si>
  <si>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</si>
  <si>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</si>
  <si>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</si>
  <si>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</si>
  <si>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</si>
  <si>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</si>
  <si>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</si>
  <si>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</si>
  <si>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</si>
  <si>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</si>
  <si>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</si>
  <si>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</si>
  <si>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</si>
  <si>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</si>
  <si>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</si>
  <si>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</si>
  <si>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</si>
  <si>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</si>
  <si>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</si>
  <si>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</si>
  <si>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</si>
  <si>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</si>
  <si>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</si>
  <si>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</si>
  <si>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</si>
  <si>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</si>
  <si>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</si>
  <si>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</si>
  <si>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</si>
  <si>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</si>
  <si>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</si>
  <si>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</si>
  <si>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</si>
  <si>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</si>
  <si>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</si>
  <si>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</si>
  <si>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</si>
  <si>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</si>
  <si>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</si>
  <si>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</si>
  <si>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</si>
  <si>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</si>
  <si>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</si>
  <si>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</si>
  <si>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</si>
  <si>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</si>
  <si>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</si>
  <si>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</si>
  <si>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</si>
  <si>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</si>
  <si>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</si>
  <si>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</si>
  <si>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</si>
  <si>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</si>
  <si>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</si>
  <si>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</si>
  <si>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</si>
  <si>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</si>
  <si>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</si>
  <si>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</si>
  <si>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</si>
  <si>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</si>
  <si>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</si>
  <si>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</si>
  <si>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</si>
  <si>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</si>
  <si>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</si>
  <si>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</si>
  <si>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</si>
  <si>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</si>
  <si>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</si>
  <si>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</si>
  <si>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</si>
  <si>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</si>
  <si>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</si>
  <si>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</si>
  <si>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</si>
  <si>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</si>
  <si>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</si>
  <si>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</si>
  <si>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</si>
  <si>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</si>
  <si>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</si>
  <si>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</si>
  <si>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</si>
  <si>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</si>
  <si>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</si>
  <si>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</si>
  <si>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</si>
  <si>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</si>
  <si>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</si>
  <si>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</si>
  <si>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</si>
  <si>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</si>
  <si>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</si>
  <si>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</si>
  <si>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</si>
  <si>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</si>
  <si>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</si>
  <si>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</si>
  <si>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</si>
  <si>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</si>
  <si>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</si>
  <si>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</si>
  <si>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</si>
  <si>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</si>
  <si>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</si>
  <si>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</si>
  <si>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</si>
  <si>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</si>
  <si>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</si>
  <si>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</si>
  <si>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</si>
  <si>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</si>
  <si>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</si>
  <si>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</si>
  <si>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</si>
  <si>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</si>
  <si>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</si>
  <si>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</si>
  <si>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</si>
  <si>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</si>
  <si>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</si>
  <si>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</si>
  <si>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</si>
  <si>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</si>
  <si>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</si>
  <si>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</si>
  <si>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</si>
  <si>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</si>
  <si>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</si>
  <si>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</si>
  <si>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</si>
  <si>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</si>
  <si>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</si>
  <si>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</si>
  <si>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</si>
  <si>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</si>
  <si>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</si>
  <si>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</si>
  <si>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</si>
  <si>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</si>
  <si>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</si>
  <si>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</si>
  <si>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</si>
  <si>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</si>
  <si>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</si>
  <si>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</si>
  <si>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</si>
  <si>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</si>
  <si>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</si>
  <si>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</si>
  <si>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</si>
  <si>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</si>
  <si>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</si>
  <si>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</si>
  <si>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</si>
  <si>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</si>
  <si>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</si>
  <si>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</si>
  <si>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</si>
  <si>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</si>
  <si>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</si>
  <si>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</si>
  <si>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</si>
  <si>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</si>
  <si>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</si>
  <si>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</si>
  <si>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</si>
  <si>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</si>
  <si>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</si>
  <si>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</si>
  <si>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</si>
  <si>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</si>
  <si>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</si>
  <si>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</si>
  <si>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</si>
  <si>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</si>
  <si>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</si>
  <si>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</si>
  <si>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</si>
  <si>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</si>
  <si>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</si>
  <si>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</si>
  <si>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</si>
  <si>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</si>
  <si>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</si>
  <si>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</si>
  <si>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</si>
  <si>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</si>
  <si>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</si>
  <si>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</si>
  <si>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</si>
  <si>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</si>
  <si>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</si>
  <si>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</si>
  <si>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</si>
  <si>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</si>
  <si>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</si>
  <si>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</si>
  <si>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</si>
  <si>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</si>
  <si>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</si>
  <si>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</si>
  <si>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</si>
  <si>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</si>
  <si>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</si>
  <si>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</si>
  <si>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</si>
  <si>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</si>
  <si>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</si>
  <si>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</si>
  <si>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</si>
  <si>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</si>
  <si>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</si>
  <si>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</si>
  <si>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</si>
  <si>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</si>
  <si>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</si>
  <si>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</si>
  <si>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</si>
  <si>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</si>
  <si>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</si>
  <si>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</si>
  <si>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</si>
  <si>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</si>
  <si>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</si>
  <si>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</si>
  <si>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</si>
  <si>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</si>
  <si>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</si>
  <si>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</si>
  <si>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</si>
  <si>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</si>
  <si>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</si>
  <si>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</si>
  <si>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</si>
  <si>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</si>
  <si>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</si>
  <si>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</si>
  <si>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</si>
  <si>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</si>
  <si>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</si>
  <si>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</si>
  <si>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</si>
  <si>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</si>
  <si>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</si>
  <si>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</si>
  <si>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</si>
  <si>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</si>
  <si>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</si>
  <si>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</si>
  <si>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</si>
  <si>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</si>
  <si>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</si>
  <si>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</si>
  <si>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</si>
  <si>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</si>
  <si>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</si>
  <si>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</si>
  <si>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</si>
  <si>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</si>
  <si>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</si>
  <si>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</si>
  <si>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</si>
  <si>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</si>
  <si>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</si>
  <si>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</si>
  <si>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</si>
  <si>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</si>
  <si>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</si>
  <si>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</si>
  <si>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</si>
  <si>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</si>
  <si>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</si>
  <si>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</si>
  <si>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</si>
  <si>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</si>
  <si>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</si>
  <si>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</si>
  <si>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</si>
  <si>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</si>
  <si>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</si>
  <si>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</si>
  <si>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</si>
  <si>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</si>
  <si>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</si>
  <si>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</si>
  <si>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</si>
  <si>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</si>
  <si>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</si>
  <si>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</si>
  <si>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</si>
  <si>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</si>
  <si>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</si>
  <si>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</si>
  <si>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</si>
  <si>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</si>
  <si>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</si>
  <si>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</si>
  <si>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</si>
  <si>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</si>
  <si>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</si>
  <si>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</si>
  <si>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</si>
  <si>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</si>
  <si>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</si>
  <si>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</si>
  <si>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</si>
  <si>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</si>
  <si>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</si>
  <si>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</si>
  <si>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</si>
  <si>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</si>
  <si>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</si>
  <si>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</si>
  <si>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</si>
  <si>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</si>
  <si>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</si>
  <si>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</si>
  <si>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</si>
  <si>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</si>
  <si>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</si>
  <si>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</si>
  <si>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</si>
  <si>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</si>
  <si>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</si>
  <si>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</si>
  <si>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</si>
  <si>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</si>
  <si>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</si>
  <si>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</si>
  <si>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</si>
  <si>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</si>
  <si>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</si>
  <si>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</si>
  <si>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</si>
  <si>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</si>
  <si>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</si>
  <si>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</si>
  <si>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</si>
  <si>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</si>
  <si>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</si>
  <si>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</si>
  <si>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</si>
  <si>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</si>
  <si>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</si>
  <si>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</si>
  <si>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</si>
  <si>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</si>
  <si>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</si>
  <si>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</si>
  <si>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</si>
  <si>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</si>
  <si>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</si>
  <si>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</si>
  <si>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</si>
  <si>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</si>
  <si>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</si>
  <si>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</si>
  <si>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</si>
  <si>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</si>
  <si>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</si>
  <si>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</si>
  <si>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</si>
  <si>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</si>
  <si>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</si>
  <si>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</si>
  <si>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</si>
  <si>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</si>
  <si>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</si>
  <si>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</si>
  <si>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</si>
  <si>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</si>
  <si>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</si>
  <si>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</si>
  <si>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</si>
  <si>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</si>
  <si>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</si>
  <si>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</si>
  <si>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</si>
  <si>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</si>
  <si>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</si>
  <si>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</si>
  <si>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</si>
  <si>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</si>
  <si>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</si>
  <si>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</si>
  <si>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</si>
  <si>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</si>
  <si>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</si>
  <si>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</si>
  <si>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</si>
  <si>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</si>
  <si>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</si>
  <si>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</si>
  <si>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</si>
  <si>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</si>
  <si>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</si>
  <si>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</si>
  <si>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</si>
  <si>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</si>
  <si>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</si>
  <si>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</si>
  <si>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</si>
  <si>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</si>
  <si>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</si>
  <si>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</si>
  <si>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</si>
  <si>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</si>
  <si>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</si>
  <si>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</si>
  <si>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</si>
  <si>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</si>
  <si>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</si>
  <si>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</si>
  <si>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</si>
  <si>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</si>
  <si>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</si>
  <si>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</si>
  <si>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</si>
  <si>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</si>
  <si>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</si>
  <si>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</si>
  <si>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</si>
  <si>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</si>
  <si>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</si>
  <si>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</si>
  <si>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</si>
  <si>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</si>
  <si>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</si>
  <si>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</si>
  <si>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</si>
  <si>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</si>
  <si>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</si>
  <si>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</si>
  <si>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</si>
  <si>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</si>
  <si>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</si>
  <si>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</si>
  <si>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</si>
  <si>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</si>
  <si>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</si>
  <si>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</si>
  <si>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</si>
  <si>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</si>
  <si>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</si>
  <si>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</si>
  <si>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</si>
  <si>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</si>
  <si>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</si>
  <si>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</si>
  <si>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</si>
  <si>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</si>
  <si>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</si>
  <si>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</si>
  <si>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</si>
  <si>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</si>
  <si>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</si>
  <si>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</si>
  <si>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</si>
  <si>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</si>
  <si>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</si>
  <si>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</si>
  <si>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</si>
  <si>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</si>
  <si>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</si>
  <si>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</si>
  <si>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</si>
  <si>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</si>
  <si>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</si>
  <si>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</si>
  <si>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</si>
  <si>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</si>
  <si>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</si>
  <si>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</si>
  <si>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</si>
  <si>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</si>
  <si>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</si>
  <si>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</si>
  <si>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</si>
  <si>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</si>
  <si>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</si>
  <si>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</si>
  <si>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</si>
  <si>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</si>
  <si>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</si>
  <si>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</si>
  <si>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</si>
  <si>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</si>
  <si>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</si>
  <si>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</si>
  <si>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</si>
  <si>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</si>
  <si>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</si>
  <si>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</si>
  <si>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</si>
  <si>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</si>
  <si>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</si>
  <si>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</si>
  <si>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</si>
  <si>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</si>
  <si>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</si>
  <si>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</si>
  <si>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</si>
  <si>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</si>
  <si>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</si>
  <si>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</si>
  <si>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</si>
  <si>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</si>
  <si>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</si>
  <si>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</si>
  <si>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</si>
  <si>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</si>
  <si>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</si>
  <si>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</si>
  <si>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</si>
  <si>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</si>
  <si>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</si>
  <si>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</si>
  <si>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</si>
  <si>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</si>
  <si>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</si>
  <si>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</si>
  <si>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</si>
  <si>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</si>
  <si>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</si>
  <si>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</si>
  <si>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</si>
  <si>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</si>
  <si>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</si>
  <si>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</si>
  <si>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</si>
  <si>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</si>
  <si>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</si>
  <si>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</si>
  <si>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</si>
  <si>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</si>
  <si>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</si>
  <si>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</si>
  <si>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</si>
  <si>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</si>
  <si>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</si>
  <si>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</si>
  <si>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</si>
  <si>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</si>
  <si>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</si>
  <si>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</si>
  <si>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</si>
  <si>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</si>
  <si>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</si>
  <si>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</si>
  <si>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</si>
  <si>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</si>
  <si>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</si>
  <si>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</si>
  <si>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</si>
  <si>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</si>
  <si>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</si>
  <si>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</si>
  <si>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</si>
  <si>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</si>
  <si>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</si>
  <si>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</si>
  <si>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</si>
  <si>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</si>
  <si>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</si>
  <si>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</si>
  <si>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</si>
  <si>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</si>
  <si>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</si>
  <si>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</si>
  <si>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</si>
  <si>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</si>
  <si>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</si>
  <si>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</si>
  <si>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</si>
  <si>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</si>
  <si>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</si>
  <si>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</si>
  <si>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</si>
  <si>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</si>
  <si>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</si>
  <si>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</si>
  <si>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</si>
  <si>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</si>
  <si>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</si>
  <si>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</si>
  <si>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</si>
  <si>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</si>
  <si>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</si>
  <si>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</si>
  <si>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</si>
  <si>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</si>
  <si>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</si>
  <si>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</si>
  <si>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</si>
  <si>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</si>
  <si>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</si>
  <si>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</si>
  <si>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</si>
  <si>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</si>
  <si>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</si>
  <si>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</si>
  <si>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</si>
  <si>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</si>
  <si>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</si>
  <si>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</si>
  <si>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</si>
  <si>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</si>
  <si>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</si>
  <si>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</si>
  <si>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</si>
  <si>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</si>
  <si>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</si>
  <si>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</si>
  <si>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</si>
  <si>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</si>
  <si>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</si>
  <si>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</si>
  <si>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</si>
  <si>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</si>
  <si>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</si>
  <si>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</si>
  <si>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</si>
  <si>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</si>
  <si>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</si>
  <si>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</si>
  <si>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</si>
  <si>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</si>
  <si>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</si>
  <si>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</si>
  <si>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</si>
  <si>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</si>
  <si>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</si>
  <si>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</si>
  <si>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</si>
  <si>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</si>
  <si>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</si>
  <si>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</si>
  <si>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</si>
  <si>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</si>
  <si>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</si>
  <si>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</si>
  <si>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</si>
  <si>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</si>
  <si>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</si>
  <si>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</si>
  <si>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</si>
  <si>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</si>
  <si>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</si>
  <si>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</si>
  <si>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</si>
  <si>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</si>
  <si>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</si>
  <si>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</si>
  <si>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</si>
  <si>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</si>
  <si>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</si>
  <si>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</si>
  <si>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</si>
  <si>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</si>
  <si>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</si>
  <si>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</si>
  <si>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</si>
  <si>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</si>
  <si>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</si>
  <si>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</si>
  <si>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</si>
  <si>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</si>
  <si>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</si>
  <si>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</si>
  <si>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</si>
  <si>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</si>
  <si>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</si>
  <si>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</si>
  <si>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</si>
  <si>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</si>
  <si>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</si>
  <si>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</si>
  <si>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</si>
  <si>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</si>
  <si>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</si>
  <si>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</si>
  <si>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</si>
  <si>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</si>
  <si>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</si>
  <si>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</si>
  <si>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</si>
  <si>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</si>
  <si>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</si>
  <si>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</si>
  <si>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</si>
  <si>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</si>
  <si>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</si>
  <si>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</si>
  <si>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</si>
  <si>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</si>
  <si>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</si>
  <si>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</si>
  <si>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</si>
  <si>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</si>
  <si>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</si>
  <si>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</si>
  <si>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</si>
  <si>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</si>
  <si>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</si>
  <si>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</si>
  <si>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</si>
  <si>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</si>
  <si>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</si>
  <si>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</si>
  <si>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</si>
  <si>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</si>
  <si>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</si>
  <si>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</si>
  <si>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</si>
  <si>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</si>
  <si>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</si>
  <si>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</si>
  <si>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</si>
  <si>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</si>
  <si>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</si>
  <si>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</si>
  <si>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</si>
  <si>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</si>
  <si>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</si>
  <si>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</si>
  <si>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</si>
  <si>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</si>
  <si>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</si>
  <si>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</si>
  <si>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</si>
  <si>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</si>
  <si>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</si>
  <si>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</si>
  <si>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</si>
  <si>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</si>
  <si>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</si>
  <si>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</si>
  <si>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</si>
  <si>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</si>
  <si>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</si>
  <si>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</si>
  <si>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</si>
  <si>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</si>
  <si>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</si>
  <si>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</si>
  <si>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</si>
  <si>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</si>
  <si>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</si>
  <si>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</si>
  <si>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</si>
  <si>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</si>
  <si>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</si>
  <si>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</si>
  <si>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</si>
  <si>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</si>
  <si>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</si>
  <si>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</si>
  <si>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</si>
  <si>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</si>
  <si>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</si>
  <si>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</si>
  <si>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</si>
  <si>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</si>
  <si>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</si>
  <si>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</si>
  <si>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</si>
  <si>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</si>
  <si>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</si>
  <si>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</si>
  <si>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</si>
  <si>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</si>
  <si>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</si>
  <si>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</si>
  <si>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</si>
  <si>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</si>
  <si>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</si>
  <si>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</si>
  <si>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</si>
  <si>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</si>
  <si>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</si>
  <si>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</si>
  <si>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</si>
  <si>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</si>
  <si>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</si>
  <si>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</si>
  <si>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</si>
  <si>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</si>
  <si>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</si>
  <si>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</si>
  <si>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</si>
  <si>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</si>
  <si>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</si>
  <si>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</si>
  <si>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</si>
  <si>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</si>
  <si>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</si>
  <si>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</si>
  <si>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</si>
  <si>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</si>
  <si>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</si>
  <si>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</si>
  <si>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</si>
  <si>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</si>
  <si>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</si>
  <si>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</si>
  <si>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</si>
  <si>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</si>
  <si>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</si>
  <si>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</si>
  <si>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</si>
  <si>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</si>
  <si>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</si>
  <si>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</si>
  <si>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</si>
  <si>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</si>
  <si>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</si>
  <si>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</si>
  <si>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</si>
  <si>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</si>
  <si>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</si>
  <si>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</si>
  <si>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</si>
  <si>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</si>
  <si>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</si>
  <si>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</si>
  <si>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</si>
  <si>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</si>
  <si>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</si>
  <si>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</si>
  <si>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</si>
  <si>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</si>
  <si>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</si>
  <si>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</si>
  <si>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</si>
  <si>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</si>
  <si>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</si>
  <si>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</si>
  <si>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</si>
  <si>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</si>
  <si>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</si>
  <si>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</si>
  <si>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</si>
  <si>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</si>
  <si>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</si>
  <si>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</si>
  <si>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</si>
  <si>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</si>
  <si>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</si>
  <si>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</si>
  <si>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</si>
  <si>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</si>
  <si>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</si>
  <si>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</si>
  <si>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</si>
  <si>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</si>
  <si>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</si>
  <si>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</si>
  <si>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</si>
  <si>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</si>
  <si>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</si>
  <si>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</si>
  <si>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</si>
  <si>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</si>
  <si>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</si>
  <si>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</si>
  <si>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</si>
  <si>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</si>
  <si>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</si>
  <si>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</si>
  <si>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</si>
  <si>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</si>
  <si>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</si>
  <si>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</si>
  <si>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</si>
  <si>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</si>
  <si>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</si>
  <si>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</si>
  <si>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</si>
  <si>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</si>
  <si>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</si>
  <si>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</si>
  <si>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</si>
  <si>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</si>
  <si>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</si>
  <si>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</si>
  <si>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</si>
  <si>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</si>
  <si>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</si>
  <si>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</si>
  <si>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</si>
  <si>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</si>
  <si>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</si>
  <si>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</si>
  <si>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</si>
  <si>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</si>
  <si>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</si>
  <si>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</si>
  <si>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</si>
  <si>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</si>
  <si>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</si>
  <si>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</si>
  <si>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</si>
  <si>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</si>
  <si>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</si>
  <si>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</si>
  <si>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</si>
  <si>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</si>
  <si>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</si>
  <si>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</si>
  <si>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</si>
  <si>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</si>
  <si>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</si>
  <si>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</si>
  <si>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</si>
  <si>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</si>
  <si>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</si>
  <si>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</si>
  <si>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</si>
  <si>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</si>
  <si>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</si>
  <si>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</si>
  <si>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</si>
  <si>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</si>
  <si>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</si>
  <si>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</si>
  <si>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</si>
  <si>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</si>
  <si>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</si>
  <si>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</si>
  <si>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</si>
  <si>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</si>
  <si>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</si>
  <si>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</si>
  <si>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</si>
  <si>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</si>
  <si>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</si>
  <si>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</si>
  <si>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</si>
  <si>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</si>
  <si>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</si>
  <si>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</si>
  <si>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</si>
  <si>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</si>
  <si>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</si>
  <si>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</si>
  <si>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</si>
  <si>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</si>
  <si>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</si>
  <si>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</si>
  <si>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</si>
  <si>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</si>
  <si>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</si>
  <si>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</si>
  <si>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</si>
  <si>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</si>
  <si>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</si>
  <si>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</si>
  <si>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</si>
  <si>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</si>
  <si>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</si>
  <si>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</si>
  <si>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</si>
  <si>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</si>
  <si>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</si>
  <si>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</si>
  <si>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</si>
  <si>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</si>
  <si>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</si>
  <si>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</si>
  <si>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</si>
  <si>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</si>
  <si>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</si>
  <si>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</si>
  <si>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</si>
  <si>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</si>
  <si>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</si>
  <si>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</si>
  <si>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</si>
  <si>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</si>
  <si>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</si>
  <si>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</si>
  <si>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</si>
  <si>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</si>
  <si>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</si>
  <si>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</si>
  <si>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</si>
  <si>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</si>
  <si>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</si>
  <si>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</si>
  <si>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</si>
  <si>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</si>
  <si>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</si>
  <si>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</si>
  <si>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</si>
  <si>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</si>
  <si>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</si>
  <si>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</si>
  <si>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</si>
  <si>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</si>
  <si>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</si>
  <si>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</si>
  <si>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</si>
  <si>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</si>
  <si>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</si>
  <si>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</si>
  <si>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</si>
  <si>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</si>
  <si>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</si>
  <si>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</si>
  <si>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</si>
  <si>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</si>
  <si>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</si>
  <si>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</si>
  <si>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</si>
  <si>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</si>
  <si>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</si>
  <si>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</si>
  <si>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</si>
  <si>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</si>
  <si>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</si>
  <si>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</si>
  <si>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</si>
  <si>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</si>
  <si>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</si>
  <si>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</si>
  <si>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</si>
  <si>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</si>
  <si>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</si>
  <si>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</si>
  <si>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</si>
  <si>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</si>
  <si>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</si>
  <si>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</si>
  <si>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</si>
  <si>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</si>
  <si>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</si>
  <si>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</si>
  <si>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</si>
  <si>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</si>
  <si>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</si>
  <si>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</si>
  <si>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</si>
  <si>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</si>
  <si>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</si>
  <si>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</si>
  <si>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</si>
  <si>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</si>
  <si>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</si>
  <si>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</si>
  <si>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</si>
  <si>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</si>
  <si>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</si>
  <si>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</si>
  <si>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</si>
  <si>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</si>
  <si>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</si>
  <si>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</si>
  <si>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</si>
  <si>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</si>
  <si>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</si>
  <si>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</si>
  <si>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</si>
  <si>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</si>
  <si>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</si>
  <si>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</si>
  <si>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</si>
  <si>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</si>
  <si>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</si>
  <si>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</si>
  <si>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</si>
  <si>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</si>
  <si>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</si>
  <si>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</si>
  <si>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</si>
  <si>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</si>
  <si>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</si>
  <si>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</si>
  <si>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</si>
  <si>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</si>
  <si>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</si>
  <si>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</si>
  <si>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</si>
  <si>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</si>
  <si>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</si>
  <si>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</si>
  <si>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</si>
  <si>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</si>
  <si>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</si>
  <si>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</si>
  <si>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</si>
  <si>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</si>
  <si>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</si>
  <si>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</si>
  <si>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</si>
  <si>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</si>
  <si>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</si>
  <si>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</si>
  <si>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</si>
  <si>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</si>
  <si>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</si>
  <si>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</si>
  <si>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</si>
  <si>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</si>
  <si>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</si>
  <si>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</si>
  <si>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</si>
  <si>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</si>
  <si>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</si>
  <si>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</si>
  <si>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</si>
  <si>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</si>
  <si>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</si>
  <si>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</si>
  <si>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</si>
  <si>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</si>
  <si>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</si>
  <si>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</si>
  <si>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</si>
  <si>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</si>
  <si>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</si>
  <si>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</si>
  <si>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</si>
  <si>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</si>
  <si>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</si>
  <si>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</si>
  <si>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</si>
  <si>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</si>
  <si>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</si>
  <si>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</si>
  <si>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</si>
  <si>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</si>
  <si>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</si>
  <si>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</si>
  <si>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</si>
  <si>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</si>
  <si>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</si>
  <si>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</si>
  <si>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</si>
  <si>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</si>
  <si>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</si>
  <si>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</si>
  <si>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</si>
  <si>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</si>
  <si>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</si>
  <si>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</si>
  <si>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</si>
  <si>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</si>
  <si>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</si>
  <si>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</si>
  <si>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</si>
  <si>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</si>
  <si>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</si>
  <si>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</si>
  <si>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</si>
  <si>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</si>
  <si>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</si>
  <si>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</si>
  <si>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</si>
  <si>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</si>
  <si>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</si>
  <si>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</si>
  <si>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</si>
  <si>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</si>
  <si>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</si>
  <si>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</si>
  <si>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</si>
  <si>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</si>
  <si>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</si>
  <si>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</si>
  <si>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</si>
  <si>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</si>
  <si>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</si>
  <si>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</si>
  <si>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</si>
  <si>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</si>
  <si>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</si>
  <si>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</si>
  <si>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</si>
  <si>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</si>
  <si>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</si>
  <si>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</si>
  <si>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</si>
  <si>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</si>
  <si>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</si>
  <si>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</si>
  <si>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</si>
  <si>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</si>
  <si>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</si>
  <si>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</si>
  <si>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</si>
  <si>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</si>
  <si>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</si>
  <si>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</si>
  <si>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</si>
  <si>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</si>
  <si>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</si>
  <si>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</si>
  <si>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</si>
  <si>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</si>
  <si>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</si>
  <si>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</si>
  <si>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</si>
  <si>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</si>
  <si>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</si>
  <si>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</si>
  <si>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</si>
  <si>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</si>
  <si>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</si>
  <si>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</si>
  <si>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</si>
  <si>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</si>
  <si>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</si>
  <si>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</si>
  <si>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</si>
  <si>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</si>
  <si>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</si>
  <si>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</si>
  <si>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</si>
  <si>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</si>
  <si>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</si>
  <si>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</si>
  <si>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</si>
  <si>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</si>
  <si>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</si>
  <si>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</si>
  <si>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</si>
  <si>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</si>
  <si>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</si>
  <si>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</si>
  <si>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</si>
  <si>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</si>
  <si>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</si>
  <si>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</si>
  <si>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</si>
  <si>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</si>
  <si>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</si>
  <si>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</si>
  <si>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</si>
  <si>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</si>
  <si>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</si>
  <si>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</si>
  <si>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</si>
  <si>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</si>
  <si>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</si>
  <si>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</si>
  <si>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</si>
  <si>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</si>
  <si>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</si>
  <si>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</si>
  <si>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</si>
  <si>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</si>
  <si>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</si>
  <si>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</si>
  <si>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</si>
  <si>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</si>
  <si>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</si>
  <si>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</si>
  <si>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</si>
  <si>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</si>
  <si>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</si>
  <si>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</si>
  <si>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</si>
  <si>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</si>
  <si>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</si>
  <si>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</si>
  <si>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</si>
  <si>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</si>
  <si>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</si>
  <si>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</si>
  <si>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</si>
  <si>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</si>
  <si>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</si>
  <si>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</si>
  <si>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</si>
  <si>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</si>
  <si>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</si>
  <si>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</si>
  <si>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</si>
  <si>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</si>
  <si>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</si>
  <si>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</si>
  <si>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</si>
  <si>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</si>
  <si>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</si>
  <si>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</si>
  <si>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</si>
  <si>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</si>
  <si>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</si>
  <si>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</si>
  <si>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</si>
  <si>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</si>
  <si>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</si>
  <si>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</si>
  <si>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</si>
  <si>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</si>
  <si>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</si>
  <si>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</si>
  <si>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</si>
  <si>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</si>
  <si>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</si>
  <si>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</si>
  <si>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</si>
  <si>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</si>
  <si>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</si>
  <si>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</si>
  <si>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</si>
  <si>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</si>
  <si>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</si>
  <si>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</si>
  <si>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</si>
  <si>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</si>
  <si>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</si>
  <si>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</si>
  <si>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</si>
  <si>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</si>
  <si>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</si>
  <si>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</si>
  <si>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</si>
  <si>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</si>
  <si>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</si>
  <si>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</si>
  <si>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</si>
  <si>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</si>
  <si>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</si>
  <si>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</si>
  <si>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</si>
  <si>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</si>
  <si>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</si>
  <si>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</si>
  <si>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</si>
  <si>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</si>
  <si>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</si>
  <si>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</si>
  <si>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</si>
  <si>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</si>
  <si>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</si>
  <si>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</si>
  <si>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</si>
  <si>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</si>
  <si>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</si>
  <si>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</si>
  <si>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</si>
  <si>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</si>
  <si>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</si>
  <si>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</si>
  <si>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</si>
  <si>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</si>
  <si>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</si>
  <si>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</si>
  <si>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</si>
  <si>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</si>
  <si>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</si>
  <si>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</si>
  <si>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</si>
  <si>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</si>
  <si>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</si>
  <si>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</si>
  <si>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</si>
  <si>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</si>
  <si>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</si>
  <si>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</si>
  <si>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</si>
  <si>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</si>
  <si>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</si>
  <si>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</si>
  <si>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</si>
  <si>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</si>
  <si>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</si>
  <si>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</si>
  <si>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</si>
  <si>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</si>
  <si>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</si>
  <si>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</si>
  <si>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</si>
  <si>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</si>
  <si>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</si>
  <si>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</si>
  <si>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</si>
  <si>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</si>
  <si>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</si>
  <si>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</si>
  <si>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</si>
  <si>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</si>
  <si>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</si>
  <si>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</si>
  <si>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</si>
  <si>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</si>
  <si>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</si>
  <si>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</si>
  <si>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</si>
  <si>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</si>
  <si>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</si>
  <si>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</si>
  <si>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</si>
  <si>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</si>
  <si>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</si>
  <si>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</si>
  <si>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</si>
  <si>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</si>
  <si>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</si>
  <si>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</si>
  <si>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</si>
  <si>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</si>
  <si>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</si>
  <si>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</si>
  <si>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</si>
  <si>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</si>
  <si>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</si>
  <si>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</si>
  <si>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</si>
  <si>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</si>
  <si>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</si>
  <si>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</si>
  <si>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</si>
  <si>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</si>
  <si>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</si>
  <si>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</si>
  <si>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</si>
  <si>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</si>
  <si>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</si>
  <si>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</si>
  <si>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</si>
  <si>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</si>
  <si>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</si>
  <si>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</si>
  <si>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</si>
  <si>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</si>
  <si>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</si>
  <si>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</si>
  <si>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</si>
  <si>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</si>
  <si>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</si>
  <si>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</si>
  <si>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</si>
  <si>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</si>
  <si>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</si>
  <si>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</si>
  <si>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</si>
  <si>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</si>
  <si>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</si>
  <si>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</si>
  <si>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</si>
  <si>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</si>
  <si>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</si>
  <si>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</si>
  <si>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</si>
  <si>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</si>
  <si>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</si>
  <si>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</si>
  <si>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</si>
  <si>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</si>
  <si>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</si>
  <si>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</si>
  <si>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</si>
  <si>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</si>
  <si>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</si>
  <si>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</si>
  <si>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</si>
  <si>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</si>
  <si>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</si>
  <si>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</si>
  <si>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</si>
  <si>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</si>
  <si>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</si>
  <si>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</si>
  <si>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</si>
  <si>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</si>
  <si>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</si>
  <si>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</si>
  <si>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</si>
  <si>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</si>
  <si>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</si>
  <si>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</si>
  <si>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</si>
  <si>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</si>
  <si>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</si>
  <si>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</si>
  <si>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</si>
  <si>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</si>
  <si>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</si>
  <si>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</si>
  <si>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</si>
  <si>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</si>
  <si>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</si>
  <si>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</si>
  <si>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</si>
  <si>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</si>
  <si>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</si>
  <si>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</si>
  <si>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</si>
  <si>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</si>
  <si>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</si>
  <si>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</si>
  <si>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</si>
  <si>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</si>
  <si>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</si>
  <si>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</si>
  <si>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</si>
  <si>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</si>
  <si>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</si>
  <si>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</si>
  <si>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</si>
  <si>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</si>
  <si>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</si>
  <si>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</si>
  <si>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</si>
  <si>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</si>
  <si>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</si>
  <si>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</si>
  <si>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</si>
  <si>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</si>
  <si>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</si>
  <si>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</si>
  <si>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</si>
  <si>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</si>
  <si>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</si>
  <si>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</si>
  <si>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</si>
  <si>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</si>
  <si>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</si>
  <si>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</si>
  <si>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</si>
  <si>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</si>
  <si>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</si>
  <si>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</si>
  <si>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</si>
  <si>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</si>
  <si>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</si>
  <si>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</si>
  <si>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</si>
  <si>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</si>
  <si>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</si>
  <si>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</si>
  <si>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</si>
  <si>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</si>
  <si>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</si>
  <si>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</si>
  <si>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</si>
  <si>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</si>
  <si>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</si>
  <si>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</si>
  <si>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</si>
  <si>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</si>
  <si>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</si>
  <si>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</si>
  <si>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</si>
  <si>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</si>
  <si>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</si>
  <si>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</si>
  <si>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</si>
  <si>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</si>
  <si>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</si>
  <si>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</si>
  <si>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</si>
  <si>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</si>
  <si>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</si>
  <si>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</si>
  <si>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</si>
  <si>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</si>
  <si>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</si>
  <si>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</si>
  <si>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</si>
  <si>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</si>
  <si>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</si>
  <si>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</si>
  <si>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</si>
  <si>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</si>
  <si>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</si>
  <si>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</si>
  <si>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</si>
  <si>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</si>
  <si>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</si>
  <si>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</si>
  <si>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</si>
  <si>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</si>
  <si>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</si>
  <si>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</si>
  <si>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</si>
  <si>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</si>
  <si>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</si>
  <si>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</si>
  <si>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</si>
  <si>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</si>
  <si>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</si>
  <si>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</si>
  <si>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</si>
  <si>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</si>
  <si>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</si>
  <si>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</si>
  <si>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</si>
  <si>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</si>
  <si>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</si>
  <si>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</si>
  <si>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</si>
  <si>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</si>
  <si>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</si>
  <si>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</si>
  <si>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</si>
  <si>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</si>
  <si>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</si>
  <si>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</si>
  <si>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</si>
  <si>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</si>
  <si>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</si>
  <si>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</si>
  <si>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</si>
  <si>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</si>
  <si>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</si>
  <si>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</si>
  <si>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</si>
  <si>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</si>
  <si>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</si>
  <si>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</si>
  <si>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</si>
  <si>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</si>
  <si>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</si>
  <si>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</si>
  <si>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</si>
  <si>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</si>
  <si>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</si>
  <si>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</si>
  <si>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</si>
  <si>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</si>
  <si>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</si>
  <si>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</si>
  <si>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</si>
  <si>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</si>
  <si>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</si>
  <si>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</si>
  <si>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</si>
  <si>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</si>
  <si>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</si>
  <si>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</si>
  <si>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</si>
  <si>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</si>
  <si>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</si>
  <si>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</si>
  <si>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</si>
  <si>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</si>
  <si>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</si>
  <si>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</si>
  <si>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</si>
  <si>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</si>
  <si>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</si>
  <si>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</si>
  <si>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</si>
  <si>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</si>
  <si>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</si>
  <si>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</si>
  <si>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</si>
  <si>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</si>
  <si>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</si>
  <si>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</si>
  <si>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</si>
  <si>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</si>
  <si>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</si>
  <si>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</si>
  <si>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</si>
  <si>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</si>
  <si>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</si>
  <si>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</si>
  <si>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</si>
  <si>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</si>
  <si>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</si>
  <si>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</si>
  <si>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</si>
  <si>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</si>
  <si>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</si>
  <si>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</si>
  <si>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</si>
  <si>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</si>
  <si>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</si>
  <si>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</si>
  <si>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</si>
  <si>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</si>
  <si>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</si>
  <si>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</si>
  <si>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</si>
  <si>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</si>
  <si>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</si>
  <si>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</si>
  <si>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</si>
  <si>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</si>
  <si>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</si>
  <si>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</si>
  <si>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</si>
  <si>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</si>
  <si>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</si>
  <si>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</si>
  <si>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</si>
  <si>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</si>
  <si>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</si>
  <si>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</si>
  <si>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</si>
  <si>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</si>
  <si>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</si>
  <si>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</si>
  <si>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</si>
  <si>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</si>
  <si>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</si>
  <si>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</si>
  <si>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</si>
  <si>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</si>
  <si>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</si>
  <si>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</si>
  <si>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</si>
  <si>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</si>
  <si>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</si>
  <si>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</si>
  <si>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</si>
  <si>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</si>
  <si>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</si>
  <si>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</si>
  <si>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</si>
  <si>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</si>
  <si>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</si>
  <si>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</si>
  <si>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</si>
  <si>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</si>
  <si>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</si>
  <si>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</si>
  <si>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</si>
  <si>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</si>
  <si>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</si>
  <si>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</si>
  <si>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</si>
  <si>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</si>
  <si>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</si>
  <si>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</si>
  <si>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</si>
  <si>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</si>
  <si>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</si>
  <si>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</si>
  <si>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</si>
  <si>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</si>
  <si>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</si>
  <si>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</si>
  <si>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</si>
  <si>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</si>
  <si>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</si>
  <si>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</si>
  <si>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</si>
  <si>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</si>
  <si>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</si>
  <si>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</si>
  <si>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</si>
  <si>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</si>
  <si>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</si>
  <si>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</si>
  <si>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</si>
  <si>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</si>
  <si>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</si>
  <si>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</si>
  <si>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</si>
  <si>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</si>
  <si>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</si>
  <si>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</si>
  <si>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</si>
  <si>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</si>
  <si>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</si>
  <si>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</si>
  <si>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</si>
  <si>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</si>
  <si>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</si>
  <si>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</si>
  <si>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</si>
  <si>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</si>
  <si>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</si>
  <si>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</si>
  <si>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</si>
  <si>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</si>
  <si>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</si>
  <si>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</si>
  <si>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</si>
  <si>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</si>
  <si>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</si>
  <si>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</si>
  <si>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</si>
  <si>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</si>
  <si>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</si>
  <si>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</si>
  <si>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</si>
  <si>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</si>
  <si>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</si>
  <si>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</si>
  <si>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</si>
  <si>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</si>
  <si>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</si>
  <si>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</si>
  <si>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</si>
  <si>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</si>
  <si>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</si>
  <si>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</si>
  <si>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</si>
  <si>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</si>
  <si>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</si>
  <si>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</si>
  <si>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</si>
  <si>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</si>
  <si>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</si>
  <si>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</si>
  <si>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</si>
  <si>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</si>
  <si>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</si>
  <si>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</si>
  <si>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</si>
  <si>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</si>
  <si>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</si>
  <si>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</si>
  <si>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</si>
  <si>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</si>
  <si>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</si>
  <si>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</si>
  <si>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</si>
  <si>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</si>
  <si>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</si>
  <si>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</si>
  <si>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</si>
  <si>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</si>
  <si>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</si>
  <si>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</si>
  <si>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</si>
  <si>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</si>
  <si>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</si>
  <si>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</si>
  <si>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</si>
  <si>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</si>
  <si>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</si>
  <si>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</si>
  <si>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</si>
  <si>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</si>
  <si>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</si>
  <si>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</si>
  <si>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</si>
  <si>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</si>
  <si>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</si>
  <si>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</si>
  <si>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</si>
  <si>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</si>
  <si>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</si>
  <si>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</si>
  <si>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</si>
  <si>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</si>
  <si>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</si>
  <si>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</si>
  <si>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</si>
  <si>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</si>
  <si>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</si>
  <si>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</si>
  <si>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</si>
  <si>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</si>
  <si>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</si>
  <si>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</si>
  <si>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</si>
  <si>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</si>
  <si>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</si>
  <si>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</si>
  <si>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</si>
  <si>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</si>
  <si>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</si>
  <si>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</si>
  <si>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</si>
  <si>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</si>
  <si>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</si>
  <si>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</si>
  <si>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</si>
  <si>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</si>
  <si>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</si>
  <si>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</si>
  <si>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</si>
  <si>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</si>
  <si>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</si>
  <si>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</si>
  <si>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</si>
  <si>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</si>
  <si>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</si>
  <si>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</si>
  <si>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</si>
  <si>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</si>
  <si>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</si>
  <si>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</si>
  <si>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</si>
  <si>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</si>
  <si>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</si>
  <si>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</si>
  <si>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</si>
  <si>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</si>
  <si>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</si>
  <si>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</si>
  <si>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</si>
  <si>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</si>
  <si>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</si>
  <si>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</si>
  <si>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</si>
  <si>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</si>
  <si>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</si>
  <si>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</si>
  <si>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</si>
  <si>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</si>
  <si>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</si>
  <si>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</si>
  <si>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</si>
  <si>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</si>
  <si>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</si>
  <si>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</si>
  <si>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</si>
  <si>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</si>
  <si>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</si>
  <si>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</si>
  <si>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</si>
  <si>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</si>
  <si>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</si>
  <si>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</si>
  <si>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</si>
  <si>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</si>
  <si>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</si>
  <si>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</si>
  <si>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</si>
  <si>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</si>
  <si>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</si>
  <si>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</si>
  <si>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</si>
  <si>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</si>
  <si>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</si>
  <si>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</si>
  <si>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</si>
  <si>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</si>
  <si>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</si>
  <si>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</si>
  <si>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</si>
  <si>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</si>
  <si>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</si>
  <si>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</si>
  <si>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</si>
  <si>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</si>
  <si>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</si>
  <si>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</si>
  <si>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</si>
  <si>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</si>
  <si>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</si>
  <si>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</si>
  <si>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</si>
  <si>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</si>
  <si>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</si>
  <si>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</si>
  <si>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</si>
  <si>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</si>
  <si>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</si>
  <si>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</si>
  <si>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</si>
  <si>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</si>
  <si>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</si>
  <si>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</si>
  <si>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</si>
  <si>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</si>
  <si>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</si>
  <si>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</si>
  <si>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</si>
  <si>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</si>
  <si>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</si>
  <si>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</si>
  <si>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</si>
  <si>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</si>
  <si>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</si>
  <si>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</si>
  <si>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</si>
  <si>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</si>
  <si>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</si>
  <si>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</si>
  <si>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</si>
  <si>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</si>
  <si>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</si>
  <si>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</si>
  <si>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</si>
  <si>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</si>
  <si>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</si>
  <si>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</si>
  <si>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</si>
  <si>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</si>
  <si>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</si>
  <si>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</si>
  <si>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</si>
  <si>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</si>
  <si>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</si>
  <si>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</si>
  <si>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</si>
  <si>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</si>
  <si>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</si>
  <si>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</si>
  <si>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</si>
  <si>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</si>
  <si>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</si>
  <si>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</si>
  <si>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</si>
  <si>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</si>
  <si>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</si>
  <si>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</si>
  <si>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</si>
  <si>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</si>
  <si>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</si>
  <si>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</si>
  <si>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</si>
  <si>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</si>
  <si>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</si>
  <si>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</si>
  <si>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</si>
  <si>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</si>
  <si>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</si>
  <si>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</si>
  <si>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</si>
  <si>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</si>
  <si>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</si>
  <si>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</si>
  <si>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</si>
  <si>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</si>
  <si>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</si>
  <si>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</si>
  <si>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</si>
  <si>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</si>
  <si>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</si>
  <si>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</si>
  <si>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</si>
  <si>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</si>
  <si>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</si>
  <si>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</si>
  <si>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</si>
  <si>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</si>
  <si>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</si>
  <si>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</si>
  <si>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</si>
  <si>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</si>
  <si>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</si>
  <si>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</si>
  <si>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</si>
  <si>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</si>
  <si>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</si>
  <si>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</si>
  <si>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</si>
  <si>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</si>
  <si>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</si>
  <si>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</si>
  <si>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</si>
  <si>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</si>
  <si>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</si>
  <si>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</si>
  <si>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</si>
  <si>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</si>
  <si>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</si>
  <si>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</si>
  <si>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</si>
  <si>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</si>
  <si>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</si>
  <si>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</si>
  <si>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</si>
  <si>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</si>
  <si>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</si>
  <si>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</si>
  <si>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</si>
  <si>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</si>
  <si>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</si>
  <si>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</si>
  <si>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</si>
  <si>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</si>
  <si>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</si>
  <si>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</si>
  <si>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</si>
  <si>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</si>
  <si>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</si>
  <si>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</si>
  <si>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</si>
  <si>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</si>
  <si>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</si>
  <si>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</si>
  <si>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</si>
  <si>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</si>
  <si>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</si>
  <si>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</si>
  <si>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</si>
  <si>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</si>
  <si>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</si>
  <si>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</si>
  <si>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</si>
  <si>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</si>
  <si>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</si>
  <si>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</si>
  <si>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</si>
  <si>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</si>
  <si>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</si>
  <si>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</si>
  <si>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</si>
  <si>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</si>
  <si>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</si>
  <si>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</si>
  <si>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</si>
  <si>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</si>
  <si>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</si>
  <si>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</si>
  <si>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</si>
  <si>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</si>
  <si>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</si>
  <si>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</si>
  <si>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</si>
  <si>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</si>
  <si>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</si>
  <si>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</si>
  <si>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</si>
  <si>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</si>
  <si>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</si>
  <si>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</si>
  <si>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</si>
  <si>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</si>
  <si>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</si>
  <si>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</si>
  <si>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</si>
  <si>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</si>
  <si>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</si>
  <si>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</si>
  <si>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</si>
  <si>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</si>
  <si>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</si>
  <si>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</si>
  <si>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</si>
  <si>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</si>
  <si>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</si>
  <si>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</si>
  <si>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</si>
  <si>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</si>
  <si>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</si>
  <si>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</si>
  <si>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</si>
  <si>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</si>
  <si>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</si>
  <si>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</si>
  <si>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</si>
  <si>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</si>
  <si>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</si>
  <si>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</si>
  <si>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</si>
  <si>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</si>
  <si>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</si>
  <si>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</si>
  <si>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</si>
  <si>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</si>
  <si>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</si>
  <si>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</si>
  <si>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</si>
  <si>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</si>
  <si>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</si>
  <si>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</si>
  <si>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</si>
  <si>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</si>
  <si>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</si>
  <si>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</si>
  <si>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</si>
  <si>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</si>
  <si>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</si>
  <si>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</si>
  <si>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</si>
  <si>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</si>
  <si>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</si>
  <si>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</si>
  <si>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</si>
  <si>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</si>
  <si>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</si>
  <si>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</si>
  <si>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</si>
  <si>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</si>
  <si>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</si>
  <si>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</si>
  <si>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</si>
  <si>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</si>
  <si>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</si>
  <si>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</si>
  <si>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</si>
  <si>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</si>
  <si>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</si>
  <si>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</si>
  <si>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</si>
  <si>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</si>
  <si>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</si>
  <si>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</si>
  <si>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</si>
  <si>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</si>
  <si>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</si>
  <si>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</si>
  <si>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</si>
  <si>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</si>
  <si>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</si>
  <si>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</si>
  <si>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</si>
  <si>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</si>
  <si>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</si>
  <si>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</si>
  <si>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</si>
  <si>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</si>
  <si>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</si>
  <si>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</si>
  <si>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</si>
  <si>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</si>
  <si>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</si>
  <si>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</si>
  <si>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</si>
  <si>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</si>
  <si>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</si>
  <si>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</si>
  <si>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</si>
  <si>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</si>
  <si>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</si>
  <si>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</si>
  <si>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</si>
  <si>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</si>
  <si>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</si>
  <si>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</si>
  <si>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</si>
  <si>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</si>
  <si>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</si>
  <si>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</si>
  <si>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</si>
  <si>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</si>
  <si>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</si>
  <si>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</si>
  <si>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</si>
  <si>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</si>
  <si>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</si>
  <si>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</si>
  <si>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</si>
  <si>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</si>
  <si>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</si>
  <si>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</si>
  <si>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</si>
  <si>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</si>
  <si>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</si>
  <si>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</si>
  <si>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</si>
  <si>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</si>
  <si>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</si>
  <si>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</si>
  <si>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</si>
  <si>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</si>
  <si>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</si>
  <si>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</si>
  <si>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</si>
  <si>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</si>
  <si>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</si>
  <si>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</si>
  <si>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</si>
  <si>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</si>
  <si>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</si>
  <si>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</si>
  <si>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</si>
  <si>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</si>
  <si>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</si>
  <si>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</si>
  <si>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</si>
  <si>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</si>
  <si>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</si>
  <si>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</si>
  <si>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</si>
  <si>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</si>
  <si>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</si>
  <si>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</si>
  <si>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</si>
  <si>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</si>
  <si>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</si>
  <si>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</si>
  <si>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</si>
  <si>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</si>
  <si>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</si>
  <si>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</si>
  <si>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</si>
  <si>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</si>
  <si>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</si>
  <si>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</si>
  <si>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</si>
  <si>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</si>
  <si>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</si>
  <si>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</si>
  <si>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</si>
  <si>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</si>
  <si>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</si>
  <si>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</si>
  <si>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</si>
  <si>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</si>
  <si>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</si>
  <si>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</si>
  <si>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</si>
  <si>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</si>
  <si>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</si>
  <si>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</si>
  <si>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</si>
  <si>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</si>
  <si>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</si>
  <si>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</si>
  <si>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</si>
  <si>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</si>
  <si>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</si>
  <si>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</si>
  <si>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</si>
  <si>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</si>
  <si>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</si>
  <si>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</si>
  <si>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</si>
  <si>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</si>
  <si>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</si>
  <si>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</si>
  <si>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</si>
  <si>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</si>
  <si>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</si>
  <si>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</si>
  <si>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</si>
  <si>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</si>
  <si>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</si>
  <si>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</si>
  <si>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</si>
  <si>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</si>
  <si>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</si>
  <si>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</si>
  <si>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</si>
  <si>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</si>
  <si>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</si>
  <si>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</si>
  <si>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</si>
  <si>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</si>
  <si>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</si>
  <si>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</si>
  <si>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</si>
  <si>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</si>
  <si>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</si>
  <si>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</si>
  <si>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</si>
  <si>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</si>
  <si>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</si>
  <si>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</si>
  <si>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</si>
  <si>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</si>
  <si>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</si>
  <si>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</si>
  <si>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</si>
  <si>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</si>
  <si>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</si>
  <si>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</si>
  <si>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</si>
  <si>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</si>
  <si>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</si>
  <si>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</si>
  <si>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</si>
  <si>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</si>
  <si>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</si>
  <si>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</si>
  <si>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</si>
  <si>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</si>
  <si>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</si>
  <si>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</si>
  <si>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</si>
  <si>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</si>
  <si>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</si>
  <si>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</si>
  <si>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</si>
  <si>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</si>
  <si>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</si>
  <si>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</si>
  <si>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</si>
  <si>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</si>
  <si>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</si>
  <si>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</si>
  <si>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</si>
  <si>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</si>
  <si>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</si>
  <si>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</si>
  <si>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</si>
  <si>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</si>
  <si>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</si>
  <si>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</si>
  <si>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</si>
  <si>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</si>
  <si>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</si>
  <si>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</si>
  <si>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</si>
  <si>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</si>
  <si>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</si>
  <si>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</si>
  <si>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</si>
  <si>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</si>
  <si>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</si>
  <si>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</si>
  <si>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</si>
  <si>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</si>
  <si>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</si>
  <si>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</si>
  <si>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</si>
  <si>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</si>
  <si>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</si>
  <si>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</si>
  <si>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</si>
  <si>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</si>
  <si>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</si>
  <si>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</si>
  <si>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</si>
  <si>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</si>
  <si>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</si>
  <si>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</si>
  <si>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</si>
  <si>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</si>
  <si>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</si>
  <si>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</si>
  <si>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</si>
  <si>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</si>
  <si>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</si>
  <si>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</si>
  <si>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</si>
  <si>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</si>
  <si>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</si>
  <si>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</si>
  <si>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</si>
  <si>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</si>
  <si>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</si>
  <si>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</si>
  <si>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</si>
  <si>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</si>
  <si>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</si>
  <si>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</si>
  <si>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</si>
  <si>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</si>
  <si>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</si>
  <si>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</si>
  <si>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</si>
  <si>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</si>
  <si>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</si>
  <si>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</si>
  <si>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</si>
  <si>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</si>
  <si>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</si>
  <si>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</si>
  <si>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</si>
  <si>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</si>
  <si>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</si>
  <si>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</si>
  <si>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</si>
  <si>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</si>
  <si>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</si>
  <si>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</si>
  <si>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</si>
  <si>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</si>
  <si>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</si>
  <si>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</si>
  <si>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</si>
  <si>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</si>
  <si>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</si>
  <si>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</si>
  <si>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</si>
  <si>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</si>
  <si>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</si>
  <si>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</si>
  <si>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</si>
  <si>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</si>
  <si>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</si>
  <si>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</si>
  <si>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</si>
  <si>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</si>
  <si>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</si>
  <si>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</si>
  <si>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</si>
  <si>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</si>
  <si>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</si>
  <si>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</si>
  <si>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</si>
  <si>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</si>
  <si>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</si>
  <si>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</si>
  <si>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</si>
  <si>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</si>
  <si>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</si>
  <si>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</si>
  <si>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</si>
  <si>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</si>
  <si>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</si>
  <si>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</si>
  <si>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</si>
  <si>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</si>
  <si>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</si>
  <si>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</si>
  <si>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</si>
  <si>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</si>
  <si>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</si>
  <si>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</si>
  <si>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</si>
  <si>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</si>
  <si>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</si>
  <si>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</si>
  <si>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</si>
  <si>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</si>
  <si>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</si>
  <si>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</si>
  <si>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</si>
  <si>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</si>
  <si>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</si>
  <si>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</si>
  <si>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</si>
  <si>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</si>
  <si>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</si>
  <si>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</si>
  <si>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</si>
  <si>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</si>
  <si>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</si>
  <si>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</si>
  <si>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</si>
  <si>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</si>
  <si>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</si>
  <si>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</si>
  <si>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</si>
  <si>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</si>
  <si>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</si>
  <si>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</si>
  <si>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</si>
  <si>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</si>
  <si>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</si>
  <si>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</si>
  <si>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</si>
  <si>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</si>
  <si>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</si>
  <si>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</si>
  <si>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</si>
  <si>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</si>
  <si>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</si>
  <si>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</si>
  <si>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</si>
  <si>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</si>
  <si>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</si>
  <si>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</si>
  <si>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</si>
  <si>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</si>
  <si>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</si>
  <si>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</si>
  <si>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</si>
  <si>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</si>
  <si>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</si>
  <si>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</si>
  <si>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</si>
  <si>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</si>
  <si>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</si>
  <si>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</si>
  <si>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</si>
  <si>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</si>
  <si>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</si>
  <si>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</si>
  <si>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</si>
  <si>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</si>
  <si>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</si>
  <si>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</si>
  <si>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</si>
  <si>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</si>
  <si>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</si>
  <si>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</si>
  <si>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</si>
  <si>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</si>
  <si>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</si>
  <si>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</si>
  <si>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</si>
  <si>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</si>
  <si>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</si>
  <si>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</si>
  <si>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</si>
  <si>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</si>
  <si>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</si>
  <si>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</si>
  <si>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</si>
  <si>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</si>
  <si>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</si>
  <si>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</si>
  <si>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</si>
  <si>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</si>
  <si>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</si>
  <si>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</si>
  <si>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</si>
  <si>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</si>
  <si>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</si>
  <si>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</si>
  <si>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</si>
  <si>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</si>
  <si>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</si>
  <si>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</si>
  <si>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</si>
  <si>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</si>
  <si>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</si>
  <si>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</si>
  <si>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</si>
  <si>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</si>
  <si>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</si>
  <si>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</si>
  <si>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</si>
  <si>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</si>
  <si>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</si>
  <si>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</si>
  <si>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</si>
  <si>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</si>
  <si>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</si>
  <si>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</si>
  <si>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</si>
  <si>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</si>
  <si>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</si>
  <si>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</si>
  <si>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</si>
  <si>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</si>
  <si>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</si>
  <si>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</si>
  <si>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</si>
  <si>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</si>
  <si>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</si>
  <si>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</si>
  <si>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</si>
  <si>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</si>
  <si>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</si>
  <si>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</si>
  <si>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</si>
  <si>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</si>
  <si>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</si>
  <si>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</si>
  <si>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</si>
  <si>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</si>
  <si>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</si>
  <si>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</si>
  <si>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</si>
  <si>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</si>
  <si>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</si>
  <si>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</si>
  <si>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</si>
  <si>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</si>
  <si>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</si>
  <si>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</si>
  <si>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</si>
  <si>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</si>
  <si>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</si>
  <si>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</si>
  <si>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</si>
  <si>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</si>
  <si>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</si>
  <si>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</si>
  <si>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</si>
  <si>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</si>
  <si>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</si>
  <si>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</si>
  <si>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</si>
  <si>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</si>
  <si>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</si>
  <si>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</si>
  <si>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</si>
  <si>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</si>
  <si>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</si>
  <si>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</si>
  <si>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</si>
  <si>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</si>
  <si>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</si>
  <si>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</si>
  <si>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</si>
  <si>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</si>
  <si>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</si>
  <si>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</si>
  <si>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</si>
  <si>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</si>
  <si>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</si>
  <si>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</si>
  <si>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</si>
  <si>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</si>
  <si>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</si>
  <si>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</si>
  <si>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</si>
  <si>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</si>
  <si>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</si>
  <si>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</si>
  <si>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</si>
  <si>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</si>
  <si>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</si>
  <si>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</si>
  <si>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</si>
  <si>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</si>
  <si>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</si>
  <si>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</si>
  <si>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</si>
  <si>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</si>
  <si>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</si>
  <si>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</si>
  <si>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</si>
  <si>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</si>
  <si>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</si>
  <si>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</si>
  <si>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</si>
  <si>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</si>
  <si>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</si>
  <si>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</si>
  <si>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</si>
  <si>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</si>
  <si>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</si>
  <si>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</si>
  <si>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</si>
  <si>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</si>
  <si>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</si>
  <si>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</si>
  <si>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</si>
  <si>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</si>
  <si>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</si>
  <si>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</si>
  <si>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</si>
  <si>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</si>
  <si>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</si>
  <si>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</si>
  <si>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</si>
  <si>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</si>
  <si>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</si>
  <si>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</si>
  <si>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</si>
  <si>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崔锴</t>
  </si>
  <si>
    <t>郑燚</t>
  </si>
  <si>
    <t>中国银行</t>
    <phoneticPr fontId="7" type="noConversion"/>
  </si>
  <si>
    <t>抵押</t>
  </si>
  <si>
    <t>房地产抵押价值</t>
  </si>
  <si>
    <t>北京市</t>
  </si>
  <si>
    <t>昌平区</t>
    <phoneticPr fontId="7" type="noConversion"/>
  </si>
  <si>
    <t>自然人</t>
  </si>
  <si>
    <t>陈庆文</t>
    <phoneticPr fontId="7" type="noConversion"/>
  </si>
  <si>
    <r>
      <rPr>
        <sz val="10"/>
        <color indexed="8"/>
        <rFont val="宋体"/>
        <family val="3"/>
        <charset val="134"/>
      </rPr>
      <t>生命园路</t>
    </r>
    <r>
      <rPr>
        <sz val="10"/>
        <color indexed="8"/>
        <rFont val="Arial"/>
        <family val="2"/>
      </rPr>
      <t>4</t>
    </r>
    <r>
      <rPr>
        <sz val="10"/>
        <color indexed="8"/>
        <rFont val="宋体"/>
        <family val="3"/>
        <charset val="134"/>
      </rPr>
      <t>号院</t>
    </r>
    <r>
      <rPr>
        <sz val="10"/>
        <color indexed="8"/>
        <rFont val="Arial"/>
        <family val="2"/>
      </rPr>
      <t>1</t>
    </r>
    <r>
      <rPr>
        <sz val="10"/>
        <color indexed="8"/>
        <rFont val="宋体"/>
        <family val="3"/>
        <charset val="134"/>
      </rPr>
      <t>号楼</t>
    </r>
    <r>
      <rPr>
        <sz val="10"/>
        <color indexed="8"/>
        <rFont val="Arial"/>
        <family val="2"/>
      </rPr>
      <t>6</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701</t>
    </r>
    <phoneticPr fontId="7" type="noConversion"/>
  </si>
  <si>
    <t>办公</t>
  </si>
  <si>
    <t>办公</t>
    <phoneticPr fontId="7" type="noConversion"/>
  </si>
  <si>
    <t>与房产证证载一致</t>
  </si>
  <si>
    <t>楼面单价</t>
  </si>
  <si>
    <t>无租约</t>
  </si>
  <si>
    <t>是</t>
  </si>
  <si>
    <t>利息：取LPR加浮动点数</t>
  </si>
  <si>
    <t>较好</t>
    <phoneticPr fontId="20" type="noConversion"/>
  </si>
  <si>
    <t>一般</t>
    <phoneticPr fontId="35" type="noConversion"/>
  </si>
  <si>
    <t>七通</t>
  </si>
  <si>
    <t>七通</t>
    <phoneticPr fontId="20" type="noConversion"/>
  </si>
  <si>
    <t>高速公路</t>
    <phoneticPr fontId="26" type="noConversion"/>
  </si>
  <si>
    <t>城市快速路</t>
    <phoneticPr fontId="26" type="noConversion"/>
  </si>
  <si>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</si>
  <si>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</si>
  <si>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</si>
  <si>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</si>
  <si>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</si>
  <si>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</si>
  <si>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</si>
  <si>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</si>
  <si>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高层</t>
  </si>
  <si>
    <t>高层</t>
    <phoneticPr fontId="26" type="noConversion"/>
  </si>
  <si>
    <t>钢混</t>
  </si>
  <si>
    <t>钢混</t>
    <phoneticPr fontId="26" type="noConversion"/>
  </si>
  <si>
    <t>精装修</t>
  </si>
  <si>
    <t>精装修</t>
    <phoneticPr fontId="26" type="noConversion"/>
  </si>
  <si>
    <t>普通装修</t>
  </si>
  <si>
    <t>普通装修</t>
    <phoneticPr fontId="26" type="noConversion"/>
  </si>
  <si>
    <t>简单装修</t>
    <phoneticPr fontId="26" type="noConversion"/>
  </si>
  <si>
    <t>毛坯</t>
    <phoneticPr fontId="26" type="noConversion"/>
  </si>
  <si>
    <t>非生产用房</t>
  </si>
  <si>
    <t>比较法-办公</t>
  </si>
  <si>
    <t>收益法</t>
  </si>
  <si>
    <r>
      <t>中介市调2</t>
    </r>
    <r>
      <rPr>
        <sz val="11"/>
        <color theme="1"/>
        <rFont val="宋体"/>
        <family val="3"/>
        <charset val="134"/>
        <scheme val="minor"/>
      </rPr>
      <t>.7-2.8可成交</t>
    </r>
    <phoneticPr fontId="146" type="noConversion"/>
  </si>
  <si>
    <r>
      <t>博雅C</t>
    </r>
    <r>
      <rPr>
        <sz val="11"/>
        <color theme="1"/>
        <rFont val="宋体"/>
        <family val="3"/>
        <charset val="134"/>
        <scheme val="minor"/>
      </rPr>
      <t>C</t>
    </r>
    <phoneticPr fontId="146" type="noConversion"/>
  </si>
  <si>
    <t>中关村生命科学园</t>
    <phoneticPr fontId="146" type="noConversion"/>
  </si>
  <si>
    <t>面积</t>
    <phoneticPr fontId="146" type="noConversion"/>
  </si>
  <si>
    <t>装修</t>
    <phoneticPr fontId="146" type="noConversion"/>
  </si>
  <si>
    <t>普通</t>
    <phoneticPr fontId="146" type="noConversion"/>
  </si>
  <si>
    <t>单价</t>
    <phoneticPr fontId="146" type="noConversion"/>
  </si>
  <si>
    <t>办公</t>
    <phoneticPr fontId="26" type="noConversion"/>
  </si>
  <si>
    <t>30-40（含）</t>
  </si>
  <si>
    <t>昌平区生命园路4号院</t>
    <phoneticPr fontId="146" type="noConversion"/>
  </si>
  <si>
    <t>1号楼</t>
    <phoneticPr fontId="146" type="noConversion"/>
  </si>
  <si>
    <t>6层</t>
    <phoneticPr fontId="146" type="noConversion"/>
  </si>
  <si>
    <t>3单元</t>
    <phoneticPr fontId="146" type="noConversion"/>
  </si>
  <si>
    <t>正常操作</t>
  </si>
  <si>
    <t>偏实际成交</t>
    <phoneticPr fontId="8" type="noConversion"/>
  </si>
  <si>
    <t>崔锴同意单价水平</t>
    <phoneticPr fontId="8" type="noConversion"/>
  </si>
  <si>
    <t>银行需求</t>
    <phoneticPr fontId="8" type="noConversion"/>
  </si>
  <si>
    <t>万元</t>
    <phoneticPr fontId="8" type="noConversion"/>
  </si>
  <si>
    <t>普通装修</t>
    <phoneticPr fontId="146" type="noConversion"/>
  </si>
  <si>
    <t>仅计算典型户型</t>
  </si>
  <si>
    <t>万元</t>
  </si>
  <si>
    <t>朝向</t>
    <phoneticPr fontId="20" type="noConversion"/>
  </si>
  <si>
    <t>东</t>
  </si>
  <si>
    <t>东</t>
    <phoneticPr fontId="20" type="noConversion"/>
  </si>
  <si>
    <t>西</t>
  </si>
  <si>
    <t>西</t>
    <phoneticPr fontId="20" type="noConversion"/>
  </si>
  <si>
    <t>装修</t>
    <phoneticPr fontId="20" type="noConversion"/>
  </si>
  <si>
    <t>普通装修</t>
    <phoneticPr fontId="20" type="noConversion"/>
  </si>
  <si>
    <t>估价对象1（结果表1修多）</t>
  </si>
  <si>
    <t>TBD云集中心</t>
    <phoneticPr fontId="146" type="noConversion"/>
  </si>
  <si>
    <t>专业物业</t>
  </si>
  <si>
    <t>专业物业</t>
    <phoneticPr fontId="26" type="noConversion"/>
  </si>
  <si>
    <t>五通</t>
  </si>
  <si>
    <t>较好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</si>
</sst>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256201</xdr:colOff>
      <xdr:row>6</xdr:row>
      <xdr:rowOff>104633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800001" cy="1133333"/>
        </a:xfrm>
        <a:prstGeom prst="rect">
          <a:avLst/>
        </a:prstGeom>
      </xdr:spPr>
    </xdr:pic>
    <xdr:clientData/>
  </xdr:twoCellAnchor>
  <xdr:twoCellAnchor editAs="oneCell">
    <xdr:from>
      <xdr:col>11</xdr:col>
      <xdr:colOff>219075</xdr:colOff>
      <xdr:row>0</xdr:row>
      <xdr:rowOff>57150</xdr:rowOff>
    </xdr:from>
    <xdr:to>
      <xdr:col>22</xdr:col>
      <xdr:colOff>456228</xdr:colOff>
      <xdr:row>7</xdr:row>
      <xdr:rowOff>37952</xdr:rowOff>
    </xdr:to>
    <xdr:pic>
      <xdr:nvPicPr>
        <xdr:cNvPr id="3" name="图片 2"/>
        <xdr:cNvPicPr>
          <a:picLocks noChangeAspect="1"/>
        </xdr:cNvPicPr>
      </xdr:nvPicPr>
      <xdr:blipFill>
        <a:blip xmlns:r="http://schemas.openxmlformats.org/officeDocument/2006/relationships" r:embed="rId2"/>
        <a:stretch>
          <a:fillRect/>
        </a:stretch>
      </xdr:blipFill>
      <xdr:spPr>
        <a:xfrm>
          <a:off x="7762875" y="57150"/>
          <a:ext cx="7780953" cy="1180952"/>
        </a:xfrm>
        <a:prstGeom prst="rect">
          <a:avLst/>
        </a:prstGeom>
      </xdr:spPr>
    </xdr:pic>
    <xdr:clientData/>
  </xdr:twoCellAnchor>
  <xdr:twoCellAnchor editAs="oneCell">
    <xdr:from>
      <xdr:col>11</xdr:col>
      <xdr:colOff>209550</xdr:colOff>
      <xdr:row>6</xdr:row>
      <xdr:rowOff>38100</xdr:rowOff>
    </xdr:from>
    <xdr:to>
      <xdr:col>22</xdr:col>
      <xdr:colOff>341941</xdr:colOff>
      <xdr:row>14</xdr:row>
      <xdr:rowOff>37929</xdr:rowOff>
    </xdr:to>
    <xdr:pic>
      <xdr:nvPicPr>
        <xdr:cNvPr id="4" name="图片 3"/>
        <xdr:cNvPicPr>
          <a:picLocks noChangeAspect="1"/>
        </xdr:cNvPicPr>
      </xdr:nvPicPr>
      <xdr:blipFill>
        <a:blip xmlns:r="http://schemas.openxmlformats.org/officeDocument/2006/relationships" r:embed="rId3"/>
        <a:stretch>
          <a:fillRect/>
        </a:stretch>
      </xdr:blipFill>
      <xdr:spPr>
        <a:xfrm>
          <a:off x="7753350" y="1066800"/>
          <a:ext cx="7676191" cy="1371429"/>
        </a:xfrm>
        <a:prstGeom prst="rect">
          <a:avLst/>
        </a:prstGeom>
      </xdr:spPr>
    </xdr:pic>
    <xdr:clientData/>
  </xdr:twoCellAnchor>
  <xdr:twoCellAnchor editAs="oneCell">
    <xdr:from>
      <xdr:col>11</xdr:col>
      <xdr:colOff>85725</xdr:colOff>
      <xdr:row>14</xdr:row>
      <xdr:rowOff>152400</xdr:rowOff>
    </xdr:from>
    <xdr:to>
      <xdr:col>22</xdr:col>
      <xdr:colOff>284783</xdr:colOff>
      <xdr:row>37</xdr:row>
      <xdr:rowOff>113812</xdr:rowOff>
    </xdr:to>
    <xdr:pic>
      <xdr:nvPicPr>
        <xdr:cNvPr id="5" name="图片 4"/>
        <xdr:cNvPicPr>
          <a:picLocks noChangeAspect="1"/>
        </xdr:cNvPicPr>
      </xdr:nvPicPr>
      <xdr:blipFill>
        <a:blip xmlns:r="http://schemas.openxmlformats.org/officeDocument/2006/relationships" r:embed="rId4"/>
        <a:stretch>
          <a:fillRect/>
        </a:stretch>
      </xdr:blipFill>
      <xdr:spPr>
        <a:xfrm>
          <a:off x="7629525" y="2552700"/>
          <a:ext cx="7742858" cy="3904762"/>
        </a:xfrm>
        <a:prstGeom prst="rect">
          <a:avLst/>
        </a:prstGeom>
      </xdr:spPr>
    </xdr:pic>
    <xdr:clientData/>
  </xdr:twoCellAnchor>
  <xdr:twoCellAnchor editAs="oneCell">
    <xdr:from>
      <xdr:col>0</xdr:col>
      <xdr:colOff>0</xdr:colOff>
      <xdr:row>7</xdr:row>
      <xdr:rowOff>0</xdr:rowOff>
    </xdr:from>
    <xdr:to>
      <xdr:col>11</xdr:col>
      <xdr:colOff>113343</xdr:colOff>
      <xdr:row>14</xdr:row>
      <xdr:rowOff>56993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00150"/>
          <a:ext cx="7657143" cy="1257143"/>
        </a:xfrm>
        <a:prstGeom prst="rect">
          <a:avLst/>
        </a:prstGeom>
      </xdr:spPr>
    </xdr:pic>
    <xdr:clientData/>
  </xdr:twoCellAnchor>
  <xdr:twoCellAnchor editAs="oneCell">
    <xdr:from>
      <xdr:col>1</xdr:col>
      <xdr:colOff>0</xdr:colOff>
      <xdr:row>15</xdr:row>
      <xdr:rowOff>0</xdr:rowOff>
    </xdr:from>
    <xdr:to>
      <xdr:col>13</xdr:col>
      <xdr:colOff>227543</xdr:colOff>
      <xdr:row>40</xdr:row>
      <xdr:rowOff>151846</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2571750"/>
          <a:ext cx="8457143" cy="4438096"/>
        </a:xfrm>
        <a:prstGeom prst="rect">
          <a:avLst/>
        </a:prstGeom>
      </xdr:spPr>
    </xdr:pic>
    <xdr:clientData/>
  </xdr:twoCellAnchor>
  <xdr:twoCellAnchor editAs="oneCell">
    <xdr:from>
      <xdr:col>1</xdr:col>
      <xdr:colOff>0</xdr:colOff>
      <xdr:row>48</xdr:row>
      <xdr:rowOff>0</xdr:rowOff>
    </xdr:from>
    <xdr:to>
      <xdr:col>13</xdr:col>
      <xdr:colOff>398972</xdr:colOff>
      <xdr:row>91</xdr:row>
      <xdr:rowOff>56222</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8229600"/>
          <a:ext cx="8628572" cy="74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8</xdr:col>
      <xdr:colOff>675410</xdr:colOff>
      <xdr:row>32</xdr:row>
      <xdr:rowOff>75805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400300"/>
          <a:ext cx="6923810" cy="31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崔锴（注册号:1120100036）、郑燚（注册号:1120070131)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估价对象为北京市房地产，为陈庆文所有。根据《》[]，估价对象建筑面积为718.89平方米。根据《》[]，估价对象（分摊）出让国有建设用地使用权面积为平方米。估价对象用途为。</v>
      </c>
    </row>
    <row r="8" spans="1:2">
      <c r="A8" s="1181" t="s">
        <v>1045</v>
      </c>
      <c r="B8" s="1168" t="str">
        <f>'预评函-1'!A8</f>
        <v>为估价委托人在向中国银行办理贷款手续过程中，确定房地产抵押贷款额度提供参考依据而评估房地产抵押价值。</v>
      </c>
    </row>
    <row r="9" spans="1:2">
      <c r="A9" s="1181" t="s">
        <v>1046</v>
      </c>
      <c r="B9" s="1168" t="str">
        <f>'预评函-1'!A10</f>
        <v>2022年4月13日（评估专业人员实地查勘之日）</v>
      </c>
    </row>
    <row r="10" spans="1:2">
      <c r="A10" s="1181" t="s">
        <v>1047</v>
      </c>
      <c r="B10" s="1168" t="str">
        <f>'预评函-1'!A13</f>
        <v>本次估价的“房地产价值”是指在正常市场情况下，在价值时点2022年4月13日，估价对象规划用途为，假定未设立法定优先受偿款下的房地产市场价值。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718.89</v>
      </c>
    </row>
    <row r="19" spans="1:2">
      <c r="A19" s="1181" t="s">
        <v>1056</v>
      </c>
      <c r="B19" s="1168">
        <f ca="1">'预评函-2（1）'!D7</f>
        <v>1812</v>
      </c>
    </row>
    <row r="20" spans="1:2">
      <c r="A20" s="1181" t="s">
        <v>1094</v>
      </c>
      <c r="B20" s="1168" t="str">
        <f>'预评函-2（1）'!C7</f>
        <v>总价（万元）</v>
      </c>
    </row>
    <row r="21" spans="1:2">
      <c r="A21" s="1181" t="s">
        <v>1057</v>
      </c>
      <c r="B21" s="1168">
        <f ca="1">'预评函-2（1）'!D9</f>
        <v>25206</v>
      </c>
    </row>
    <row r="22" spans="1:2">
      <c r="A22" s="1181" t="s">
        <v>1058</v>
      </c>
      <c r="B22" s="1168" t="str">
        <f ca="1">'预评函-2（1）'!D8</f>
        <v>壹仟捌佰壹拾贰万元整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1812</v>
      </c>
    </row>
    <row r="30" spans="1:2">
      <c r="A30" s="1181" t="s">
        <v>1064</v>
      </c>
      <c r="B30" s="1168" t="str">
        <f ca="1">'预评函-2（1）'!D16</f>
        <v>壹仟捌佰壹拾贰万元整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崔锴</v>
      </c>
    </row>
    <row r="53" spans="1:2">
      <c r="A53" s="1181" t="s">
        <v>1086</v>
      </c>
      <c r="B53" s="1168">
        <f ca="1">'预评函-3'!B4</f>
        <v>1120100036</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25206</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E39" sqref="E3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8" t="s">
        <v>1470</v>
      </c>
      <c r="B1" s="2559"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60">
        <v>44664</v>
      </c>
      <c r="C2" s="2858" t="s">
        <v>1473</v>
      </c>
      <c r="D2" s="2560">
        <f>B2</f>
        <v>44664</v>
      </c>
      <c r="E2" s="824"/>
      <c r="F2" s="824"/>
      <c r="G2" s="1163"/>
      <c r="H2" s="2870"/>
    </row>
    <row r="3" spans="1:17" ht="13.5" thickBot="1">
      <c r="A3" s="2561" t="s">
        <v>1474</v>
      </c>
      <c r="B3" s="2562" t="s">
        <v>2976</v>
      </c>
      <c r="C3" s="2563">
        <f ca="1">SUMIF(注册房地产估价师,B3,估价师及机构信息!B3:B16)</f>
        <v>1120100036</v>
      </c>
      <c r="D3" s="2562" t="s">
        <v>2977</v>
      </c>
      <c r="E3" s="2564">
        <f ca="1">SUMIF(注册房地产估价师,D3,估价师及机构信息!B3:B16)</f>
        <v>1120070131</v>
      </c>
      <c r="F3" s="825"/>
      <c r="G3" s="1164"/>
      <c r="H3" s="2870"/>
    </row>
    <row r="4" spans="1:17" ht="13.5" customHeight="1" thickTop="1">
      <c r="A4" s="1397" t="s">
        <v>1475</v>
      </c>
      <c r="B4" s="1398" t="s">
        <v>2660</v>
      </c>
      <c r="C4" s="2859" t="s">
        <v>1476</v>
      </c>
      <c r="D4" s="1399" t="s">
        <v>2979</v>
      </c>
      <c r="E4" s="824"/>
      <c r="F4" s="824"/>
      <c r="G4" s="1163"/>
    </row>
    <row r="5" spans="1:17">
      <c r="A5" s="1400" t="s">
        <v>1477</v>
      </c>
      <c r="B5" s="3314" t="s">
        <v>2978</v>
      </c>
      <c r="C5" s="2860" t="s">
        <v>1478</v>
      </c>
      <c r="D5" s="1402" t="s">
        <v>2980</v>
      </c>
      <c r="E5" s="2861" t="s">
        <v>1479</v>
      </c>
      <c r="F5" s="1402" t="s">
        <v>2980</v>
      </c>
      <c r="G5" s="1403" t="s">
        <v>1183</v>
      </c>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5" t="s">
        <v>2981</v>
      </c>
      <c r="C6" s="3315" t="s">
        <v>2982</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2983</v>
      </c>
      <c r="C7" s="1493" t="str">
        <f>IF(B7="自然人","姓名","名称")</f>
        <v>姓名</v>
      </c>
      <c r="D7" s="3316" t="s">
        <v>2984</v>
      </c>
      <c r="E7" s="825"/>
      <c r="F7" s="825"/>
      <c r="G7" s="1164"/>
    </row>
    <row r="8" spans="1:17" ht="13.5" thickTop="1">
      <c r="A8" s="3391" t="s">
        <v>1483</v>
      </c>
      <c r="B8" s="1407" t="s">
        <v>1484</v>
      </c>
      <c r="C8" s="3403" t="s">
        <v>2985</v>
      </c>
      <c r="D8" s="3404"/>
      <c r="E8" s="2568" t="s">
        <v>1485</v>
      </c>
      <c r="F8" s="2569" t="s">
        <v>1486</v>
      </c>
      <c r="G8" s="2570" t="str">
        <f>C6</f>
        <v>昌平区</v>
      </c>
    </row>
    <row r="9" spans="1:17" ht="25.5">
      <c r="A9" s="3391"/>
      <c r="B9" s="259" t="s">
        <v>1487</v>
      </c>
      <c r="C9" s="3314" t="s">
        <v>2987</v>
      </c>
      <c r="D9" s="1408" t="s">
        <v>2988</v>
      </c>
      <c r="E9" s="2864" t="s">
        <v>1488</v>
      </c>
      <c r="F9" s="2571"/>
      <c r="G9" s="2572"/>
    </row>
    <row r="10" spans="1:17" ht="13.5" thickBot="1">
      <c r="A10" s="3391"/>
      <c r="B10" s="259" t="s">
        <v>1489</v>
      </c>
      <c r="C10" s="3405"/>
      <c r="D10" s="3406"/>
      <c r="E10" s="2865" t="s">
        <v>1490</v>
      </c>
      <c r="F10" s="2573"/>
      <c r="G10" s="2574"/>
    </row>
    <row r="11" spans="1:17" ht="13.5" thickBot="1">
      <c r="A11" s="3391"/>
      <c r="B11" s="1410" t="s">
        <v>1491</v>
      </c>
      <c r="C11" s="3407"/>
      <c r="D11" s="3408"/>
      <c r="E11" s="811"/>
      <c r="F11" s="811"/>
      <c r="G11" s="830"/>
    </row>
    <row r="12" spans="1:17" ht="13.5" thickBot="1">
      <c r="A12" s="3394" t="s">
        <v>2767</v>
      </c>
      <c r="B12" s="2866" t="s">
        <v>1492</v>
      </c>
      <c r="C12" s="808">
        <v>718.89</v>
      </c>
      <c r="D12" s="1411" t="s">
        <v>1493</v>
      </c>
      <c r="E12" s="1412"/>
      <c r="F12" s="1413"/>
      <c r="G12" s="830"/>
    </row>
    <row r="13" spans="1:17" ht="21" customHeight="1" thickBot="1">
      <c r="A13" s="3395"/>
      <c r="B13" s="2867" t="s">
        <v>1494</v>
      </c>
      <c r="C13" s="809"/>
      <c r="D13" s="1414" t="s">
        <v>1495</v>
      </c>
      <c r="E13" s="1415"/>
      <c r="F13" s="811"/>
      <c r="G13" s="830"/>
      <c r="I13" s="3380"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2768</v>
      </c>
      <c r="C14" s="2576"/>
      <c r="D14" s="811"/>
      <c r="E14" s="811"/>
      <c r="F14" s="811"/>
      <c r="G14" s="830"/>
      <c r="I14" s="338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c r="D15" s="825"/>
      <c r="E15" s="825"/>
      <c r="F15" s="825"/>
      <c r="G15" s="1164"/>
      <c r="I15" s="338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6" t="s">
        <v>1499</v>
      </c>
      <c r="C16" s="2578"/>
      <c r="D16" s="1409" t="s">
        <v>1500</v>
      </c>
      <c r="E16" s="2579"/>
      <c r="F16" s="1417" t="str">
        <f>IF(AND(C16="是",E16="否"),"是否提供他项权证或相关说明","")</f>
        <v/>
      </c>
      <c r="G16" s="2579"/>
      <c r="J16" s="2870"/>
    </row>
    <row r="17" spans="1:66" ht="13.5" customHeight="1">
      <c r="A17" s="1423" t="s">
        <v>1501</v>
      </c>
      <c r="B17" s="3409" t="s">
        <v>1502</v>
      </c>
      <c r="C17" s="3410"/>
      <c r="D17" s="3411" t="s">
        <v>1503</v>
      </c>
      <c r="E17" s="3412"/>
      <c r="F17" s="1418" t="s">
        <v>1504</v>
      </c>
      <c r="G17" s="1419"/>
      <c r="J17" s="2870"/>
    </row>
    <row r="18" spans="1:66" ht="24">
      <c r="A18" s="1423"/>
      <c r="B18" s="2580"/>
      <c r="C18" s="1403"/>
      <c r="D18" s="1420" t="s">
        <v>1505</v>
      </c>
      <c r="E18" s="1421"/>
      <c r="F18" s="1422"/>
      <c r="G18" s="1287"/>
      <c r="H18" s="2870"/>
      <c r="J18" s="2870"/>
    </row>
    <row r="19" spans="1:66" ht="21.75" customHeight="1" thickBot="1">
      <c r="A19" s="1423"/>
      <c r="B19" s="2581"/>
      <c r="C19" s="1415"/>
      <c r="D19" s="1423"/>
      <c r="E19" s="811"/>
      <c r="F19" s="811"/>
      <c r="G19" s="1287"/>
    </row>
    <row r="20" spans="1:66">
      <c r="A20" s="1419" t="s">
        <v>1506</v>
      </c>
      <c r="B20" s="2582" t="s">
        <v>1507</v>
      </c>
      <c r="C20" s="2583"/>
      <c r="D20" s="2584" t="s">
        <v>1507</v>
      </c>
      <c r="E20" s="2583"/>
      <c r="F20" s="811"/>
      <c r="G20" s="1287"/>
    </row>
    <row r="21" spans="1:66">
      <c r="A21" s="1287"/>
      <c r="B21" s="2585" t="s">
        <v>1508</v>
      </c>
      <c r="C21" s="2853"/>
      <c r="D21" s="1423"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90" t="s">
        <v>2766</v>
      </c>
      <c r="B24" s="3390"/>
      <c r="C24" s="3390"/>
      <c r="D24" s="3390"/>
      <c r="E24" s="3390"/>
      <c r="F24" s="3390"/>
      <c r="G24" s="339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97" t="s">
        <v>1516</v>
      </c>
      <c r="D28" s="3398"/>
      <c r="E28" s="801"/>
      <c r="F28" s="803" t="s">
        <v>1516</v>
      </c>
      <c r="G28" s="801"/>
      <c r="K28" s="2871"/>
    </row>
    <row r="29" spans="1:66">
      <c r="A29" s="804" t="s">
        <v>1517</v>
      </c>
      <c r="B29" s="798"/>
      <c r="C29" s="3399" t="s">
        <v>1518</v>
      </c>
      <c r="D29" s="3400"/>
      <c r="E29" s="798"/>
      <c r="F29" s="804" t="s">
        <v>1518</v>
      </c>
      <c r="G29" s="798"/>
      <c r="K29" s="2871"/>
    </row>
    <row r="30" spans="1:66">
      <c r="A30" s="804" t="s">
        <v>1519</v>
      </c>
      <c r="B30" s="798"/>
      <c r="C30" s="3399" t="s">
        <v>1519</v>
      </c>
      <c r="D30" s="3400"/>
      <c r="E30" s="798"/>
      <c r="F30" s="804" t="s">
        <v>1520</v>
      </c>
      <c r="G30" s="798"/>
      <c r="K30" s="2871"/>
    </row>
    <row r="31" spans="1:66">
      <c r="A31" s="804" t="s">
        <v>1521</v>
      </c>
      <c r="B31" s="798"/>
      <c r="C31" s="3387" t="s">
        <v>1522</v>
      </c>
      <c r="D31" s="811"/>
      <c r="E31" s="2594" t="str">
        <f>E32&amp;" "&amp;E33&amp;" "&amp;E34&amp;" "&amp;E35</f>
        <v xml:space="preserve">   </v>
      </c>
      <c r="F31" s="804" t="s">
        <v>1523</v>
      </c>
      <c r="G31" s="798"/>
    </row>
    <row r="32" spans="1:66">
      <c r="A32" s="804" t="s">
        <v>1524</v>
      </c>
      <c r="B32" s="798"/>
      <c r="C32" s="3388"/>
      <c r="D32" s="259" t="s">
        <v>1525</v>
      </c>
      <c r="E32" s="798"/>
      <c r="F32" s="804" t="s">
        <v>1526</v>
      </c>
      <c r="G32" s="798"/>
    </row>
    <row r="33" spans="1:7" ht="24.75" thickBot="1">
      <c r="A33" s="805" t="s">
        <v>1527</v>
      </c>
      <c r="B33" s="802"/>
      <c r="C33" s="3388"/>
      <c r="D33" s="259" t="s">
        <v>1528</v>
      </c>
      <c r="E33" s="798"/>
      <c r="F33" s="804" t="s">
        <v>1529</v>
      </c>
      <c r="G33" s="798"/>
    </row>
    <row r="34" spans="1:7">
      <c r="A34" s="803" t="s">
        <v>1530</v>
      </c>
      <c r="B34" s="801"/>
      <c r="C34" s="3388"/>
      <c r="D34" s="259" t="s">
        <v>1531</v>
      </c>
      <c r="E34" s="798"/>
      <c r="F34" s="804" t="s">
        <v>1532</v>
      </c>
      <c r="G34" s="798"/>
    </row>
    <row r="35" spans="1:7" ht="13.5" thickBot="1">
      <c r="A35" s="804" t="s">
        <v>1533</v>
      </c>
      <c r="B35" s="798"/>
      <c r="C35" s="3389"/>
      <c r="D35" s="259" t="s">
        <v>1534</v>
      </c>
      <c r="E35" s="798"/>
      <c r="F35" s="805" t="s">
        <v>1535</v>
      </c>
      <c r="G35" s="2595"/>
    </row>
    <row r="36" spans="1:7">
      <c r="A36" s="804" t="s">
        <v>1492</v>
      </c>
      <c r="B36" s="798"/>
      <c r="C36" s="3399" t="s">
        <v>1536</v>
      </c>
      <c r="D36" s="3400"/>
      <c r="E36" s="798"/>
      <c r="F36" s="2596" t="s">
        <v>1537</v>
      </c>
      <c r="G36" s="801"/>
    </row>
    <row r="37" spans="1:7" ht="13.5" thickBot="1">
      <c r="A37" s="804" t="s">
        <v>1538</v>
      </c>
      <c r="B37" s="798"/>
      <c r="C37" s="3401" t="s">
        <v>1539</v>
      </c>
      <c r="D37" s="3402"/>
      <c r="E37" s="802"/>
      <c r="F37" s="1431" t="s">
        <v>1540</v>
      </c>
      <c r="G37" s="798"/>
    </row>
    <row r="38" spans="1:7" ht="13.5" thickBot="1">
      <c r="A38" s="804" t="s">
        <v>1541</v>
      </c>
      <c r="B38" s="798"/>
      <c r="C38" s="3385" t="s">
        <v>1542</v>
      </c>
      <c r="D38" s="1411" t="s">
        <v>1526</v>
      </c>
      <c r="E38" s="801"/>
      <c r="F38" s="805" t="s">
        <v>1543</v>
      </c>
      <c r="G38" s="802"/>
    </row>
    <row r="39" spans="1:7">
      <c r="A39" s="804" t="s">
        <v>1544</v>
      </c>
      <c r="B39" s="798"/>
      <c r="C39" s="3392"/>
      <c r="D39" s="259" t="s">
        <v>1533</v>
      </c>
      <c r="E39" s="798"/>
      <c r="F39" s="803" t="s">
        <v>1545</v>
      </c>
      <c r="G39" s="801"/>
    </row>
    <row r="40" spans="1:7">
      <c r="A40" s="804" t="s">
        <v>1546</v>
      </c>
      <c r="B40" s="798"/>
      <c r="C40" s="3392" t="s">
        <v>1547</v>
      </c>
      <c r="D40" s="259" t="s">
        <v>1492</v>
      </c>
      <c r="E40" s="798"/>
      <c r="F40" s="804" t="s">
        <v>1548</v>
      </c>
      <c r="G40" s="798"/>
    </row>
    <row r="41" spans="1:7" ht="24.75" customHeight="1" thickBot="1">
      <c r="A41" s="805" t="s">
        <v>1549</v>
      </c>
      <c r="B41" s="802"/>
      <c r="C41" s="3393"/>
      <c r="D41" s="1414" t="s">
        <v>1494</v>
      </c>
      <c r="E41" s="802"/>
      <c r="F41" s="805" t="s">
        <v>1550</v>
      </c>
      <c r="G41" s="802"/>
    </row>
    <row r="42" spans="1:7">
      <c r="A42" s="806" t="s">
        <v>1551</v>
      </c>
      <c r="B42" s="2597"/>
      <c r="C42" s="3381" t="s">
        <v>1551</v>
      </c>
      <c r="D42" s="3382"/>
      <c r="E42" s="2597"/>
      <c r="F42" s="803" t="s">
        <v>1552</v>
      </c>
      <c r="G42" s="2597"/>
    </row>
    <row r="43" spans="1:7">
      <c r="A43" s="821" t="s">
        <v>1553</v>
      </c>
      <c r="B43" s="2598"/>
      <c r="C43" s="1423"/>
      <c r="D43" s="2585"/>
      <c r="E43" s="2598"/>
      <c r="F43" s="821"/>
      <c r="G43" s="2598"/>
    </row>
    <row r="44" spans="1:7">
      <c r="A44" s="821" t="s">
        <v>1507</v>
      </c>
      <c r="B44" s="822"/>
      <c r="C44" s="1423"/>
      <c r="D44" s="1489" t="s">
        <v>1507</v>
      </c>
      <c r="E44" s="822"/>
      <c r="F44" s="821" t="s">
        <v>1507</v>
      </c>
      <c r="G44" s="822"/>
    </row>
    <row r="45" spans="1:7">
      <c r="A45" s="821" t="s">
        <v>1508</v>
      </c>
      <c r="B45" s="822"/>
      <c r="C45" s="1423"/>
      <c r="D45" s="2585" t="s">
        <v>1508</v>
      </c>
      <c r="E45" s="822"/>
      <c r="F45" s="821" t="s">
        <v>1508</v>
      </c>
      <c r="G45" s="822"/>
    </row>
    <row r="46" spans="1:7">
      <c r="A46" s="821" t="s">
        <v>1509</v>
      </c>
      <c r="B46" s="822"/>
      <c r="C46" s="1423"/>
      <c r="D46" s="2585" t="s">
        <v>1509</v>
      </c>
      <c r="E46" s="822"/>
      <c r="F46" s="821" t="s">
        <v>1509</v>
      </c>
      <c r="G46" s="822"/>
    </row>
    <row r="47" spans="1:7">
      <c r="A47" s="821" t="s">
        <v>1510</v>
      </c>
      <c r="B47" s="822"/>
      <c r="C47" s="1423"/>
      <c r="D47" s="2585" t="s">
        <v>1510</v>
      </c>
      <c r="E47" s="822"/>
      <c r="F47" s="821" t="s">
        <v>1510</v>
      </c>
      <c r="G47" s="822"/>
    </row>
    <row r="48" spans="1:7">
      <c r="A48" s="821"/>
      <c r="B48" s="822"/>
      <c r="C48" s="1423"/>
      <c r="D48" s="2585"/>
      <c r="E48" s="822"/>
      <c r="F48" s="821"/>
      <c r="G48" s="822"/>
    </row>
    <row r="49" spans="1:66" ht="13.5" thickBot="1">
      <c r="A49" s="805" t="s">
        <v>1554</v>
      </c>
      <c r="B49" s="802"/>
      <c r="C49" s="3383" t="s">
        <v>1554</v>
      </c>
      <c r="D49" s="3384"/>
      <c r="E49" s="820"/>
      <c r="F49" s="805" t="s">
        <v>1555</v>
      </c>
      <c r="G49" s="802"/>
    </row>
    <row r="50" spans="1:66">
      <c r="A50" s="804" t="s">
        <v>1556</v>
      </c>
      <c r="B50" s="819"/>
      <c r="C50" s="3385" t="s">
        <v>1557</v>
      </c>
      <c r="D50" s="3386"/>
      <c r="E50" s="2599"/>
      <c r="F50" s="837"/>
      <c r="G50" s="838"/>
    </row>
    <row r="51" spans="1:66" ht="13.5" thickBot="1">
      <c r="A51" s="804" t="s">
        <v>1558</v>
      </c>
      <c r="B51" s="819"/>
      <c r="C51" s="3393" t="s">
        <v>1559</v>
      </c>
      <c r="D51" s="3396"/>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C538" sqref="AC538"/>
      <selection pane="topRight" activeCell="AC538" sqref="AC538"/>
      <selection pane="bottomLeft" activeCell="AC538" sqref="AC538"/>
      <selection pane="bottomRight" activeCell="I49" sqref="I49"/>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44664</v>
      </c>
      <c r="C2" s="1653"/>
      <c r="D2" s="3415" t="s">
        <v>1563</v>
      </c>
      <c r="E2" s="2602"/>
      <c r="F2" s="2603"/>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4" customFormat="1" ht="15" customHeight="1" thickBot="1">
      <c r="A3" s="2607" t="s">
        <v>1564</v>
      </c>
      <c r="B3" s="2605" t="s">
        <v>3040</v>
      </c>
      <c r="C3" s="1653"/>
      <c r="D3" s="3416"/>
      <c r="E3" s="2606" t="s">
        <v>2991</v>
      </c>
      <c r="F3" s="2603"/>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4" customFormat="1" ht="15" thickBot="1">
      <c r="A4" s="2610" t="s">
        <v>1565</v>
      </c>
      <c r="B4" s="2605" t="s">
        <v>2989</v>
      </c>
      <c r="C4" s="1653"/>
      <c r="D4" s="3416"/>
      <c r="E4" s="2606"/>
      <c r="F4" s="2603"/>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4" customFormat="1" ht="15.75" thickBot="1">
      <c r="A5" s="2607" t="s">
        <v>1566</v>
      </c>
      <c r="B5" s="2608">
        <f>项目基本情况!C12</f>
        <v>718.89</v>
      </c>
      <c r="C5" s="1653"/>
      <c r="D5" s="2892" t="s">
        <v>1567</v>
      </c>
      <c r="E5" s="2609">
        <f>面积指标!F2</f>
        <v>72.38</v>
      </c>
      <c r="F5" s="2603"/>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4" customFormat="1" ht="15.75" thickBot="1">
      <c r="A6" s="2610" t="s">
        <v>1568</v>
      </c>
      <c r="B6" s="2611">
        <f>项目基本情况!C13</f>
        <v>0</v>
      </c>
      <c r="C6" s="1653"/>
      <c r="D6" s="2892" t="s">
        <v>1569</v>
      </c>
      <c r="E6" s="2609"/>
      <c r="F6" s="2603"/>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4" customFormat="1" ht="15" thickBot="1">
      <c r="A10" s="2893" t="s">
        <v>1570</v>
      </c>
      <c r="B10" s="2613" t="s">
        <v>2986</v>
      </c>
      <c r="C10" s="1653"/>
      <c r="D10" s="2890" t="s">
        <v>1571</v>
      </c>
      <c r="E10" s="2894" t="s">
        <v>1572</v>
      </c>
      <c r="F10" s="3059" t="s">
        <v>2777</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7" customFormat="1" ht="14.25">
      <c r="A11" s="2895" t="s">
        <v>1573</v>
      </c>
      <c r="B11" s="2615">
        <v>50</v>
      </c>
      <c r="C11" s="1653"/>
      <c r="D11" s="2896" t="s">
        <v>1574</v>
      </c>
      <c r="E11" s="2616"/>
      <c r="F11" s="1282" t="s">
        <v>1575</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4" customFormat="1" ht="15">
      <c r="A12" s="2897" t="s">
        <v>1576</v>
      </c>
      <c r="B12" s="2618">
        <v>58901</v>
      </c>
      <c r="C12" s="1653"/>
      <c r="D12" s="2897" t="s">
        <v>1577</v>
      </c>
      <c r="E12" s="2619">
        <v>190</v>
      </c>
      <c r="F12" s="1281"/>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4" customFormat="1" ht="15" thickBot="1">
      <c r="A13" s="2898" t="s">
        <v>1578</v>
      </c>
      <c r="B13" s="2899">
        <f>IF(B12="",B11-(YEAR($B$2)-B27+B24),ROUNDDOWN(MIN((B12-$B$2)/365,B11),2))</f>
        <v>39</v>
      </c>
      <c r="C13" s="2934"/>
      <c r="D13" s="2900" t="s">
        <v>1579</v>
      </c>
      <c r="E13" s="2620"/>
      <c r="F13" s="1280"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4" customFormat="1" ht="14.25">
      <c r="A14" s="2897" t="s">
        <v>1581</v>
      </c>
      <c r="B14" s="2901">
        <f>IF(ISERROR(ROUND(POWER(1+B15,B11-B13)*(POWER(1+B15,B13)-1)/(POWER(1+B15,B11)-1),3)),0,ROUND(POWER(1+B15,B11-B13)*(POWER(1+B15,B13)-1)/(POWER(1+B15,B11)-1),3))</f>
        <v>0.93200000000000005</v>
      </c>
      <c r="C14" s="1653"/>
      <c r="D14" s="2902" t="s">
        <v>1582</v>
      </c>
      <c r="E14" s="2621">
        <v>200</v>
      </c>
      <c r="F14" s="1281"/>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4" customFormat="1" ht="14.25">
      <c r="A15" s="2897" t="s">
        <v>1583</v>
      </c>
      <c r="B15" s="2622">
        <v>0.05</v>
      </c>
      <c r="C15" s="2531" t="s">
        <v>2778</v>
      </c>
      <c r="D15" s="2897" t="s">
        <v>1584</v>
      </c>
      <c r="E15" s="2903">
        <f>E14-E16</f>
        <v>200</v>
      </c>
      <c r="F15" s="1281"/>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4" customFormat="1" ht="15" thickBot="1">
      <c r="A16" s="2897" t="s">
        <v>1585</v>
      </c>
      <c r="B16" s="2622">
        <v>5.5E-2</v>
      </c>
      <c r="C16" s="2531" t="s">
        <v>2779</v>
      </c>
      <c r="D16" s="2904" t="s">
        <v>1586</v>
      </c>
      <c r="E16" s="2623">
        <v>0</v>
      </c>
      <c r="F16" s="1280"/>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4" customFormat="1" ht="15" thickBot="1">
      <c r="A17" s="2904" t="s">
        <v>2776</v>
      </c>
      <c r="B17" s="3057">
        <v>0.08</v>
      </c>
      <c r="C17" s="2531" t="s">
        <v>2780</v>
      </c>
      <c r="D17" s="2893" t="s">
        <v>1588</v>
      </c>
      <c r="E17" s="2624">
        <v>3800</v>
      </c>
      <c r="F17" s="947"/>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4" customFormat="1" ht="15" thickBot="1">
      <c r="A18" s="2905" t="s">
        <v>1587</v>
      </c>
      <c r="B18" s="3065"/>
      <c r="C18" s="1653"/>
      <c r="D18" s="2906" t="str">
        <f>IF(B26=0,"建安总额","在建建安")</f>
        <v>建安总额</v>
      </c>
      <c r="E18" s="2907">
        <f>ROUND(B5*E17*IF(B26=0,1,E20),0)</f>
        <v>2731782</v>
      </c>
      <c r="F18" s="2625">
        <f>ROUND(E5*E17*IF(B26=0,1,E20),0)</f>
        <v>275044</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4" customFormat="1" ht="15" thickBot="1">
      <c r="A19" s="1281"/>
      <c r="B19" s="1281"/>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4" customFormat="1" ht="15" thickBot="1">
      <c r="A20" s="2908" t="s">
        <v>1589</v>
      </c>
      <c r="B20" s="1281"/>
      <c r="C20" s="1653"/>
      <c r="D20" s="2910" t="str">
        <f>IF(B26=0,"成新率","工程进度")</f>
        <v>成新率</v>
      </c>
      <c r="E20" s="2627">
        <f>ROUND(1-(1-0%)*(2022-B27)/60,2)</f>
        <v>0.83</v>
      </c>
      <c r="F20" s="947"/>
      <c r="G20" s="1653"/>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4" customFormat="1" ht="14.25">
      <c r="A21" s="2909" t="s">
        <v>1590</v>
      </c>
      <c r="B21" s="2626">
        <v>0</v>
      </c>
      <c r="C21" s="1653"/>
      <c r="D21" s="2897" t="s">
        <v>1592</v>
      </c>
      <c r="E21" s="2629">
        <v>0.03</v>
      </c>
      <c r="F21" s="2640" t="s">
        <v>2786</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4" customFormat="1" ht="14.25">
      <c r="A22" s="2911" t="s">
        <v>1591</v>
      </c>
      <c r="B22" s="2628">
        <v>2</v>
      </c>
      <c r="C22" s="1653"/>
      <c r="D22" s="2897" t="s">
        <v>1594</v>
      </c>
      <c r="E22" s="2632">
        <v>0</v>
      </c>
      <c r="F22" s="2640" t="s">
        <v>2784</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4" customFormat="1" ht="14.25">
      <c r="A23" s="2912" t="s">
        <v>1593</v>
      </c>
      <c r="B23" s="2631">
        <v>2</v>
      </c>
      <c r="C23" s="1653"/>
      <c r="D23" s="2897" t="s">
        <v>1596</v>
      </c>
      <c r="E23" s="2619">
        <f>E14</f>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4" customFormat="1" ht="15" thickBot="1">
      <c r="A24" s="2913" t="s">
        <v>1595</v>
      </c>
      <c r="B24" s="2914">
        <f>B21+B22</f>
        <v>2</v>
      </c>
      <c r="C24" s="1653"/>
      <c r="D24" s="2904" t="s">
        <v>1598</v>
      </c>
      <c r="E24" s="2633">
        <v>1.4999999999999999E-2</v>
      </c>
      <c r="F24" s="2640" t="s">
        <v>2787</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1597</v>
      </c>
      <c r="B25" s="2916">
        <f>B21+B23</f>
        <v>2</v>
      </c>
      <c r="C25" s="1653"/>
      <c r="D25" s="2896" t="s">
        <v>1600</v>
      </c>
      <c r="E25" s="2629">
        <v>0.02</v>
      </c>
      <c r="F25" s="2640" t="s">
        <v>2785</v>
      </c>
      <c r="I25" s="2935"/>
    </row>
    <row r="26" spans="1:41" ht="15" thickBot="1">
      <c r="A26" s="2913" t="s">
        <v>1599</v>
      </c>
      <c r="B26" s="2917">
        <f>B22-B23</f>
        <v>0</v>
      </c>
      <c r="D26" s="2897" t="s">
        <v>1602</v>
      </c>
      <c r="E26" s="2632">
        <v>0.02</v>
      </c>
      <c r="F26" s="2640" t="s">
        <v>2785</v>
      </c>
      <c r="G26" s="2936"/>
      <c r="H26" s="2936"/>
      <c r="I26" s="1653"/>
      <c r="J26" s="1653"/>
      <c r="K26" s="1653"/>
      <c r="L26" s="1653"/>
      <c r="M26" s="1653"/>
      <c r="N26" s="1653"/>
    </row>
    <row r="27" spans="1:41" ht="15.75" thickBot="1">
      <c r="A27" s="2918" t="s">
        <v>1601</v>
      </c>
      <c r="B27" s="2634">
        <v>2012</v>
      </c>
      <c r="C27" s="1653"/>
      <c r="D27" s="3124" t="s">
        <v>2992</v>
      </c>
      <c r="E27" s="2919">
        <f ca="1">IF(D27="利息：取LPR",存贷款利率!G1,存贷款利率!G1+F27)</f>
        <v>4.2000000000000003E-2</v>
      </c>
      <c r="F27" s="3125">
        <v>5.0000000000000001E-3</v>
      </c>
      <c r="G27" s="2936"/>
      <c r="H27" s="2936"/>
      <c r="K27" s="1653"/>
      <c r="N27" s="1653"/>
    </row>
    <row r="28" spans="1:41" ht="15" thickBot="1">
      <c r="A28" s="947"/>
      <c r="B28" s="947"/>
      <c r="D28" s="2900" t="s">
        <v>1604</v>
      </c>
      <c r="E28" s="2636">
        <v>0.15</v>
      </c>
      <c r="G28" s="2936"/>
      <c r="H28" s="2936"/>
      <c r="K28" s="1653"/>
      <c r="N28" s="1653"/>
    </row>
    <row r="29" spans="1:41" ht="14.25">
      <c r="A29" s="2920" t="s">
        <v>1603</v>
      </c>
      <c r="B29" s="2635" t="s">
        <v>2990</v>
      </c>
      <c r="D29" s="2902" t="s">
        <v>1605</v>
      </c>
      <c r="E29" s="2921">
        <f>E30+E31</f>
        <v>5.5000000000000007E-2</v>
      </c>
      <c r="F29" s="1280"/>
      <c r="G29" s="2936"/>
      <c r="H29" s="2936"/>
      <c r="K29" s="1653"/>
      <c r="N29" s="1653"/>
    </row>
    <row r="30" spans="1:41" ht="14.25">
      <c r="A30" s="2897" t="str">
        <f>IF(B29="租赁期内按合同租金","合同租金","市场租金")</f>
        <v>市场租金</v>
      </c>
      <c r="B30" s="2637">
        <v>4</v>
      </c>
      <c r="D30" s="2904" t="s">
        <v>1607</v>
      </c>
      <c r="E30" s="2638">
        <v>0.05</v>
      </c>
      <c r="F30" s="2923">
        <f>IF(B2&lt;DATE(2016,5,1),0,E30)</f>
        <v>0.05</v>
      </c>
      <c r="G30" s="2936"/>
      <c r="H30" s="2936"/>
      <c r="K30" s="1653"/>
      <c r="N30" s="1653"/>
    </row>
    <row r="31" spans="1:41" ht="14.25">
      <c r="A31" s="2897" t="s">
        <v>1606</v>
      </c>
      <c r="B31" s="2922">
        <f ca="1">存贷款利率!I1</f>
        <v>1.4999999999999999E-2</v>
      </c>
      <c r="D31" s="2904" t="s">
        <v>1609</v>
      </c>
      <c r="E31" s="2924">
        <f>E30*(E32+E33+E34)+E35</f>
        <v>5.000000000000001E-3</v>
      </c>
      <c r="F31" s="1280"/>
      <c r="G31" s="2936"/>
      <c r="H31" s="2936"/>
      <c r="K31" s="1653"/>
      <c r="N31" s="1653"/>
    </row>
    <row r="32" spans="1:41" ht="14.25">
      <c r="A32" s="2897" t="s">
        <v>1608</v>
      </c>
      <c r="B32" s="2622">
        <v>2.5000000000000001E-2</v>
      </c>
      <c r="D32" s="2904" t="s">
        <v>1611</v>
      </c>
      <c r="E32" s="2639">
        <v>0.05</v>
      </c>
      <c r="F32" s="2640" t="s">
        <v>2671</v>
      </c>
      <c r="G32" s="2936"/>
      <c r="H32" s="2936"/>
      <c r="K32" s="1653"/>
      <c r="L32" s="1653"/>
      <c r="M32" s="1653"/>
      <c r="N32" s="1653"/>
    </row>
    <row r="33" spans="1:14" ht="14.25">
      <c r="A33" s="2897" t="s">
        <v>1610</v>
      </c>
      <c r="B33" s="2622">
        <v>0.1</v>
      </c>
      <c r="D33" s="2904" t="s">
        <v>1613</v>
      </c>
      <c r="E33" s="2638">
        <v>0.03</v>
      </c>
      <c r="F33" s="1279" t="s">
        <v>1614</v>
      </c>
      <c r="G33" s="2936"/>
      <c r="H33" s="2936"/>
      <c r="K33" s="1653"/>
      <c r="L33" s="1653"/>
      <c r="M33" s="1653"/>
      <c r="N33" s="1653"/>
    </row>
    <row r="34" spans="1:14" s="2642" customFormat="1" ht="14.25">
      <c r="A34" s="2897" t="s">
        <v>1612</v>
      </c>
      <c r="B34" s="2925">
        <f>收益法!J54</f>
        <v>39</v>
      </c>
      <c r="D34" s="2904" t="s">
        <v>1615</v>
      </c>
      <c r="E34" s="2638">
        <v>0.02</v>
      </c>
      <c r="F34" s="1279" t="s">
        <v>1616</v>
      </c>
      <c r="G34" s="2936"/>
      <c r="H34" s="2936"/>
      <c r="I34" s="1653"/>
      <c r="J34" s="1653"/>
      <c r="K34" s="1653"/>
      <c r="L34" s="1653"/>
      <c r="M34" s="1653"/>
      <c r="N34" s="1653"/>
    </row>
    <row r="35" spans="1:14" s="2642" customFormat="1" ht="15" thickBot="1">
      <c r="A35" s="2904" t="str">
        <f>IF(B29="租赁期内按合同租金","剩余租赁期","——")</f>
        <v>——</v>
      </c>
      <c r="B35" s="2641"/>
      <c r="D35" s="2900" t="s">
        <v>1618</v>
      </c>
      <c r="E35" s="2644">
        <v>0</v>
      </c>
      <c r="F35" s="1282" t="s">
        <v>1619</v>
      </c>
      <c r="G35" s="2936"/>
      <c r="H35" s="2936"/>
      <c r="I35" s="1653"/>
      <c r="J35" s="1653"/>
      <c r="K35" s="1653"/>
      <c r="L35" s="1653"/>
      <c r="M35" s="1653"/>
      <c r="N35" s="1653"/>
    </row>
    <row r="36" spans="1:14" s="2642" customFormat="1" ht="15">
      <c r="A36" s="2926" t="s">
        <v>1617</v>
      </c>
      <c r="B36" s="2927"/>
      <c r="D36" s="2928" t="s">
        <v>1620</v>
      </c>
      <c r="E36" s="2646">
        <v>0.03</v>
      </c>
      <c r="F36" s="1281" t="s">
        <v>1621</v>
      </c>
      <c r="G36" s="2936"/>
      <c r="H36" s="2936"/>
      <c r="I36" s="1653"/>
      <c r="J36" s="1653"/>
      <c r="K36" s="1653"/>
      <c r="L36" s="1653"/>
      <c r="M36" s="1653"/>
      <c r="N36" s="1653"/>
    </row>
    <row r="37" spans="1:14" s="2642" customFormat="1" ht="15" thickBot="1">
      <c r="A37" s="2902" t="str">
        <f>IF(B29="租赁期内按合同租金","租金","——")</f>
        <v>——</v>
      </c>
      <c r="B37" s="2645"/>
      <c r="D37" s="2904" t="s">
        <v>1622</v>
      </c>
      <c r="E37" s="2638">
        <v>5.0000000000000001E-4</v>
      </c>
      <c r="F37" s="1281" t="s">
        <v>1623</v>
      </c>
      <c r="G37" s="2936"/>
      <c r="H37" s="2936"/>
      <c r="I37" s="1653"/>
      <c r="J37" s="1653"/>
      <c r="K37" s="1653"/>
      <c r="L37" s="1653"/>
      <c r="M37" s="1653"/>
      <c r="N37" s="1653"/>
    </row>
    <row r="38" spans="1:14" s="2642" customFormat="1" ht="14.25">
      <c r="A38" s="2897" t="str">
        <f>IF(B29="租赁期内按合同租金","年租金增长率","——")</f>
        <v>——</v>
      </c>
      <c r="B38" s="2622"/>
      <c r="D38" s="2929" t="s">
        <v>1624</v>
      </c>
      <c r="E38" s="2930">
        <v>1.2E-2</v>
      </c>
      <c r="F38" s="1281"/>
      <c r="G38" s="2935"/>
      <c r="H38" s="2935"/>
      <c r="I38" s="2936"/>
      <c r="J38" s="1653"/>
      <c r="K38" s="1653"/>
      <c r="L38" s="1653"/>
      <c r="M38" s="1653"/>
      <c r="N38" s="1653"/>
    </row>
    <row r="39" spans="1:14" s="2642" customFormat="1" ht="15" thickBot="1">
      <c r="A39" s="2897" t="str">
        <f>IF(B29="租赁期内按合同租金","空置率","——")</f>
        <v>——</v>
      </c>
      <c r="B39" s="2622"/>
      <c r="D39" s="2900" t="s">
        <v>1625</v>
      </c>
      <c r="E39" s="2931">
        <v>0.12</v>
      </c>
      <c r="F39" s="1281"/>
      <c r="G39" s="2936"/>
      <c r="H39" s="2936"/>
      <c r="I39" s="1653"/>
      <c r="J39" s="1653"/>
      <c r="K39" s="1653"/>
      <c r="L39" s="1653"/>
      <c r="M39" s="1653"/>
      <c r="N39" s="1653"/>
    </row>
    <row r="40" spans="1:14" ht="14.25">
      <c r="A40" s="2897" t="str">
        <f>IF(B29="租赁期内按合同租金","成新率","——")</f>
        <v>——</v>
      </c>
      <c r="B40" s="2622"/>
      <c r="D40" s="2929" t="s">
        <v>1626</v>
      </c>
      <c r="E40" s="2933">
        <f>SUMIF(D42:D51,E41,E42:E51)</f>
        <v>1.5</v>
      </c>
      <c r="F40" s="1281"/>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1628</v>
      </c>
      <c r="E41" s="2648" t="s">
        <v>70</v>
      </c>
      <c r="F41" s="1281" t="s">
        <v>1629</v>
      </c>
      <c r="G41" s="1740" t="s">
        <v>1630</v>
      </c>
      <c r="H41" s="2936"/>
      <c r="I41" s="1653"/>
      <c r="J41" s="1653"/>
      <c r="K41" s="1653"/>
      <c r="L41" s="1653"/>
      <c r="M41" s="1653"/>
      <c r="N41" s="1653"/>
    </row>
    <row r="42" spans="1:14" ht="14.25">
      <c r="A42" s="2896" t="s">
        <v>1627</v>
      </c>
      <c r="B42" s="2647"/>
      <c r="D42" s="2650" t="s">
        <v>1632</v>
      </c>
      <c r="E42" s="2637"/>
      <c r="F42" s="1281">
        <v>30</v>
      </c>
      <c r="G42" s="2936"/>
      <c r="H42" s="2936"/>
      <c r="I42" s="1653"/>
      <c r="J42" s="1653"/>
      <c r="K42" s="1653"/>
      <c r="L42" s="1653"/>
      <c r="M42" s="1653"/>
      <c r="N42" s="1653"/>
    </row>
    <row r="43" spans="1:14" ht="14.25">
      <c r="A43" s="2897" t="s">
        <v>1631</v>
      </c>
      <c r="B43" s="2649">
        <v>365</v>
      </c>
      <c r="D43" s="2650" t="s">
        <v>1634</v>
      </c>
      <c r="E43" s="2637"/>
      <c r="F43" s="1281">
        <v>24</v>
      </c>
      <c r="G43" s="2936"/>
      <c r="H43" s="2936"/>
      <c r="I43" s="1653"/>
      <c r="J43" s="1653"/>
      <c r="K43" s="1653"/>
      <c r="L43" s="1653"/>
      <c r="M43" s="1653"/>
      <c r="N43" s="1653"/>
    </row>
    <row r="44" spans="1:14" ht="14.25">
      <c r="A44" s="2897" t="s">
        <v>1633</v>
      </c>
      <c r="B44" s="2637"/>
      <c r="D44" s="2650" t="s">
        <v>1636</v>
      </c>
      <c r="E44" s="2637"/>
      <c r="F44" s="1281">
        <v>18</v>
      </c>
      <c r="G44" s="2642"/>
      <c r="H44" s="2642"/>
      <c r="I44" s="2936"/>
      <c r="J44" s="1653"/>
      <c r="K44" s="1653"/>
      <c r="L44" s="1653"/>
      <c r="M44" s="1653"/>
      <c r="N44" s="1653"/>
    </row>
    <row r="45" spans="1:14" ht="14.25">
      <c r="A45" s="2897" t="s">
        <v>1635</v>
      </c>
      <c r="B45" s="2651">
        <v>1.4999999999999999E-2</v>
      </c>
      <c r="C45" s="2531" t="s">
        <v>2783</v>
      </c>
      <c r="D45" s="2650" t="s">
        <v>1638</v>
      </c>
      <c r="E45" s="2637"/>
      <c r="F45" s="1281">
        <v>12</v>
      </c>
      <c r="G45" s="2642"/>
      <c r="H45" s="2642"/>
      <c r="M45" s="1653"/>
      <c r="N45" s="1653"/>
    </row>
    <row r="46" spans="1:14" ht="14.25">
      <c r="A46" s="2897" t="s">
        <v>1637</v>
      </c>
      <c r="B46" s="2652">
        <v>2E-3</v>
      </c>
      <c r="C46" s="2531" t="s">
        <v>2781</v>
      </c>
      <c r="D46" s="2650" t="s">
        <v>1400</v>
      </c>
      <c r="E46" s="2637"/>
      <c r="F46" s="1281">
        <v>3</v>
      </c>
      <c r="G46" s="2642"/>
      <c r="H46" s="2642"/>
      <c r="M46" s="1653"/>
      <c r="N46" s="1653"/>
    </row>
    <row r="47" spans="1:14" ht="15" thickBot="1">
      <c r="A47" s="2900" t="s">
        <v>1639</v>
      </c>
      <c r="B47" s="2653">
        <v>0.01</v>
      </c>
      <c r="C47" s="2531" t="s">
        <v>2782</v>
      </c>
      <c r="D47" s="2650" t="s">
        <v>1640</v>
      </c>
      <c r="E47" s="2637">
        <v>1.5</v>
      </c>
      <c r="F47" s="1281">
        <v>1.5</v>
      </c>
      <c r="G47" s="2642"/>
      <c r="H47" s="2642"/>
      <c r="M47" s="1653"/>
      <c r="N47" s="1653"/>
    </row>
    <row r="48" spans="1:14" ht="14.25">
      <c r="A48" s="2642"/>
      <c r="B48" s="2642"/>
      <c r="D48" s="2650" t="s">
        <v>1641</v>
      </c>
      <c r="E48" s="2637"/>
      <c r="F48" s="1281"/>
      <c r="G48" s="2642"/>
      <c r="H48" s="2642"/>
      <c r="M48" s="1653"/>
      <c r="N48" s="1653"/>
    </row>
    <row r="49" spans="1:41" ht="14.25">
      <c r="A49" s="2642"/>
      <c r="B49" s="2642"/>
      <c r="D49" s="2650" t="s">
        <v>1642</v>
      </c>
      <c r="E49" s="2637"/>
      <c r="F49" s="1281"/>
      <c r="G49" s="2642"/>
      <c r="H49" s="2642"/>
      <c r="M49" s="1653"/>
      <c r="N49" s="1653"/>
    </row>
    <row r="50" spans="1:41" ht="14.25">
      <c r="A50" s="2642"/>
      <c r="B50" s="2642"/>
      <c r="D50" s="2650" t="s">
        <v>1643</v>
      </c>
      <c r="E50" s="2637"/>
      <c r="F50" s="1281"/>
      <c r="G50" s="2642"/>
      <c r="H50" s="2642"/>
      <c r="M50" s="1653"/>
      <c r="N50" s="1653"/>
    </row>
    <row r="51" spans="1:41" s="947" customFormat="1" ht="15" thickBot="1">
      <c r="A51" s="2642"/>
      <c r="B51" s="2642"/>
      <c r="C51" s="2642"/>
      <c r="D51" s="2654" t="s">
        <v>1644</v>
      </c>
      <c r="E51" s="2655"/>
      <c r="F51" s="1281"/>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C538" sqref="AC538"/>
      <selection pane="topRight" activeCell="AC538" sqref="AC538"/>
      <selection pane="bottomLeft" activeCell="AC538" sqref="AC538"/>
      <selection pane="bottomRight" activeCell="C8" sqref="C8"/>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17" t="s">
        <v>1645</v>
      </c>
      <c r="B1" s="3418"/>
      <c r="C1" s="3418"/>
      <c r="D1" s="3418"/>
      <c r="E1" s="3418"/>
      <c r="F1" s="3418"/>
      <c r="G1" s="341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2788</v>
      </c>
      <c r="D2" s="3069"/>
      <c r="E2" s="3066"/>
      <c r="F2" s="3070"/>
      <c r="G2" s="3068" t="s">
        <v>2789</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25.5">
      <c r="A3" s="3072" t="s">
        <v>2790</v>
      </c>
      <c r="B3" s="3073" t="s">
        <v>2791</v>
      </c>
      <c r="C3" s="3074"/>
      <c r="D3" s="3075"/>
      <c r="E3" s="3076" t="s">
        <v>2790</v>
      </c>
      <c r="F3" s="3077" t="s">
        <v>2792</v>
      </c>
      <c r="G3" s="3078" t="s">
        <v>2793</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
      <c r="A4" s="3076"/>
      <c r="B4" s="3060" t="s">
        <v>2794</v>
      </c>
      <c r="C4" s="3079"/>
      <c r="D4" s="3075"/>
      <c r="E4" s="3080"/>
      <c r="F4" s="3062" t="s">
        <v>2795</v>
      </c>
      <c r="G4" s="3081" t="s">
        <v>2796</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12.75">
      <c r="A5" s="3076"/>
      <c r="B5" s="3060" t="s">
        <v>2797</v>
      </c>
      <c r="C5" s="3317" t="s">
        <v>2993</v>
      </c>
      <c r="D5" s="3075"/>
      <c r="E5" s="3080"/>
      <c r="F5" s="3060" t="s">
        <v>2798</v>
      </c>
      <c r="G5" s="3081" t="s">
        <v>2799</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12.75">
      <c r="A6" s="3076"/>
      <c r="B6" s="3060" t="s">
        <v>2800</v>
      </c>
      <c r="C6" s="3318" t="s">
        <v>2994</v>
      </c>
      <c r="D6" s="3075"/>
      <c r="E6" s="3080"/>
      <c r="F6" s="3060" t="s">
        <v>2801</v>
      </c>
      <c r="G6" s="3081" t="s">
        <v>2802</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2798</v>
      </c>
      <c r="C7" s="3318" t="s">
        <v>3053</v>
      </c>
      <c r="D7" s="2949"/>
      <c r="E7" s="3082"/>
      <c r="F7" s="3083" t="s">
        <v>2803</v>
      </c>
      <c r="G7" s="3084" t="s">
        <v>2804</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2801</v>
      </c>
      <c r="C8" s="3318" t="s">
        <v>2996</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12.75">
      <c r="A9" s="3076"/>
      <c r="B9" s="3060" t="s">
        <v>2805</v>
      </c>
      <c r="C9" s="3317" t="s">
        <v>2994</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2806</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91"/>
      <c r="B14" s="3091"/>
      <c r="C14" s="3092" t="s">
        <v>2807</v>
      </c>
      <c r="D14" s="3075"/>
      <c r="E14" s="3093"/>
      <c r="F14" s="3093"/>
      <c r="G14" s="3068" t="s">
        <v>2808</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25.5">
      <c r="A15" s="3097" t="s">
        <v>2809</v>
      </c>
      <c r="B15" s="3098" t="s">
        <v>2791</v>
      </c>
      <c r="C15" s="3099">
        <f>C3</f>
        <v>0</v>
      </c>
      <c r="D15" s="3075"/>
      <c r="E15" s="3100" t="s">
        <v>2810</v>
      </c>
      <c r="F15" s="3098" t="s">
        <v>2811</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2" t="s">
        <v>2794</v>
      </c>
      <c r="C16" s="3103">
        <f>C4</f>
        <v>0</v>
      </c>
      <c r="D16" s="3075"/>
      <c r="E16" s="3104"/>
      <c r="F16" s="3061" t="s">
        <v>2795</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12.75">
      <c r="A17" s="3102"/>
      <c r="B17" s="2542" t="s">
        <v>2797</v>
      </c>
      <c r="C17" s="3103" t="str">
        <f>C5</f>
        <v>较好</v>
      </c>
      <c r="D17" s="2949"/>
      <c r="E17" s="3104"/>
      <c r="F17" s="3061" t="s">
        <v>2812</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25.5">
      <c r="A18" s="3102"/>
      <c r="B18" s="3061" t="s">
        <v>2800</v>
      </c>
      <c r="C18" s="3105" t="str">
        <f>C6</f>
        <v>一般</v>
      </c>
      <c r="D18" s="2949"/>
      <c r="E18" s="3104"/>
      <c r="F18" s="3061" t="s">
        <v>2803</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2813</v>
      </c>
      <c r="C19" s="3106"/>
      <c r="D19" s="3075"/>
      <c r="E19" s="3104"/>
      <c r="F19" s="3060" t="s">
        <v>2798</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12.75">
      <c r="A20" s="3102"/>
      <c r="B20" s="3061" t="s">
        <v>2814</v>
      </c>
      <c r="C20" s="3103" t="str">
        <f>C9</f>
        <v>一般</v>
      </c>
      <c r="D20" s="2949"/>
      <c r="E20" s="3104"/>
      <c r="F20" s="3060" t="s">
        <v>2801</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12.75">
      <c r="A21" s="3102"/>
      <c r="B21" s="3060" t="s">
        <v>2798</v>
      </c>
      <c r="C21" s="3105" t="str">
        <f>C7</f>
        <v>较好</v>
      </c>
      <c r="D21" s="3075"/>
      <c r="E21" s="3104"/>
      <c r="F21" s="3061" t="s">
        <v>2815</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2801</v>
      </c>
      <c r="C22" s="3105" t="str">
        <f>C8</f>
        <v>七通</v>
      </c>
      <c r="D22" s="3075"/>
      <c r="E22" s="3104"/>
      <c r="F22" s="3061" t="s">
        <v>2806</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2815</v>
      </c>
      <c r="C23" s="3107"/>
      <c r="D23" s="3094"/>
      <c r="E23" s="3109"/>
      <c r="F23" s="3063" t="s">
        <v>2816</v>
      </c>
      <c r="G23" s="3110"/>
      <c r="H23" s="3094"/>
      <c r="I23" s="3095"/>
      <c r="J23" s="3094"/>
      <c r="K23" s="3094"/>
      <c r="L23" s="3095"/>
      <c r="M23" s="3094"/>
      <c r="N23" s="3094"/>
      <c r="O23" s="3095"/>
      <c r="P23" s="3094"/>
      <c r="Q23" s="3094"/>
      <c r="R23" s="3096"/>
    </row>
    <row r="24" spans="1:29" s="3071" customFormat="1" ht="13.5" thickBot="1">
      <c r="A24" s="3111"/>
      <c r="B24" s="3063" t="s">
        <v>2817</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B19" sqref="B19"/>
    </sheetView>
  </sheetViews>
  <sheetFormatPr defaultColWidth="14.625" defaultRowHeight="13.5"/>
  <cols>
    <col min="1" max="1" width="24.375" style="2551" customWidth="1"/>
    <col min="2" max="16384" width="14.625" style="2551"/>
  </cols>
  <sheetData>
    <row r="1" spans="1:9" ht="16.5">
      <c r="A1" s="2549" t="s">
        <v>1155</v>
      </c>
      <c r="B1" s="2549">
        <f>SUM(B14:B23)</f>
        <v>718.89</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44664</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1812</v>
      </c>
      <c r="C5" s="2549">
        <f ca="1">ROUND(B5*10000/$B$1,0)</f>
        <v>25206</v>
      </c>
      <c r="D5" s="2549" t="e">
        <f ca="1">ROUND(B5*10000/$B$2,0)</f>
        <v>#DIV/0!</v>
      </c>
      <c r="E5" s="1602"/>
      <c r="F5" s="2550"/>
      <c r="G5" s="2550"/>
    </row>
    <row r="6" spans="1:9" ht="16.5">
      <c r="A6" s="2549" t="s">
        <v>1163</v>
      </c>
      <c r="B6" s="2549">
        <f ca="1">SUM(G14:G23)</f>
        <v>1812</v>
      </c>
      <c r="C6" s="2549">
        <f t="shared" ref="C6:C8" ca="1" si="0">ROUND(B6*10000/$B$1,0)</f>
        <v>25206</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4" t="s">
        <v>3048</v>
      </c>
      <c r="B14" s="2884">
        <f>项目基本情况!C12</f>
        <v>718.89</v>
      </c>
      <c r="C14" s="2884">
        <f>项目基本情况!C13</f>
        <v>0</v>
      </c>
      <c r="D14" s="2884">
        <f ca="1">IF('数据-取费表'!B3="万元",IF(A14="估价对象1（结果表）",结果表!H121,'结果表 (1修多)'!H125),IF(A14="估价对象1（结果表）",结果表!H121,'结果表 (1修多)'!H125)/10000)</f>
        <v>1812</v>
      </c>
      <c r="E14" s="2884">
        <f ca="1">ROUND(D14*10000/B14,0)</f>
        <v>25206</v>
      </c>
      <c r="F14" s="2884" t="e">
        <f ca="1">ROUND(D14*10000/C14,0)</f>
        <v>#DIV/0!</v>
      </c>
      <c r="G14" s="2884">
        <f ca="1">IF('数据-取费表'!B3="万元",IF(A14="估价对象1（结果表）",结果表!D125,'结果表 (1修多)'!D129),IF(A14="估价对象1（结果表）",结果表!D125,'结果表 (1修多)'!D129)/10000)</f>
        <v>1812</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5"/>
      <c r="H15" s="1275"/>
      <c r="I15" s="2557"/>
    </row>
    <row r="16" spans="1:9" ht="16.5">
      <c r="A16" s="2556" t="s">
        <v>1173</v>
      </c>
      <c r="B16" s="2557"/>
      <c r="C16" s="2557"/>
      <c r="D16" s="2557"/>
      <c r="E16" s="2884" t="e">
        <f t="shared" si="2"/>
        <v>#DIV/0!</v>
      </c>
      <c r="F16" s="2884" t="e">
        <f t="shared" si="3"/>
        <v>#DIV/0!</v>
      </c>
      <c r="G16" s="1275"/>
      <c r="H16" s="1275"/>
      <c r="I16" s="2557"/>
    </row>
    <row r="17" spans="1:9" ht="16.5">
      <c r="A17" s="2556" t="s">
        <v>1174</v>
      </c>
      <c r="B17" s="2557"/>
      <c r="C17" s="2557"/>
      <c r="D17" s="2557"/>
      <c r="E17" s="2884" t="e">
        <f t="shared" si="2"/>
        <v>#DIV/0!</v>
      </c>
      <c r="F17" s="2884" t="e">
        <f t="shared" si="3"/>
        <v>#DIV/0!</v>
      </c>
      <c r="G17" s="1275"/>
      <c r="H17" s="1275"/>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90" zoomScaleNormal="100" zoomScaleSheetLayoutView="90" zoomScalePageLayoutView="80" workbookViewId="0">
      <selection activeCell="L20" sqref="L20"/>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1652</v>
      </c>
      <c r="B1" s="1429"/>
      <c r="C1" s="1429"/>
      <c r="D1" s="1429"/>
      <c r="E1" s="1429"/>
      <c r="F1" s="1429"/>
      <c r="G1" s="1429"/>
      <c r="H1" s="1429"/>
      <c r="I1" s="1429"/>
    </row>
    <row r="2" spans="1:15" ht="21.75" customHeight="1">
      <c r="A2" s="3474" t="str">
        <f>项目基本情况!B1</f>
        <v>北京市房地产抵押价值预评估</v>
      </c>
      <c r="B2" s="3474"/>
      <c r="C2" s="3474"/>
      <c r="D2" s="3474"/>
      <c r="E2" s="3474"/>
      <c r="F2" s="3474"/>
      <c r="G2" s="3474"/>
      <c r="H2" s="3474"/>
      <c r="I2" s="3474"/>
      <c r="J2" s="2811"/>
    </row>
    <row r="3" spans="1:15" ht="12.75">
      <c r="A3" s="3477" t="s">
        <v>1653</v>
      </c>
      <c r="B3" s="3478"/>
      <c r="C3" s="3478"/>
      <c r="D3" s="3478"/>
      <c r="E3" s="3478"/>
      <c r="F3" s="3478"/>
      <c r="G3" s="3478"/>
      <c r="H3" s="3478"/>
      <c r="I3" s="3478"/>
      <c r="J3" s="2812"/>
    </row>
    <row r="4" spans="1:15" ht="14.25">
      <c r="A4" s="2680" t="s">
        <v>1654</v>
      </c>
      <c r="B4" s="2680" t="s">
        <v>1655</v>
      </c>
      <c r="C4" s="2681" t="s">
        <v>3018</v>
      </c>
      <c r="D4" s="2681" t="s">
        <v>3019</v>
      </c>
      <c r="E4" s="3423" t="s">
        <v>1656</v>
      </c>
      <c r="F4" s="3461"/>
      <c r="G4" s="3461"/>
      <c r="H4" s="3461"/>
      <c r="I4" s="3462"/>
      <c r="J4" s="2813"/>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54" t="s">
        <v>1657</v>
      </c>
      <c r="B5" s="3454">
        <v>25</v>
      </c>
      <c r="C5" s="3463"/>
      <c r="D5" s="3476"/>
      <c r="E5" s="12" t="s">
        <v>1658</v>
      </c>
      <c r="F5" s="2057"/>
      <c r="G5" s="2057"/>
      <c r="H5" s="2057"/>
      <c r="I5" s="2052"/>
      <c r="J5" s="2813"/>
    </row>
    <row r="6" spans="1:15" ht="12.75">
      <c r="A6" s="3454"/>
      <c r="B6" s="3454"/>
      <c r="C6" s="3479"/>
      <c r="D6" s="3476"/>
      <c r="E6" s="12" t="s">
        <v>1659</v>
      </c>
      <c r="F6" s="2057"/>
      <c r="G6" s="2057"/>
      <c r="H6" s="2057"/>
      <c r="I6" s="2052"/>
      <c r="J6" s="2813"/>
    </row>
    <row r="7" spans="1:15" ht="12.75">
      <c r="A7" s="3454"/>
      <c r="B7" s="3454"/>
      <c r="C7" s="3464"/>
      <c r="D7" s="3476"/>
      <c r="E7" s="12" t="s">
        <v>1660</v>
      </c>
      <c r="F7" s="2057"/>
      <c r="G7" s="2057"/>
      <c r="H7" s="2057"/>
      <c r="I7" s="2052"/>
      <c r="J7" s="2813"/>
    </row>
    <row r="8" spans="1:15" ht="12.75">
      <c r="A8" s="3454" t="s">
        <v>1661</v>
      </c>
      <c r="B8" s="3454">
        <v>15</v>
      </c>
      <c r="C8" s="3463"/>
      <c r="D8" s="3476"/>
      <c r="E8" s="12" t="s">
        <v>1662</v>
      </c>
      <c r="F8" s="2057"/>
      <c r="G8" s="2057"/>
      <c r="H8" s="2057"/>
      <c r="I8" s="2052"/>
      <c r="J8" s="2813"/>
    </row>
    <row r="9" spans="1:15" ht="12.75">
      <c r="A9" s="3454"/>
      <c r="B9" s="3454"/>
      <c r="C9" s="3464"/>
      <c r="D9" s="3476"/>
      <c r="E9" s="12" t="s">
        <v>1663</v>
      </c>
      <c r="F9" s="2057"/>
      <c r="G9" s="2057"/>
      <c r="H9" s="2057"/>
      <c r="I9" s="2052"/>
      <c r="J9" s="2813"/>
    </row>
    <row r="10" spans="1:15" ht="12.75">
      <c r="A10" s="3454" t="s">
        <v>1664</v>
      </c>
      <c r="B10" s="3454">
        <v>15</v>
      </c>
      <c r="C10" s="3463"/>
      <c r="D10" s="3476"/>
      <c r="E10" s="12" t="s">
        <v>1665</v>
      </c>
      <c r="F10" s="2057"/>
      <c r="G10" s="2057"/>
      <c r="H10" s="2057"/>
      <c r="I10" s="2052"/>
      <c r="J10" s="2813"/>
    </row>
    <row r="11" spans="1:15" ht="12.75">
      <c r="A11" s="3454"/>
      <c r="B11" s="3454"/>
      <c r="C11" s="3464"/>
      <c r="D11" s="3476"/>
      <c r="E11" s="12" t="s">
        <v>1666</v>
      </c>
      <c r="F11" s="2057"/>
      <c r="G11" s="2057"/>
      <c r="H11" s="2057"/>
      <c r="I11" s="2052"/>
      <c r="J11" s="2813"/>
    </row>
    <row r="12" spans="1:15" ht="12.75">
      <c r="A12" s="3454" t="s">
        <v>1667</v>
      </c>
      <c r="B12" s="3454">
        <v>15</v>
      </c>
      <c r="C12" s="3463"/>
      <c r="D12" s="3476"/>
      <c r="E12" s="12" t="s">
        <v>1668</v>
      </c>
      <c r="F12" s="2057"/>
      <c r="G12" s="2057"/>
      <c r="H12" s="2057"/>
      <c r="I12" s="2052"/>
      <c r="J12" s="2813"/>
    </row>
    <row r="13" spans="1:15" ht="12.75">
      <c r="A13" s="3454"/>
      <c r="B13" s="3454"/>
      <c r="C13" s="3464"/>
      <c r="D13" s="3476"/>
      <c r="E13" s="12" t="s">
        <v>1669</v>
      </c>
      <c r="F13" s="2057"/>
      <c r="G13" s="2057"/>
      <c r="H13" s="2057"/>
      <c r="I13" s="2052"/>
      <c r="J13" s="2813"/>
    </row>
    <row r="14" spans="1:15" ht="12.75">
      <c r="A14" s="3454" t="s">
        <v>1670</v>
      </c>
      <c r="B14" s="3454">
        <v>30</v>
      </c>
      <c r="C14" s="3463">
        <v>5</v>
      </c>
      <c r="D14" s="3476">
        <v>5</v>
      </c>
      <c r="E14" s="12" t="s">
        <v>1671</v>
      </c>
      <c r="F14" s="2057"/>
      <c r="G14" s="2057"/>
      <c r="H14" s="2057"/>
      <c r="I14" s="2052"/>
      <c r="J14" s="2813"/>
    </row>
    <row r="15" spans="1:15" ht="12.75">
      <c r="A15" s="3454"/>
      <c r="B15" s="3454"/>
      <c r="C15" s="3479"/>
      <c r="D15" s="3476"/>
      <c r="E15" s="12" t="s">
        <v>1672</v>
      </c>
      <c r="F15" s="2057"/>
      <c r="G15" s="2057"/>
      <c r="H15" s="2057"/>
      <c r="I15" s="2052"/>
      <c r="J15" s="2813"/>
    </row>
    <row r="16" spans="1:15" ht="12.75">
      <c r="A16" s="3454"/>
      <c r="B16" s="3454"/>
      <c r="C16" s="3464"/>
      <c r="D16" s="3476"/>
      <c r="E16" s="12" t="s">
        <v>1673</v>
      </c>
      <c r="F16" s="2057"/>
      <c r="G16" s="2057"/>
      <c r="H16" s="2057"/>
      <c r="I16" s="2052"/>
      <c r="J16" s="2813"/>
    </row>
    <row r="17" spans="1:36" ht="15">
      <c r="A17" s="2682" t="s">
        <v>1674</v>
      </c>
      <c r="B17" s="2062"/>
      <c r="C17" s="2683">
        <f>SUM(C5:C16)</f>
        <v>5</v>
      </c>
      <c r="D17" s="2683">
        <f>SUM(D5:D16)</f>
        <v>5</v>
      </c>
      <c r="E17" s="2531"/>
      <c r="F17" s="2531"/>
      <c r="G17" s="2531"/>
      <c r="H17" s="2531"/>
      <c r="I17" s="2531"/>
      <c r="J17" s="2814"/>
    </row>
    <row r="18" spans="1:36" ht="30" customHeight="1" thickBot="1">
      <c r="A18" s="2684" t="s">
        <v>1675</v>
      </c>
      <c r="B18" s="2685"/>
      <c r="C18" s="2686">
        <f>ROUND(C17/SUM(C17:D17),2)</f>
        <v>0.5</v>
      </c>
      <c r="D18" s="2686">
        <f>1-C18</f>
        <v>0.5</v>
      </c>
      <c r="E18" s="3472" t="s">
        <v>2756</v>
      </c>
      <c r="F18" s="3473"/>
      <c r="G18" s="3473"/>
      <c r="H18" s="3473"/>
      <c r="I18" s="3473"/>
      <c r="J18" s="2814"/>
      <c r="K18" s="3323" t="s">
        <v>3036</v>
      </c>
    </row>
    <row r="19" spans="1:36" ht="15">
      <c r="A19" s="2687" t="s">
        <v>1676</v>
      </c>
      <c r="B19" s="2688" t="s">
        <v>1677</v>
      </c>
      <c r="C19" s="2689">
        <f ca="1">SUMIF(INDIRECT("'"&amp;C4&amp;"'"&amp;"!A:A"),结果表!B19,INDIRECT("'"&amp;C4&amp;"'"&amp;"!B:B"))</f>
        <v>185</v>
      </c>
      <c r="D19" s="2690">
        <f ca="1">SUMIF(INDIRECT("'"&amp;D4&amp;"'"&amp;"!A:A"),结果表!B19,INDIRECT("'"&amp;D4&amp;"'"&amp;"!B:B"))</f>
        <v>183</v>
      </c>
      <c r="E19" s="2687" t="s">
        <v>1678</v>
      </c>
      <c r="F19" s="2688" t="s">
        <v>1677</v>
      </c>
      <c r="G19" s="2691">
        <f ca="1">ROUND(C19*$C$18+D19*$D$18,0)</f>
        <v>184</v>
      </c>
      <c r="H19" s="2692" t="str">
        <f>'数据-取费表'!B3</f>
        <v>万元</v>
      </c>
      <c r="I19" s="2740"/>
      <c r="J19" s="2815"/>
      <c r="K19" s="659">
        <v>2000</v>
      </c>
      <c r="L19" s="3323" t="s">
        <v>3037</v>
      </c>
    </row>
    <row r="20" spans="1:36" ht="15">
      <c r="A20" s="2693"/>
      <c r="B20" s="1662" t="s">
        <v>1679</v>
      </c>
      <c r="C20" s="1887">
        <f ca="1">SUMIF(INDIRECT("'"&amp;C4&amp;"'"&amp;"!A:A"),结果表!B20,INDIRECT("'"&amp;C4&amp;"'"&amp;"!B:B"))</f>
        <v>25504</v>
      </c>
      <c r="D20" s="1890">
        <f ca="1">SUMIF(INDIRECT("'"&amp;D4&amp;"'"&amp;"!A:A"),结果表!B20,INDIRECT("'"&amp;D4&amp;"'"&amp;"!B:B"))</f>
        <v>25291</v>
      </c>
      <c r="E20" s="2693"/>
      <c r="F20" s="1662" t="s">
        <v>1679</v>
      </c>
      <c r="G20" s="2061">
        <f ca="1">ROUND(C20*$C$18+D20*$D$18,0)</f>
        <v>25398</v>
      </c>
      <c r="H20" s="2694" t="s">
        <v>1680</v>
      </c>
      <c r="I20" s="2531"/>
      <c r="J20" s="2814"/>
      <c r="K20" s="659">
        <f>ROUND(K19*10000/H101,0)</f>
        <v>27821</v>
      </c>
      <c r="L20" s="3323" t="s">
        <v>3034</v>
      </c>
    </row>
    <row r="21" spans="1:36" ht="15" customHeight="1" thickBot="1">
      <c r="A21" s="2695"/>
      <c r="B21" s="2696"/>
      <c r="C21" s="2696"/>
      <c r="D21" s="2697"/>
      <c r="E21" s="2695"/>
      <c r="F21" s="2696"/>
      <c r="G21" s="2698"/>
      <c r="H21" s="2699"/>
      <c r="I21" s="2531"/>
      <c r="J21" s="2814"/>
      <c r="K21" s="659">
        <f>K20*0.9</f>
        <v>25038.9</v>
      </c>
      <c r="L21" s="3323" t="s">
        <v>3035</v>
      </c>
    </row>
    <row r="22" spans="1:36" ht="15" thickBot="1">
      <c r="A22" s="2700" t="s">
        <v>1681</v>
      </c>
      <c r="B22" s="2701"/>
      <c r="C22" s="2614"/>
      <c r="D22" s="2702">
        <f ca="1">IF(C19&lt;D19,D19/C19-1,C19/D19-1)</f>
        <v>1.0928961748633892E-2</v>
      </c>
      <c r="E22" s="947"/>
      <c r="F22" s="947"/>
      <c r="G22" s="947"/>
      <c r="H22" s="947"/>
      <c r="I22" s="947"/>
      <c r="J22" s="2814"/>
    </row>
    <row r="23" spans="1:36" ht="13.5" thickBot="1">
      <c r="A23" s="2531"/>
      <c r="B23" s="2531"/>
      <c r="C23" s="2531"/>
      <c r="D23" s="2531"/>
      <c r="E23" s="947"/>
      <c r="F23" s="947"/>
      <c r="G23" s="947"/>
      <c r="H23" s="947"/>
      <c r="I23" s="947"/>
      <c r="J23" s="2814"/>
    </row>
    <row r="24" spans="1:36" ht="21.75" customHeight="1">
      <c r="A24" s="3465" t="s">
        <v>1682</v>
      </c>
      <c r="B24" s="2688" t="s">
        <v>1677</v>
      </c>
      <c r="C24" s="2691">
        <f>D30</f>
        <v>0</v>
      </c>
      <c r="D24" s="2643"/>
      <c r="E24" s="947"/>
      <c r="F24" s="947"/>
      <c r="G24" s="947"/>
      <c r="H24" s="947"/>
      <c r="I24" s="947"/>
      <c r="J24" s="2814"/>
    </row>
    <row r="25" spans="1:36" ht="21.75" customHeight="1">
      <c r="A25" s="3482"/>
      <c r="B25" s="1662"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2760</v>
      </c>
      <c r="F30" s="2531"/>
      <c r="G30" s="2531"/>
      <c r="H30" s="2531"/>
      <c r="I30" s="2531"/>
      <c r="J30" s="2814"/>
    </row>
    <row r="31" spans="1:36" s="2807" customFormat="1" ht="26.45"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25398</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取值（单价）</v>
      </c>
      <c r="G33" s="947"/>
      <c r="H33" s="947"/>
      <c r="I33" s="947"/>
      <c r="J33" s="2814"/>
    </row>
    <row r="34" spans="1:17" ht="15">
      <c r="A34" s="1434"/>
      <c r="B34" s="2715" t="s">
        <v>1691</v>
      </c>
      <c r="C34" s="2716">
        <f ca="1">IF(D33="自定义",F34,C32-C35)</f>
        <v>20826</v>
      </c>
      <c r="D34" s="2717">
        <f ca="1">IF(D33="自定义",ROUND(C34/C32,3),1-D35)</f>
        <v>0.82000000000000006</v>
      </c>
      <c r="E34" s="1404" t="s">
        <v>1692</v>
      </c>
      <c r="F34" s="2718"/>
      <c r="G34" s="947"/>
      <c r="H34" s="947"/>
      <c r="I34" s="947"/>
      <c r="J34" s="2814"/>
    </row>
    <row r="35" spans="1:17" ht="15.75" thickBot="1">
      <c r="A35" s="1435"/>
      <c r="B35" s="2719" t="s">
        <v>1693</v>
      </c>
      <c r="C35" s="2720">
        <f ca="1">IF(D33="自定义",F35,ROUND(C32*D35,0))</f>
        <v>4572</v>
      </c>
      <c r="D35" s="2721">
        <f ca="1">IF(D33="自定义",ROUND(C35/C32,3),IF(D33="成本法成本比率",成本法!C56,IF(D33="收益法收益比率",收益法!J38,收益法!J41)))</f>
        <v>0.18</v>
      </c>
      <c r="E35" s="2722" t="s">
        <v>1694</v>
      </c>
      <c r="F35" s="2723"/>
      <c r="G35" s="947"/>
      <c r="H35" s="947"/>
      <c r="I35" s="947"/>
      <c r="J35" s="2814"/>
    </row>
    <row r="36" spans="1:17" ht="15.75" thickBot="1">
      <c r="A36" s="3465" t="s">
        <v>1695</v>
      </c>
      <c r="B36" s="1436" t="s">
        <v>1696</v>
      </c>
      <c r="C36" s="2724">
        <v>0</v>
      </c>
      <c r="D36" s="2725" t="s">
        <v>3033</v>
      </c>
      <c r="E36" s="1648"/>
      <c r="F36" s="1648"/>
      <c r="G36" s="947"/>
      <c r="H36" s="947"/>
      <c r="I36" s="947"/>
      <c r="J36" s="2814"/>
    </row>
    <row r="37" spans="1:17" ht="15.75" thickBot="1">
      <c r="A37" s="3466"/>
      <c r="B37" s="2062" t="s">
        <v>1697</v>
      </c>
      <c r="C37" s="2726">
        <v>0</v>
      </c>
      <c r="D37" s="1281"/>
      <c r="E37" s="1281"/>
      <c r="F37" s="1648"/>
      <c r="G37" s="1281"/>
      <c r="H37" s="1281"/>
      <c r="I37" s="1281"/>
      <c r="J37" s="2818"/>
    </row>
    <row r="38" spans="1:17" ht="15.75" thickBot="1">
      <c r="A38" s="3467"/>
      <c r="B38" s="1437" t="s">
        <v>1698</v>
      </c>
      <c r="C38" s="2727">
        <v>0</v>
      </c>
      <c r="D38" s="2728" t="s">
        <v>1699</v>
      </c>
      <c r="E38" s="1281"/>
      <c r="F38" s="1648"/>
      <c r="G38" s="1281"/>
      <c r="H38" s="1281"/>
      <c r="I38" s="1281"/>
      <c r="J38" s="2818"/>
    </row>
    <row r="39" spans="1:17" ht="15">
      <c r="A39" s="2693" t="s">
        <v>1700</v>
      </c>
      <c r="B39" s="2729" t="s">
        <v>1684</v>
      </c>
      <c r="C39" s="2730" t="s">
        <v>1685</v>
      </c>
      <c r="D39" s="2730" t="s">
        <v>1701</v>
      </c>
      <c r="E39" s="2731" t="s">
        <v>1686</v>
      </c>
      <c r="F39" s="1648"/>
      <c r="G39" s="1281"/>
      <c r="H39" s="1281"/>
      <c r="I39" s="1281"/>
      <c r="J39" s="2818"/>
    </row>
    <row r="40" spans="1:17" ht="14.25">
      <c r="A40" s="2732" t="s">
        <v>1702</v>
      </c>
      <c r="B40" s="2733"/>
      <c r="C40" s="2734"/>
      <c r="D40" s="2734"/>
      <c r="E40" s="2735"/>
      <c r="F40" s="1648"/>
      <c r="G40" s="1281"/>
      <c r="H40" s="1281"/>
      <c r="I40" s="1281"/>
      <c r="J40" s="2818"/>
    </row>
    <row r="41" spans="1:17" ht="14.25">
      <c r="A41" s="2732" t="s">
        <v>1703</v>
      </c>
      <c r="B41" s="2733"/>
      <c r="C41" s="2734"/>
      <c r="D41" s="2734"/>
      <c r="E41" s="2735"/>
      <c r="F41" s="1648"/>
      <c r="G41" s="1281"/>
      <c r="H41" s="1281"/>
      <c r="I41" s="1281"/>
      <c r="J41" s="2818"/>
    </row>
    <row r="42" spans="1:17" ht="15" thickBot="1">
      <c r="A42" s="2736"/>
      <c r="B42" s="2737"/>
      <c r="C42" s="2738"/>
      <c r="D42" s="2738"/>
      <c r="E42" s="2723"/>
      <c r="F42" s="1648"/>
      <c r="G42" s="1281"/>
      <c r="H42" s="1281"/>
      <c r="I42" s="1281"/>
      <c r="J42" s="2818"/>
    </row>
    <row r="43" spans="1:17" ht="12.75">
      <c r="A43" s="2944"/>
      <c r="B43" s="2944"/>
      <c r="C43" s="2944"/>
      <c r="D43" s="2944"/>
      <c r="E43" s="2944"/>
      <c r="F43" s="2943"/>
      <c r="G43" s="2943"/>
      <c r="H43" s="2943"/>
      <c r="I43" s="2630"/>
      <c r="J43" s="2819"/>
    </row>
    <row r="44" spans="1:17" ht="18.75" hidden="1">
      <c r="A44" s="1439" t="s">
        <v>1704</v>
      </c>
      <c r="B44" s="1440"/>
      <c r="C44" s="1440"/>
      <c r="D44" s="1441"/>
      <c r="E44" s="1441"/>
      <c r="F44" s="1442"/>
      <c r="G44" s="1442"/>
      <c r="H44" s="1442"/>
      <c r="I44" s="2808" t="s">
        <v>2755</v>
      </c>
      <c r="J44" s="2820"/>
      <c r="K44" s="1443" t="s">
        <v>1705</v>
      </c>
      <c r="L44" s="1444"/>
      <c r="M44" s="1444"/>
      <c r="N44" s="1444"/>
      <c r="O44" s="1444"/>
      <c r="P44" s="1444"/>
      <c r="Q44" s="1278"/>
    </row>
    <row r="45" spans="1:17" ht="14.25" hidden="1" customHeight="1" thickBot="1">
      <c r="A45" s="3469" t="s">
        <v>1706</v>
      </c>
      <c r="B45" s="3470"/>
      <c r="C45" s="3429"/>
      <c r="D45" s="246">
        <f ca="1">ROUND(I102*F45,0)</f>
        <v>1826</v>
      </c>
      <c r="E45" s="1510" t="s">
        <v>1707</v>
      </c>
      <c r="F45" s="2529">
        <v>1</v>
      </c>
      <c r="G45" s="2530" t="s">
        <v>1708</v>
      </c>
      <c r="H45" s="947"/>
      <c r="I45" s="947"/>
      <c r="J45" s="2814"/>
      <c r="K45" s="3523" t="s">
        <v>2685</v>
      </c>
      <c r="L45" s="3523"/>
      <c r="M45" s="3523"/>
      <c r="N45" s="3523"/>
      <c r="O45" s="3523"/>
      <c r="P45" s="3523"/>
      <c r="Q45" s="1278"/>
    </row>
    <row r="46" spans="1:17" ht="14.25" hidden="1" customHeight="1">
      <c r="A46" s="3458" t="s">
        <v>1710</v>
      </c>
      <c r="B46" s="3459"/>
      <c r="C46" s="3459"/>
      <c r="D46" s="3459"/>
      <c r="E46" s="3459"/>
      <c r="F46" s="3459"/>
      <c r="G46" s="3460"/>
      <c r="H46" s="2946"/>
      <c r="I46" s="947"/>
      <c r="J46" s="2814"/>
      <c r="K46" s="2504">
        <v>1</v>
      </c>
      <c r="L46" s="3524" t="s">
        <v>2686</v>
      </c>
      <c r="M46" s="3524"/>
      <c r="N46" s="3525" t="str">
        <f>项目基本情况!B1</f>
        <v>北京市房地产抵押价值预评估</v>
      </c>
      <c r="O46" s="3525"/>
      <c r="P46" s="3525"/>
      <c r="Q46" s="1278"/>
    </row>
    <row r="47" spans="1:17" ht="12" hidden="1" customHeight="1">
      <c r="A47" s="38" t="s">
        <v>1712</v>
      </c>
      <c r="B47" s="39"/>
      <c r="C47" s="40"/>
      <c r="D47" s="1070" t="s">
        <v>1713</v>
      </c>
      <c r="E47" s="235" t="s">
        <v>1714</v>
      </c>
      <c r="F47" s="41" t="s">
        <v>1715</v>
      </c>
      <c r="G47" s="2532" t="s">
        <v>1716</v>
      </c>
      <c r="H47" s="2946"/>
      <c r="I47" s="947"/>
      <c r="J47" s="2814"/>
      <c r="K47" s="2504">
        <v>2</v>
      </c>
      <c r="L47" s="3524" t="s">
        <v>2687</v>
      </c>
      <c r="M47" s="3524"/>
      <c r="N47" s="3526">
        <f>'数据-取费表'!B2</f>
        <v>44664</v>
      </c>
      <c r="O47" s="3526"/>
      <c r="P47" s="3526"/>
      <c r="Q47" s="1278"/>
    </row>
    <row r="48" spans="1:17" ht="25.5" hidden="1">
      <c r="A48" s="3468" t="s">
        <v>1718</v>
      </c>
      <c r="B48" s="3422"/>
      <c r="C48" s="3422"/>
      <c r="D48" s="12">
        <f ca="1">IF(H48="情况1",0,IF(H48="情况2",D52,IF(H48="情况3",D53,IF(H48="情况4",D54))))</f>
        <v>96</v>
      </c>
      <c r="E48" s="2060" t="str">
        <f>IF(H48="情况4","(销售额-原购置价)×税（费）率","销售额×税（费）率")</f>
        <v>销售额×税（费）率</v>
      </c>
      <c r="F48" s="2533">
        <f>IF(H48="情况1","免征",'数据-取费表'!E29)</f>
        <v>5.5000000000000007E-2</v>
      </c>
      <c r="G48" s="2534" t="s">
        <v>1719</v>
      </c>
      <c r="H48" s="2535" t="s">
        <v>1720</v>
      </c>
      <c r="I48" s="2946"/>
      <c r="J48" s="2821"/>
      <c r="K48" s="2504">
        <v>3</v>
      </c>
      <c r="L48" s="3524" t="s">
        <v>2688</v>
      </c>
      <c r="M48" s="3524"/>
      <c r="N48" s="3525">
        <f ca="1">I102</f>
        <v>1826</v>
      </c>
      <c r="O48" s="3525"/>
      <c r="P48" s="3525"/>
      <c r="Q48" s="1278"/>
    </row>
    <row r="49" spans="1:17" ht="25.5" hidden="1" customHeight="1">
      <c r="A49" s="2059" t="s">
        <v>1722</v>
      </c>
      <c r="B49" s="3461" t="s">
        <v>1723</v>
      </c>
      <c r="C49" s="3461"/>
      <c r="D49" s="2536">
        <v>0</v>
      </c>
      <c r="E49" s="261" t="s">
        <v>1724</v>
      </c>
      <c r="F49" s="2537" t="s">
        <v>48</v>
      </c>
      <c r="G49" s="3518"/>
      <c r="H49" s="2538" t="s">
        <v>2762</v>
      </c>
      <c r="I49" s="2539"/>
      <c r="J49" s="2822"/>
      <c r="K49" s="2504">
        <v>4</v>
      </c>
      <c r="L49" s="3524" t="str">
        <f>IF(项目基本情况!F5="房地产抵押价值","房地产抵押价值","抵押担保权已注销时的房地产抵押价值")</f>
        <v>房地产抵押价值</v>
      </c>
      <c r="M49" s="3524"/>
      <c r="N49" s="3525">
        <f ca="1">IF(项目基本情况!F5="房地产抵押价值",I110,I112)</f>
        <v>1826</v>
      </c>
      <c r="O49" s="3525"/>
      <c r="P49" s="3525"/>
      <c r="Q49" s="1278"/>
    </row>
    <row r="50" spans="1:17" ht="25.5" hidden="1" customHeight="1">
      <c r="A50" s="2049"/>
      <c r="B50" s="3461" t="s">
        <v>1725</v>
      </c>
      <c r="C50" s="3461"/>
      <c r="D50" s="2540"/>
      <c r="E50" s="269"/>
      <c r="F50" s="2537"/>
      <c r="G50" s="3519"/>
      <c r="H50" s="2541" t="s">
        <v>2681</v>
      </c>
      <c r="I50" s="2539"/>
      <c r="J50" s="2822"/>
      <c r="K50" s="3524" t="s">
        <v>2689</v>
      </c>
      <c r="L50" s="3524"/>
      <c r="M50" s="3524"/>
      <c r="N50" s="3524"/>
      <c r="O50" s="3524"/>
      <c r="P50" s="3524"/>
      <c r="Q50" s="1278"/>
    </row>
    <row r="51" spans="1:17" ht="20.45" hidden="1" customHeight="1">
      <c r="A51" s="2542"/>
      <c r="B51" s="3461" t="s">
        <v>1727</v>
      </c>
      <c r="C51" s="3461"/>
      <c r="D51" s="1070"/>
      <c r="E51" s="264"/>
      <c r="F51" s="2537"/>
      <c r="G51" s="3520"/>
      <c r="H51" s="2541" t="s">
        <v>2682</v>
      </c>
      <c r="I51" s="2539"/>
      <c r="J51" s="2822"/>
      <c r="K51" s="2505" t="s">
        <v>2690</v>
      </c>
      <c r="L51" s="3524" t="s">
        <v>2691</v>
      </c>
      <c r="M51" s="3524"/>
      <c r="N51" s="2505" t="s">
        <v>2692</v>
      </c>
      <c r="O51" s="2505" t="s">
        <v>2693</v>
      </c>
      <c r="P51" s="2505" t="s">
        <v>2694</v>
      </c>
      <c r="Q51" s="1278"/>
    </row>
    <row r="52" spans="1:17" ht="24" hidden="1" customHeight="1">
      <c r="A52" s="2050" t="s">
        <v>1733</v>
      </c>
      <c r="B52" s="3461" t="s">
        <v>1734</v>
      </c>
      <c r="C52" s="3461"/>
      <c r="D52" s="1070">
        <f ca="1">ROUND(D45*'数据-取费表'!E29/(1+'数据-取费表'!F30),0)</f>
        <v>96</v>
      </c>
      <c r="E52" s="2060" t="s">
        <v>1735</v>
      </c>
      <c r="F52" s="2543">
        <f>'数据-取费表'!E29</f>
        <v>5.5000000000000007E-2</v>
      </c>
      <c r="G52" s="2544"/>
      <c r="H52" s="947"/>
      <c r="I52" s="2947"/>
      <c r="J52" s="2822"/>
      <c r="K52" s="2504">
        <v>1</v>
      </c>
      <c r="L52" s="3491" t="s">
        <v>2695</v>
      </c>
      <c r="M52" s="3491"/>
      <c r="N52" s="2506">
        <f ca="1">D48</f>
        <v>96</v>
      </c>
      <c r="O52" s="2504" t="str">
        <f>E48</f>
        <v>销售额×税（费）率</v>
      </c>
      <c r="P52" s="2507">
        <f>F48</f>
        <v>5.5000000000000007E-2</v>
      </c>
      <c r="Q52" s="1278"/>
    </row>
    <row r="53" spans="1:17" ht="12" hidden="1" customHeight="1">
      <c r="A53" s="2050" t="s">
        <v>1737</v>
      </c>
      <c r="B53" s="3423" t="s">
        <v>2774</v>
      </c>
      <c r="C53" s="3462"/>
      <c r="D53" s="1070">
        <f ca="1">ROUND(D45*'数据-取费表'!E29/(1+'数据-取费表'!F30),0)</f>
        <v>96</v>
      </c>
      <c r="E53" s="2060" t="s">
        <v>1735</v>
      </c>
      <c r="F53" s="2543">
        <f>'数据-取费表'!E29</f>
        <v>5.5000000000000007E-2</v>
      </c>
      <c r="G53" s="2544"/>
      <c r="H53" s="947"/>
      <c r="I53" s="2947"/>
      <c r="J53" s="2822"/>
      <c r="K53" s="2504">
        <v>2</v>
      </c>
      <c r="L53" s="3491" t="s">
        <v>2696</v>
      </c>
      <c r="M53" s="3491"/>
      <c r="N53" s="2506">
        <f t="shared" ref="N53:P54" si="1">D55</f>
        <v>0</v>
      </c>
      <c r="O53" s="2504" t="str">
        <f t="shared" si="1"/>
        <v>销售额×税（费）率</v>
      </c>
      <c r="P53" s="2507" t="str">
        <f t="shared" si="1"/>
        <v>免征</v>
      </c>
      <c r="Q53" s="1278"/>
    </row>
    <row r="54" spans="1:17" ht="12" hidden="1" customHeight="1">
      <c r="A54" s="2050" t="s">
        <v>1739</v>
      </c>
      <c r="B54" s="3423" t="s">
        <v>2775</v>
      </c>
      <c r="C54" s="3462"/>
      <c r="D54" s="1070">
        <f ca="1">C68</f>
        <v>96</v>
      </c>
      <c r="E54" s="264" t="s">
        <v>1740</v>
      </c>
      <c r="F54" s="2543">
        <f>'数据-取费表'!E29</f>
        <v>5.5000000000000007E-2</v>
      </c>
      <c r="G54" s="2544"/>
      <c r="H54" s="2948"/>
      <c r="I54" s="2947"/>
      <c r="J54" s="2822"/>
      <c r="K54" s="2504">
        <v>3</v>
      </c>
      <c r="L54" s="3491" t="s">
        <v>2697</v>
      </c>
      <c r="M54" s="3491"/>
      <c r="N54" s="2506">
        <f t="shared" si="1"/>
        <v>0</v>
      </c>
      <c r="O54" s="2504" t="str">
        <f t="shared" si="1"/>
        <v>增值额×税（费）率</v>
      </c>
      <c r="P54" s="2508" t="str">
        <f t="shared" si="1"/>
        <v>免征</v>
      </c>
      <c r="Q54" s="1278"/>
    </row>
    <row r="55" spans="1:17" ht="24" hidden="1" customHeight="1">
      <c r="A55" s="3421" t="s">
        <v>1742</v>
      </c>
      <c r="B55" s="3422"/>
      <c r="C55" s="3422"/>
      <c r="D55" s="12">
        <f>IF(H55="个人住宅",0,ROUND(D45*I55,0))</f>
        <v>0</v>
      </c>
      <c r="E55" s="2060" t="s">
        <v>1743</v>
      </c>
      <c r="F55" s="2543" t="str">
        <f>IF(H55="正常",I55,"免征")</f>
        <v>免征</v>
      </c>
      <c r="G55" s="2544"/>
      <c r="H55" s="2535" t="s">
        <v>2678</v>
      </c>
      <c r="I55" s="74">
        <f>'数据-取费表'!E37</f>
        <v>5.0000000000000001E-4</v>
      </c>
      <c r="J55" s="2822"/>
      <c r="K55" s="2504" t="str">
        <f>IF(H59="非个人房产","",4)</f>
        <v/>
      </c>
      <c r="L55" s="3491" t="str">
        <f>IF(H59="非个人房产","——","个人所得税")</f>
        <v>——</v>
      </c>
      <c r="M55" s="3491"/>
      <c r="N55" s="2509" t="str">
        <f>D59</f>
        <v>——</v>
      </c>
      <c r="O55" s="2510" t="str">
        <f>E59</f>
        <v>——</v>
      </c>
      <c r="P55" s="2511" t="str">
        <f>F59</f>
        <v>——</v>
      </c>
      <c r="Q55" s="1278"/>
    </row>
    <row r="56" spans="1:17" ht="24.75" hidden="1">
      <c r="A56" s="3421" t="s">
        <v>1745</v>
      </c>
      <c r="B56" s="3422"/>
      <c r="C56" s="3422"/>
      <c r="D56" s="12">
        <f>IF(H56="个人住宅",D57,D58)</f>
        <v>0</v>
      </c>
      <c r="E56" s="2060" t="s">
        <v>1746</v>
      </c>
      <c r="F56" s="2543" t="str">
        <f>IF(H56="正常",F58,"免征")</f>
        <v>免征</v>
      </c>
      <c r="G56" s="2545" t="s">
        <v>1747</v>
      </c>
      <c r="H56" s="2546" t="s">
        <v>2678</v>
      </c>
      <c r="I56" s="2949"/>
      <c r="J56" s="2822"/>
      <c r="K56" s="2504" t="str">
        <f>IF(项目基本情况!I6="上海银行",IF(K55="",4,K55+1),"")</f>
        <v/>
      </c>
      <c r="L56" s="3505" t="str">
        <f>IF(项目基本情况!I6="上海银行","其他处置费用","")</f>
        <v/>
      </c>
      <c r="M56" s="3506"/>
      <c r="N56" s="2506" t="str">
        <f>IF(项目基本情况!I6="上海银行",N69,"")</f>
        <v/>
      </c>
      <c r="O56" s="3505" t="str">
        <f>IF(项目基本情况!I6="上海银行","包含处置中涉及的律师、诉讼、拍卖、评估等费用","")</f>
        <v/>
      </c>
      <c r="P56" s="3517"/>
      <c r="Q56" s="1278"/>
    </row>
    <row r="57" spans="1:17" ht="12.75" hidden="1">
      <c r="A57" s="2050" t="s">
        <v>1722</v>
      </c>
      <c r="B57" s="3423" t="s">
        <v>1748</v>
      </c>
      <c r="C57" s="3462"/>
      <c r="D57" s="2536">
        <v>0</v>
      </c>
      <c r="E57" s="261" t="s">
        <v>1724</v>
      </c>
      <c r="F57" s="235"/>
      <c r="G57" s="2544"/>
      <c r="H57" s="2949"/>
      <c r="I57" s="2949"/>
      <c r="J57" s="2822"/>
      <c r="K57" s="3491">
        <f>IF(AND(K55="",K56=""),4,IF(项目基本情况!I6="上海银行",K56+1,K55+1))</f>
        <v>4</v>
      </c>
      <c r="L57" s="3491" t="s">
        <v>2698</v>
      </c>
      <c r="M57" s="2512" t="s">
        <v>2699</v>
      </c>
      <c r="N57" s="2513"/>
      <c r="O57" s="2514">
        <f ca="1">SUMIF(N52:N56,"&lt;9e307")</f>
        <v>96</v>
      </c>
      <c r="P57" s="2515"/>
      <c r="Q57" s="1276">
        <f ca="1">O57/N49</f>
        <v>5.257393209200438E-2</v>
      </c>
    </row>
    <row r="58" spans="1:17" ht="24.75" hidden="1">
      <c r="A58" s="2050" t="s">
        <v>1733</v>
      </c>
      <c r="B58" s="3423" t="s">
        <v>1751</v>
      </c>
      <c r="C58" s="3461"/>
      <c r="D58" s="12">
        <f ca="1">IF(H58="转让取得",C81,C97)</f>
        <v>1035</v>
      </c>
      <c r="E58" s="2060" t="s">
        <v>1746</v>
      </c>
      <c r="F58" s="235" t="s">
        <v>48</v>
      </c>
      <c r="G58" s="2544"/>
      <c r="H58" s="2546" t="s">
        <v>1752</v>
      </c>
      <c r="I58" s="2949"/>
      <c r="J58" s="2822"/>
      <c r="K58" s="3491"/>
      <c r="L58" s="3491"/>
      <c r="M58" s="2512" t="s">
        <v>2700</v>
      </c>
      <c r="N58" s="2516"/>
      <c r="O58" s="2517" t="str">
        <f ca="1">IF(H19="元",NUMBERSTRING(INT(O57),2)&amp;"元整",NUMBERSTRING(INT(O57*10000),2)&amp;"元整")</f>
        <v>玖拾陆万元整</v>
      </c>
      <c r="P58" s="2518"/>
      <c r="Q58" s="1278"/>
    </row>
    <row r="59" spans="1:17" ht="24.75" hidden="1" thickBot="1">
      <c r="A59" s="3445" t="s">
        <v>1754</v>
      </c>
      <c r="B59" s="3446"/>
      <c r="C59" s="3446"/>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2753</v>
      </c>
      <c r="H59" s="2064" t="s">
        <v>2763</v>
      </c>
      <c r="I59" s="2851" t="s">
        <v>2764</v>
      </c>
      <c r="J59" s="2822"/>
      <c r="K59" s="3489">
        <f>K57+1</f>
        <v>5</v>
      </c>
      <c r="L59" s="3491" t="s">
        <v>2701</v>
      </c>
      <c r="M59" s="2504" t="s">
        <v>2699</v>
      </c>
      <c r="N59" s="2519"/>
      <c r="O59" s="2520">
        <f ca="1">N49-O57</f>
        <v>1730</v>
      </c>
      <c r="P59" s="2521"/>
      <c r="Q59" s="1278"/>
    </row>
    <row r="60" spans="1:17" ht="12" hidden="1" customHeight="1">
      <c r="A60" s="1425"/>
      <c r="B60" s="1429"/>
      <c r="C60" s="1429"/>
      <c r="D60" s="1429"/>
      <c r="E60" s="812"/>
      <c r="F60" s="2950"/>
      <c r="G60" s="2950"/>
      <c r="H60" s="2951"/>
      <c r="I60" s="31"/>
      <c r="K60" s="3490"/>
      <c r="L60" s="3491"/>
      <c r="M60" s="2512" t="s">
        <v>2700</v>
      </c>
      <c r="N60" s="2516"/>
      <c r="O60" s="2517" t="str">
        <f ca="1">IF(H19="元",NUMBERSTRING(INT(O59),2)&amp;"元整",NUMBERSTRING(INT(O59*10000),2)&amp;"元整")</f>
        <v>壹仟柒佰叁拾万元整</v>
      </c>
      <c r="P60" s="2518"/>
      <c r="Q60" s="1278"/>
    </row>
    <row r="61" spans="1:17" ht="13.5" hidden="1" thickBot="1">
      <c r="A61" s="3471" t="s">
        <v>1756</v>
      </c>
      <c r="B61" s="3471"/>
      <c r="C61" s="3471"/>
      <c r="D61" s="3471"/>
      <c r="E61" s="3471"/>
      <c r="F61" s="2950"/>
      <c r="G61" s="2950"/>
      <c r="H61" s="2952"/>
      <c r="I61" s="31"/>
      <c r="K61" s="2504">
        <f>K59+1</f>
        <v>6</v>
      </c>
      <c r="L61" s="3491" t="s">
        <v>2702</v>
      </c>
      <c r="M61" s="3491"/>
      <c r="N61" s="2522"/>
      <c r="O61" s="2523">
        <f ca="1">IF(H19="元",ROUND(O59/项目基本情况!C12,0),ROUND(O59*10000/项目基本情况!C12,0))</f>
        <v>24065</v>
      </c>
      <c r="P61" s="2524"/>
      <c r="Q61" s="1278"/>
    </row>
    <row r="62" spans="1:17" ht="12.75" hidden="1">
      <c r="A62" s="3480" t="s">
        <v>1758</v>
      </c>
      <c r="B62" s="3481"/>
      <c r="C62" s="1575"/>
      <c r="D62" s="1575" t="s">
        <v>1759</v>
      </c>
      <c r="E62" s="45" t="s">
        <v>1760</v>
      </c>
      <c r="F62" s="2950"/>
      <c r="G62" s="2950"/>
      <c r="H62" s="2952"/>
      <c r="I62" s="31"/>
      <c r="K62" s="2525"/>
      <c r="L62" s="2525"/>
      <c r="M62" s="2525"/>
      <c r="N62" s="2525"/>
      <c r="O62" s="2525"/>
      <c r="P62" s="2525"/>
      <c r="Q62" s="1278"/>
    </row>
    <row r="63" spans="1:17" ht="12.75" hidden="1">
      <c r="A63" s="46">
        <v>1</v>
      </c>
      <c r="B63" s="47" t="s">
        <v>1761</v>
      </c>
      <c r="C63" s="2753">
        <f ca="1">ROUND((C64+C65)/(1+'数据-取费表'!F30),0)</f>
        <v>1739</v>
      </c>
      <c r="D63" s="47"/>
      <c r="E63" s="48"/>
      <c r="F63" s="2950"/>
      <c r="G63" s="2950"/>
      <c r="H63" s="2952"/>
      <c r="I63" s="31"/>
      <c r="K63" s="3507" t="s">
        <v>2703</v>
      </c>
      <c r="L63" s="2526" t="s">
        <v>2704</v>
      </c>
      <c r="M63" s="2526">
        <f ca="1">IF(N49&gt;10000,N49*0.5%,IF(AND(N49&gt;1000,N49&lt;=10000),N49*1%,IF(AND(N49&gt;100,N49&lt;=1000),N49*3%,IF(AND(N49&gt;10,N49&lt;=100),N49*5%,N49*8%))))</f>
        <v>18.260000000000002</v>
      </c>
      <c r="N63" s="2527">
        <f ca="1">ROUND(M63,1)</f>
        <v>18.3</v>
      </c>
      <c r="O63" s="2525"/>
      <c r="P63" s="2525"/>
      <c r="Q63" s="1278"/>
    </row>
    <row r="64" spans="1:17" ht="12.75" hidden="1">
      <c r="A64" s="49" t="s">
        <v>71</v>
      </c>
      <c r="B64" s="50" t="s">
        <v>1764</v>
      </c>
      <c r="C64" s="2754">
        <f ca="1">D45</f>
        <v>1826</v>
      </c>
      <c r="D64" s="50" t="s">
        <v>41</v>
      </c>
      <c r="E64" s="52"/>
      <c r="F64" s="2950"/>
      <c r="G64" s="2950"/>
      <c r="H64" s="2952"/>
      <c r="I64" s="31"/>
      <c r="K64" s="3507"/>
      <c r="L64" s="2526" t="s">
        <v>2705</v>
      </c>
      <c r="M64" s="2526">
        <f ca="1">IF(N49&gt;2000,N49*0.5%,IF(AND(N49&gt;1000,N49&lt;=2000),N49*0.6%,IF(AND(N49&gt;500,N49&lt;=1000),N49*0.7%,IF(AND(N49&gt;200,N49&lt;=500),N49*0.8%,IF(AND(N49&gt;100,N49&lt;=200),N49*0.9%,IF(AND(N49&gt;50,N49&lt;=100),N49*1%,IF(AND(N49&gt;20,N49&lt;=50),N49*1.5%,IF(AND(N49&gt;10,N49&lt;=20),N49*2%,IF(AND(N49&gt;1,N49&lt;=10),N49*2.5%)))))))))</f>
        <v>10.956</v>
      </c>
      <c r="N64" s="2527">
        <f t="shared" ref="N64:N65" ca="1" si="2">ROUND(M64,1)</f>
        <v>11</v>
      </c>
      <c r="O64" s="2525" t="s">
        <v>2706</v>
      </c>
      <c r="P64" s="2525"/>
      <c r="Q64" s="1278"/>
    </row>
    <row r="65" spans="1:36" ht="12.75" hidden="1">
      <c r="A65" s="49" t="s">
        <v>72</v>
      </c>
      <c r="B65" s="50" t="s">
        <v>1767</v>
      </c>
      <c r="C65" s="2755"/>
      <c r="D65" s="50"/>
      <c r="E65" s="52"/>
      <c r="F65" s="2950"/>
      <c r="G65" s="2950"/>
      <c r="H65" s="2952"/>
      <c r="I65" s="31"/>
      <c r="K65" s="3507"/>
      <c r="L65" s="2526" t="s">
        <v>2707</v>
      </c>
      <c r="M65" s="2526">
        <f ca="1">IF(N49&gt;1000,N49*0.1%,IF(AND(N49&gt;500,N49&lt;=1000),N49*0.5%,IF(AND(N49&gt;50,N49&lt;=500),N49*1%,IF(AND(N49&gt;1,N49&lt;=50),N49*1.5%))))</f>
        <v>1.8260000000000001</v>
      </c>
      <c r="N65" s="2527">
        <f t="shared" ca="1" si="2"/>
        <v>1.8</v>
      </c>
      <c r="O65" s="2525" t="s">
        <v>2706</v>
      </c>
      <c r="P65" s="2525"/>
      <c r="Q65" s="1278"/>
    </row>
    <row r="66" spans="1:36" ht="12.75" hidden="1">
      <c r="A66" s="53" t="s">
        <v>47</v>
      </c>
      <c r="B66" s="54" t="s">
        <v>1769</v>
      </c>
      <c r="C66" s="2756"/>
      <c r="D66" s="54" t="s">
        <v>41</v>
      </c>
      <c r="E66" s="1286" t="s">
        <v>1770</v>
      </c>
      <c r="F66" s="2950"/>
      <c r="G66" s="2950"/>
      <c r="H66" s="2952"/>
      <c r="I66" s="31"/>
      <c r="K66" s="3507"/>
      <c r="L66" s="2526" t="s">
        <v>2708</v>
      </c>
      <c r="M66" s="2526">
        <f ca="1">N49*0.5%</f>
        <v>9.1300000000000008</v>
      </c>
      <c r="N66" s="2527">
        <f ca="1">IF(M66&gt;0.5,0.5,ROUND(M66,0))</f>
        <v>0.5</v>
      </c>
      <c r="O66" s="2525" t="s">
        <v>2709</v>
      </c>
      <c r="P66" s="2525"/>
      <c r="Q66" s="1278"/>
    </row>
    <row r="67" spans="1:36" ht="12.75" hidden="1">
      <c r="A67" s="53" t="s">
        <v>42</v>
      </c>
      <c r="B67" s="54" t="s">
        <v>1773</v>
      </c>
      <c r="C67" s="2757">
        <f ca="1">C63-C66</f>
        <v>1739</v>
      </c>
      <c r="D67" s="50" t="s">
        <v>41</v>
      </c>
      <c r="E67" s="52"/>
      <c r="F67" s="2950"/>
      <c r="G67" s="2950"/>
      <c r="H67" s="2952"/>
      <c r="I67" s="31"/>
      <c r="K67" s="3507"/>
      <c r="L67" s="2526" t="s">
        <v>2710</v>
      </c>
      <c r="M67" s="2526">
        <f ca="1">IF(N49&gt;=10000,(8.25+(N49-10000)*0.01%),IF(AND(N49&gt;=8000,N49&lt;10000),(7.85+(N49-8000)*0.02%),IF(AND(N49&gt;=5000,N49&lt;8000),(6.65+(N49-5000)*0.04%),IF(AND(N49&gt;=2000,N49&lt;5000),(4.25+(PN49-2000)*0.08%),IF(AND(N49&gt;=1000,N49&lt;2000),(2.75+(N49-1000)*0.15%),IF(AND(N49&gt;=100,N49&lt;1000),(0.5+(N49-100)*0.25%),IF(AND(N49&gt;0,N49&lt;100),N49*0.5%)))))))</f>
        <v>3.9889999999999999</v>
      </c>
      <c r="N67" s="2527">
        <f ca="1">ROUND(M67*0.9,1)</f>
        <v>3.6</v>
      </c>
      <c r="O67" s="2525"/>
      <c r="P67" s="2525"/>
      <c r="Q67" s="1278"/>
    </row>
    <row r="68" spans="1:36" ht="13.5" hidden="1" thickBot="1">
      <c r="A68" s="55" t="s">
        <v>46</v>
      </c>
      <c r="B68" s="56" t="s">
        <v>1775</v>
      </c>
      <c r="C68" s="2758">
        <f ca="1">IF(C67&lt;=0,0,ROUND(C67*D68,0))</f>
        <v>96</v>
      </c>
      <c r="D68" s="2210">
        <f>'数据-取费表'!E29</f>
        <v>5.5000000000000007E-2</v>
      </c>
      <c r="E68" s="57"/>
      <c r="F68" s="2950"/>
      <c r="G68" s="2950"/>
      <c r="H68" s="2952"/>
      <c r="I68" s="31"/>
      <c r="K68" s="3507"/>
      <c r="L68" s="2526" t="s">
        <v>2711</v>
      </c>
      <c r="M68" s="2526">
        <f ca="1">IF(N49&gt;10000,N49*0.5%,IF(AND(N49&gt;5000,N49&lt;=10000),N49*1%,IF(AND(N49&gt;1000,N49&lt;=5000),N49*2%,IF(AND(N49&gt;200,N49&lt;=1000),N49*3%,N49*5%))))</f>
        <v>36.520000000000003</v>
      </c>
      <c r="N68" s="2527">
        <f ca="1">ROUND(M68,1)</f>
        <v>36.5</v>
      </c>
      <c r="O68" s="2525"/>
      <c r="P68" s="2525"/>
      <c r="Q68" s="1278"/>
    </row>
    <row r="69" spans="1:36" s="1433" customFormat="1" ht="7.5" hidden="1" customHeight="1">
      <c r="A69" s="1445"/>
      <c r="B69" s="1446"/>
      <c r="C69" s="1447"/>
      <c r="D69" s="1448"/>
      <c r="E69" s="1449"/>
      <c r="F69" s="812"/>
      <c r="G69" s="812"/>
      <c r="H69" s="1438"/>
      <c r="I69" s="1429"/>
      <c r="J69" s="2810"/>
      <c r="K69" s="3507"/>
      <c r="L69" s="2526" t="s">
        <v>54</v>
      </c>
      <c r="M69" s="2526"/>
      <c r="N69" s="2527">
        <f ca="1">ROUND(SUM(N63:N68),0)</f>
        <v>72</v>
      </c>
      <c r="O69" s="2528">
        <f ca="1">N69/N49</f>
        <v>3.9430449069003289E-2</v>
      </c>
      <c r="P69" s="2525"/>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1" customFormat="1" ht="15" hidden="1" thickBot="1">
      <c r="A70" s="3483" t="s">
        <v>1778</v>
      </c>
      <c r="B70" s="3484"/>
      <c r="C70" s="3484"/>
      <c r="D70" s="3484"/>
      <c r="E70" s="3484"/>
      <c r="F70" s="3484"/>
      <c r="G70" s="3484"/>
      <c r="H70" s="3484"/>
      <c r="I70" s="1450"/>
      <c r="J70" s="2823"/>
      <c r="P70" s="976"/>
      <c r="Q70" s="976"/>
      <c r="R70" s="976"/>
      <c r="S70" s="976"/>
      <c r="T70" s="976"/>
      <c r="U70" s="976"/>
      <c r="V70" s="976"/>
      <c r="W70" s="976"/>
      <c r="X70" s="976"/>
      <c r="Y70" s="976"/>
      <c r="Z70" s="976"/>
      <c r="AA70" s="976"/>
      <c r="AB70" s="1452"/>
      <c r="AC70" s="1452"/>
      <c r="AD70" s="1452"/>
      <c r="AE70" s="1452"/>
      <c r="AF70" s="1452"/>
      <c r="AG70" s="1452"/>
      <c r="AH70" s="1452"/>
      <c r="AI70" s="1452"/>
      <c r="AJ70" s="1452"/>
    </row>
    <row r="71" spans="1:36" s="1451" customFormat="1" ht="14.25" hidden="1">
      <c r="A71" s="3480" t="s">
        <v>1758</v>
      </c>
      <c r="B71" s="3481"/>
      <c r="C71" s="1575"/>
      <c r="D71" s="1575" t="s">
        <v>1759</v>
      </c>
      <c r="E71" s="58" t="s">
        <v>1760</v>
      </c>
      <c r="F71" s="59"/>
      <c r="G71" s="59"/>
      <c r="H71" s="60"/>
      <c r="I71" s="1453"/>
      <c r="J71" s="2824"/>
      <c r="P71" s="976"/>
      <c r="Q71" s="976"/>
      <c r="R71" s="976"/>
      <c r="S71" s="976"/>
      <c r="T71" s="976"/>
      <c r="U71" s="976"/>
      <c r="V71" s="976"/>
      <c r="W71" s="976"/>
      <c r="X71" s="976"/>
      <c r="Y71" s="976"/>
      <c r="Z71" s="976"/>
      <c r="AA71" s="976"/>
      <c r="AB71" s="1452"/>
      <c r="AC71" s="1452"/>
      <c r="AD71" s="1452"/>
      <c r="AE71" s="1452"/>
      <c r="AF71" s="1452"/>
      <c r="AG71" s="1452"/>
      <c r="AH71" s="1452"/>
      <c r="AI71" s="1452"/>
      <c r="AJ71" s="1452"/>
    </row>
    <row r="72" spans="1:36" s="1451" customFormat="1" ht="14.25" hidden="1">
      <c r="A72" s="61">
        <v>1</v>
      </c>
      <c r="B72" s="54" t="s">
        <v>1779</v>
      </c>
      <c r="C72" s="2757">
        <f ca="1">ROUND(D45/(1+'数据-取费表'!F30),0)</f>
        <v>1739</v>
      </c>
      <c r="D72" s="50" t="s">
        <v>41</v>
      </c>
      <c r="E72" s="12" t="s">
        <v>1780</v>
      </c>
      <c r="F72" s="2057"/>
      <c r="G72" s="2057"/>
      <c r="H72" s="62"/>
      <c r="I72" s="1453"/>
      <c r="J72" s="2824"/>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hidden="1">
      <c r="A73" s="63">
        <v>2</v>
      </c>
      <c r="B73" s="41" t="s">
        <v>1781</v>
      </c>
      <c r="C73" s="2757">
        <f ca="1">C74+C78</f>
        <v>9</v>
      </c>
      <c r="D73" s="50" t="s">
        <v>41</v>
      </c>
      <c r="E73" s="2056"/>
      <c r="F73" s="2057"/>
      <c r="G73" s="2057"/>
      <c r="H73" s="62"/>
      <c r="I73" s="1453"/>
      <c r="J73" s="2824"/>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24" hidden="1">
      <c r="A74" s="49" t="s">
        <v>73</v>
      </c>
      <c r="B74" s="50" t="s">
        <v>1782</v>
      </c>
      <c r="C74" s="50">
        <f>ROUND(IF(G77="2016年5月1日后购买",C75/(1+'数据-取费表'!F30)+C76+C77,C75+C76+C77),0)</f>
        <v>0</v>
      </c>
      <c r="D74" s="50" t="s">
        <v>41</v>
      </c>
      <c r="E74" s="2056"/>
      <c r="F74" s="2057"/>
      <c r="G74" s="2057"/>
      <c r="H74" s="62"/>
      <c r="I74" s="1453"/>
      <c r="J74" s="2824"/>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hidden="1">
      <c r="A75" s="49" t="s">
        <v>74</v>
      </c>
      <c r="B75" s="50" t="s">
        <v>1783</v>
      </c>
      <c r="C75" s="2236"/>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75" hidden="1" customHeight="1">
      <c r="A76" s="49" t="s">
        <v>75</v>
      </c>
      <c r="B76" s="65" t="s">
        <v>1787</v>
      </c>
      <c r="C76" s="50">
        <f>IF(F75="购房发票",ROUND(C75*H75*D76,0),0)</f>
        <v>0</v>
      </c>
      <c r="D76" s="2763">
        <v>0.05</v>
      </c>
      <c r="E76" s="3423" t="s">
        <v>1788</v>
      </c>
      <c r="F76" s="3461"/>
      <c r="G76" s="3461"/>
      <c r="H76" s="3475"/>
      <c r="I76" s="1453"/>
      <c r="J76" s="2824"/>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4.75" hidden="1" customHeight="1">
      <c r="A77" s="49" t="s">
        <v>76</v>
      </c>
      <c r="B77" s="50" t="s">
        <v>1789</v>
      </c>
      <c r="C77" s="50">
        <f>ROUND(IF(G77="个人住宅",0,IF(G77="2016年5月1日前购买",C75*D77,C75*D77/(1+'数据-取费表'!F30))),0)</f>
        <v>0</v>
      </c>
      <c r="D77" s="2764">
        <f>'数据-取费表'!E36+'数据-取费表'!E37</f>
        <v>3.0499999999999999E-2</v>
      </c>
      <c r="E77" s="12" t="s">
        <v>1790</v>
      </c>
      <c r="F77" s="2063"/>
      <c r="G77" s="1454" t="s">
        <v>1791</v>
      </c>
      <c r="H77" s="2058" t="str">
        <f>IF(G77="个人买卖住房","免征印花税"," ")</f>
        <v xml:space="preserve"> </v>
      </c>
      <c r="I77" s="1453"/>
      <c r="J77" s="2824"/>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hidden="1" customHeight="1">
      <c r="A78" s="49" t="s">
        <v>77</v>
      </c>
      <c r="B78" s="50" t="s">
        <v>1792</v>
      </c>
      <c r="C78" s="2765">
        <f ca="1">ROUND(D45*D78/(1+'数据-取费表'!F30),0)</f>
        <v>9</v>
      </c>
      <c r="D78" s="2766">
        <f>'数据-取费表'!E31</f>
        <v>5.000000000000001E-3</v>
      </c>
      <c r="E78" s="3455" t="s">
        <v>1793</v>
      </c>
      <c r="F78" s="3456"/>
      <c r="G78" s="3456"/>
      <c r="H78" s="3457"/>
      <c r="I78" s="1455"/>
      <c r="J78" s="2826"/>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14.25" hidden="1">
      <c r="A79" s="53" t="s">
        <v>42</v>
      </c>
      <c r="B79" s="54" t="s">
        <v>1794</v>
      </c>
      <c r="C79" s="2757">
        <f ca="1">C72-C73</f>
        <v>1730</v>
      </c>
      <c r="D79" s="50" t="s">
        <v>41</v>
      </c>
      <c r="E79" s="2056"/>
      <c r="F79" s="2057"/>
      <c r="G79" s="2057"/>
      <c r="H79" s="62"/>
      <c r="I79" s="1453"/>
      <c r="J79" s="2824"/>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 hidden="1">
      <c r="A80" s="53" t="s">
        <v>43</v>
      </c>
      <c r="B80" s="54" t="s">
        <v>1795</v>
      </c>
      <c r="C80" s="2767">
        <f ca="1">IF(C79&lt;=0,0,C79/C73)</f>
        <v>192.22222222222223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24.75" hidden="1" thickBot="1">
      <c r="A81" s="55" t="s">
        <v>44</v>
      </c>
      <c r="B81" s="56" t="s">
        <v>1796</v>
      </c>
      <c r="C81" s="2768">
        <f ca="1">ROUND(IF(C79&lt;=0,0,IF(C80&gt;=200%,C79*60%-C73*35%,IF(C80&gt;=100%,C79*50%-C73*15%,IF(C80&gt;=50%,C79*40%-C73*5%,IF(C80&lt;50%,C79*30%,0))))),0)</f>
        <v>1035</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7.5" hidden="1" customHeight="1">
      <c r="A82" s="607"/>
      <c r="B82" s="608"/>
      <c r="C82" s="9"/>
      <c r="D82" s="9"/>
      <c r="E82" s="608"/>
      <c r="F82" s="608"/>
      <c r="G82" s="608"/>
      <c r="H82" s="609"/>
      <c r="I82" s="1455"/>
      <c r="J82" s="2826"/>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hidden="1" thickBot="1">
      <c r="A83" s="3483" t="s">
        <v>1797</v>
      </c>
      <c r="B83" s="3484"/>
      <c r="C83" s="3484"/>
      <c r="D83" s="3484"/>
      <c r="E83" s="3484"/>
      <c r="F83" s="3484"/>
      <c r="G83" s="3484"/>
      <c r="H83" s="3484"/>
      <c r="I83" s="9"/>
      <c r="J83" s="2825"/>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14.25" hidden="1">
      <c r="A84" s="3480" t="s">
        <v>1758</v>
      </c>
      <c r="B84" s="3481"/>
      <c r="C84" s="1575"/>
      <c r="D84" s="1575"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24" hidden="1">
      <c r="A85" s="61">
        <v>1</v>
      </c>
      <c r="B85" s="54" t="s">
        <v>1779</v>
      </c>
      <c r="C85" s="2757">
        <f ca="1">ROUND(D45/(1+'数据-取费表'!F30),0)</f>
        <v>1739</v>
      </c>
      <c r="D85" s="50" t="s">
        <v>41</v>
      </c>
      <c r="E85" s="2056" t="s">
        <v>1780</v>
      </c>
      <c r="F85" s="2057"/>
      <c r="G85" s="2057"/>
      <c r="H85" s="73"/>
      <c r="I85" s="9"/>
      <c r="J85" s="2825"/>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hidden="1">
      <c r="A86" s="63">
        <v>2</v>
      </c>
      <c r="B86" s="41" t="s">
        <v>1781</v>
      </c>
      <c r="C86" s="2757">
        <f ca="1">IF(H88="仅含出让金",C87+C90+C91+C92+C93+C94,C87+C91+C92+C93+C94)</f>
        <v>9</v>
      </c>
      <c r="D86" s="2769"/>
      <c r="E86" s="2056"/>
      <c r="F86" s="2057"/>
      <c r="G86" s="2057"/>
      <c r="H86" s="73"/>
      <c r="I86" s="9"/>
      <c r="J86" s="2825"/>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hidden="1">
      <c r="A87" s="49" t="s">
        <v>73</v>
      </c>
      <c r="B87" s="50" t="s">
        <v>1798</v>
      </c>
      <c r="C87" s="2765">
        <f>C88+C89</f>
        <v>0</v>
      </c>
      <c r="D87" s="2766"/>
      <c r="E87" s="2053"/>
      <c r="F87" s="2054"/>
      <c r="G87" s="2054"/>
      <c r="H87" s="2055"/>
      <c r="I87" s="9"/>
      <c r="J87" s="2825"/>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hidden="1">
      <c r="A88" s="49" t="s">
        <v>74</v>
      </c>
      <c r="B88" s="50" t="s">
        <v>1799</v>
      </c>
      <c r="C88" s="2770"/>
      <c r="D88" s="2766"/>
      <c r="E88" s="74" t="s">
        <v>1800</v>
      </c>
      <c r="F88" s="2054"/>
      <c r="G88" s="75" t="s">
        <v>1801</v>
      </c>
      <c r="H88" s="1456"/>
      <c r="I88" s="9"/>
      <c r="J88" s="2825"/>
      <c r="K88" s="2941" t="s">
        <v>2757</v>
      </c>
      <c r="L88" s="1452"/>
      <c r="M88" s="1452"/>
      <c r="N88" s="1452"/>
      <c r="O88" s="1452"/>
      <c r="P88" s="1452"/>
      <c r="Q88" s="1452"/>
      <c r="R88" s="1452"/>
      <c r="S88" s="1452"/>
      <c r="T88" s="976"/>
      <c r="U88" s="976"/>
      <c r="V88" s="976"/>
      <c r="W88" s="976"/>
      <c r="X88" s="976"/>
      <c r="Y88" s="976"/>
      <c r="Z88" s="976"/>
      <c r="AA88" s="976"/>
      <c r="AB88" s="1452"/>
      <c r="AC88" s="1452"/>
      <c r="AD88" s="1452"/>
      <c r="AE88" s="1452"/>
      <c r="AF88" s="1452"/>
      <c r="AG88" s="1452"/>
      <c r="AH88" s="1452"/>
      <c r="AI88" s="1452"/>
      <c r="AJ88" s="1452"/>
    </row>
    <row r="89" spans="1:36" s="1451" customFormat="1" ht="14.25" hidden="1">
      <c r="A89" s="49" t="s">
        <v>75</v>
      </c>
      <c r="B89" s="50" t="s">
        <v>1789</v>
      </c>
      <c r="C89" s="2765">
        <f>ROUND(C88*D89,0)</f>
        <v>0</v>
      </c>
      <c r="D89" s="2766">
        <f>'数据-取费表'!E36+'数据-取费表'!E37</f>
        <v>3.0499999999999999E-2</v>
      </c>
      <c r="E89" s="74" t="s">
        <v>1802</v>
      </c>
      <c r="F89" s="2054"/>
      <c r="G89" s="2054"/>
      <c r="H89" s="2055"/>
      <c r="I89" s="9"/>
      <c r="J89" s="2825"/>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24" hidden="1" customHeight="1">
      <c r="A90" s="49" t="s">
        <v>77</v>
      </c>
      <c r="B90" s="50" t="s">
        <v>1803</v>
      </c>
      <c r="C90" s="2770"/>
      <c r="D90" s="2766"/>
      <c r="E90" s="74" t="str">
        <f>IF(H88="-","土地取得成本中已包含该笔费用"," ")</f>
        <v xml:space="preserve"> </v>
      </c>
      <c r="F90" s="2054"/>
      <c r="G90" s="3516" t="s">
        <v>2673</v>
      </c>
      <c r="H90" s="3516"/>
      <c r="I90" s="9"/>
      <c r="J90" s="2825"/>
      <c r="K90" s="2941" t="s">
        <v>2758</v>
      </c>
      <c r="L90" s="1452"/>
      <c r="M90" s="1452"/>
      <c r="N90" s="1452"/>
      <c r="O90" s="1452"/>
      <c r="P90" s="1452"/>
      <c r="Q90" s="1452"/>
      <c r="R90" s="1452"/>
      <c r="S90" s="1452"/>
      <c r="T90" s="1452"/>
      <c r="U90" s="976"/>
      <c r="V90" s="976"/>
      <c r="W90" s="976"/>
      <c r="X90" s="976"/>
      <c r="Y90" s="976"/>
      <c r="Z90" s="976"/>
      <c r="AA90" s="976"/>
      <c r="AB90" s="1452"/>
      <c r="AC90" s="1452"/>
      <c r="AD90" s="1452"/>
      <c r="AE90" s="1452"/>
      <c r="AF90" s="1452"/>
      <c r="AG90" s="1452"/>
      <c r="AH90" s="1452"/>
      <c r="AI90" s="1452"/>
      <c r="AJ90" s="1452"/>
    </row>
    <row r="91" spans="1:36" s="1451" customFormat="1" ht="30.75" hidden="1" customHeight="1">
      <c r="A91" s="49" t="s">
        <v>78</v>
      </c>
      <c r="B91" s="50" t="s">
        <v>1804</v>
      </c>
      <c r="C91" s="2765">
        <f>IF(H91="——",成本法!C33,I91)</f>
        <v>0</v>
      </c>
      <c r="D91" s="2766"/>
      <c r="E91" s="3455" t="s">
        <v>1805</v>
      </c>
      <c r="F91" s="3456"/>
      <c r="G91" s="3456"/>
      <c r="H91" s="1457" t="s">
        <v>1806</v>
      </c>
      <c r="I91" s="1458"/>
      <c r="J91" s="2827"/>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25.5" hidden="1" customHeight="1">
      <c r="A92" s="49" t="s">
        <v>79</v>
      </c>
      <c r="B92" s="50" t="s">
        <v>1807</v>
      </c>
      <c r="C92" s="2765">
        <f>ROUND((C87+C90+C91)*D92,0)</f>
        <v>0</v>
      </c>
      <c r="D92" s="2809">
        <v>0.1</v>
      </c>
      <c r="E92" s="3455" t="s">
        <v>1808</v>
      </c>
      <c r="F92" s="3456"/>
      <c r="G92" s="3456"/>
      <c r="H92" s="3457"/>
      <c r="I92" s="9"/>
      <c r="J92" s="2825"/>
      <c r="K92" s="2942" t="s">
        <v>2759</v>
      </c>
      <c r="L92" s="1452"/>
      <c r="M92" s="1452"/>
      <c r="N92" s="1452"/>
      <c r="O92" s="1452"/>
      <c r="P92" s="1452"/>
      <c r="Q92" s="976"/>
      <c r="R92" s="976"/>
      <c r="S92" s="976"/>
      <c r="T92" s="976"/>
      <c r="U92" s="976"/>
      <c r="V92" s="976"/>
      <c r="W92" s="976"/>
      <c r="X92" s="976"/>
      <c r="Y92" s="976"/>
      <c r="Z92" s="976"/>
      <c r="AA92" s="976"/>
      <c r="AB92" s="1452"/>
      <c r="AC92" s="1452"/>
      <c r="AD92" s="1452"/>
      <c r="AE92" s="1452"/>
      <c r="AF92" s="1452"/>
      <c r="AG92" s="1452"/>
      <c r="AH92" s="1452"/>
      <c r="AI92" s="1452"/>
      <c r="AJ92" s="1452"/>
    </row>
    <row r="93" spans="1:36" s="1451" customFormat="1" ht="25.5" hidden="1" customHeight="1">
      <c r="A93" s="49" t="s">
        <v>80</v>
      </c>
      <c r="B93" s="50" t="s">
        <v>1792</v>
      </c>
      <c r="C93" s="2765">
        <f ca="1">ROUND(D45*D93/(1+'数据-取费表'!F30),0)</f>
        <v>9</v>
      </c>
      <c r="D93" s="2766">
        <f>'数据-取费表'!E31</f>
        <v>5.000000000000001E-3</v>
      </c>
      <c r="E93" s="3455" t="s">
        <v>1793</v>
      </c>
      <c r="F93" s="3456"/>
      <c r="G93" s="3456"/>
      <c r="H93" s="3457"/>
      <c r="I93" s="9"/>
      <c r="J93" s="2825"/>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hidden="1" customHeight="1">
      <c r="A94" s="49" t="s">
        <v>81</v>
      </c>
      <c r="B94" s="50" t="s">
        <v>1809</v>
      </c>
      <c r="C94" s="2765">
        <f>ROUND((C87+C90+C91)*D94,0)</f>
        <v>0</v>
      </c>
      <c r="D94" s="2766">
        <v>0.2</v>
      </c>
      <c r="E94" s="3455" t="s">
        <v>1810</v>
      </c>
      <c r="F94" s="3456"/>
      <c r="G94" s="3456"/>
      <c r="H94" s="3457"/>
      <c r="I94" s="9"/>
      <c r="J94" s="2825"/>
      <c r="K94" s="976"/>
      <c r="L94" s="976"/>
      <c r="M94" s="976"/>
      <c r="N94" s="976"/>
      <c r="O94" s="976"/>
      <c r="P94" s="976"/>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14.25" hidden="1">
      <c r="A95" s="53" t="s">
        <v>42</v>
      </c>
      <c r="B95" s="54" t="s">
        <v>1794</v>
      </c>
      <c r="C95" s="2757">
        <f ca="1">ROUND(C85-C86,0)</f>
        <v>1730</v>
      </c>
      <c r="D95" s="50" t="s">
        <v>41</v>
      </c>
      <c r="E95" s="2056"/>
      <c r="F95" s="2057"/>
      <c r="G95" s="2057"/>
      <c r="H95" s="73"/>
      <c r="I95" s="9"/>
      <c r="J95" s="2825"/>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4" hidden="1">
      <c r="A96" s="53" t="s">
        <v>43</v>
      </c>
      <c r="B96" s="54" t="s">
        <v>1795</v>
      </c>
      <c r="C96" s="2767">
        <f ca="1">IF(C95&lt;=0,0,C95/C86)</f>
        <v>192.22222222222223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24.75" hidden="1" thickBot="1">
      <c r="A97" s="55" t="s">
        <v>44</v>
      </c>
      <c r="B97" s="56" t="s">
        <v>1796</v>
      </c>
      <c r="C97" s="2768">
        <f ca="1">ROUND(IF(C95&lt;=0,0,IF(C96&gt;=200%,C95*60%-C86*35%,IF(C96&gt;=100%,C95*50%-C86*15%,IF(C96&gt;=50%,C95*40%-C86*5%,IF(C96&lt;50%,C95*30%,0))))),0)</f>
        <v>1035</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ht="21.75" customHeight="1" thickBot="1">
      <c r="A98" s="1439" t="s">
        <v>1811</v>
      </c>
      <c r="B98" s="1429"/>
      <c r="C98" s="1429"/>
      <c r="D98" s="1429"/>
      <c r="E98" s="812"/>
      <c r="F98" s="812"/>
      <c r="G98" s="812"/>
      <c r="H98" s="1438"/>
      <c r="I98" s="1429"/>
    </row>
    <row r="99" spans="1:36" ht="15.75">
      <c r="A99" s="3502" t="s">
        <v>1812</v>
      </c>
      <c r="B99" s="3503"/>
      <c r="C99" s="3503"/>
      <c r="D99" s="3504"/>
      <c r="E99" s="1429"/>
      <c r="F99" s="3511" t="s">
        <v>1813</v>
      </c>
      <c r="G99" s="3512"/>
      <c r="H99" s="3512"/>
      <c r="I99" s="3513"/>
      <c r="J99" s="2828"/>
    </row>
    <row r="100" spans="1:36" ht="15">
      <c r="A100" s="3514" t="s">
        <v>1814</v>
      </c>
      <c r="B100" s="3515"/>
      <c r="C100" s="1277" t="str">
        <f>C4</f>
        <v>比较法-办公</v>
      </c>
      <c r="D100" s="2776" t="str">
        <f>D4</f>
        <v>收益法</v>
      </c>
      <c r="E100" s="1429"/>
      <c r="F100" s="3426" t="s">
        <v>2717</v>
      </c>
      <c r="G100" s="3427"/>
      <c r="H100" s="3426" t="s">
        <v>2718</v>
      </c>
      <c r="I100" s="3425"/>
      <c r="J100" s="2829"/>
    </row>
    <row r="101" spans="1:36" ht="12.75">
      <c r="A101" s="3494" t="s">
        <v>2750</v>
      </c>
      <c r="B101" s="2275" t="str">
        <f>IF(H19="元","总价（元）","总价（万元）")</f>
        <v>总价（万元）</v>
      </c>
      <c r="C101" s="1277">
        <f ca="1">C19</f>
        <v>185</v>
      </c>
      <c r="D101" s="2776">
        <f ca="1">D19</f>
        <v>183</v>
      </c>
      <c r="E101" s="1429"/>
      <c r="F101" s="3426" t="str">
        <f>项目基本情况!I1</f>
        <v>北京市房地产</v>
      </c>
      <c r="G101" s="3427"/>
      <c r="H101" s="3424">
        <f>项目基本情况!C12</f>
        <v>718.89</v>
      </c>
      <c r="I101" s="3425"/>
      <c r="J101" s="2829"/>
    </row>
    <row r="102" spans="1:36" ht="12.75">
      <c r="A102" s="3494"/>
      <c r="B102" s="2275" t="s">
        <v>2751</v>
      </c>
      <c r="C102" s="2777">
        <f ca="1">C20</f>
        <v>25504</v>
      </c>
      <c r="D102" s="2778">
        <f ca="1">D20</f>
        <v>25291</v>
      </c>
      <c r="E102" s="1429"/>
      <c r="F102" s="3436" t="s">
        <v>2747</v>
      </c>
      <c r="G102" s="3437"/>
      <c r="H102" s="2786" t="str">
        <f>C106</f>
        <v>总价（万元）</v>
      </c>
      <c r="I102" s="2787">
        <f ca="1">H121</f>
        <v>1826</v>
      </c>
      <c r="J102" s="2829"/>
    </row>
    <row r="103" spans="1:36" ht="12.75">
      <c r="A103" s="3494" t="s">
        <v>2752</v>
      </c>
      <c r="B103" s="2213" t="str">
        <f>B101</f>
        <v>总价（万元）</v>
      </c>
      <c r="C103" s="2781">
        <f ca="1">H121</f>
        <v>1826</v>
      </c>
      <c r="D103" s="2779"/>
      <c r="E103" s="1429"/>
      <c r="F103" s="3436"/>
      <c r="G103" s="3437"/>
      <c r="H103" s="2786" t="s">
        <v>2720</v>
      </c>
      <c r="I103" s="52">
        <f ca="1">I121</f>
        <v>25398</v>
      </c>
      <c r="J103" s="2813"/>
    </row>
    <row r="104" spans="1:36" ht="13.5" thickBot="1">
      <c r="A104" s="3495"/>
      <c r="B104" s="2783" t="s">
        <v>2751</v>
      </c>
      <c r="C104" s="2784">
        <f ca="1">I121</f>
        <v>25398</v>
      </c>
      <c r="D104" s="2785"/>
      <c r="E104" s="1429"/>
      <c r="F104" s="3436"/>
      <c r="G104" s="3437"/>
      <c r="H104" s="3496"/>
      <c r="I104" s="3497"/>
      <c r="J104" s="2830"/>
    </row>
    <row r="105" spans="1:36" ht="15">
      <c r="A105" s="3502" t="s">
        <v>1815</v>
      </c>
      <c r="B105" s="3503"/>
      <c r="C105" s="3503"/>
      <c r="D105" s="3504"/>
      <c r="E105" s="1429"/>
      <c r="F105" s="3500" t="s">
        <v>2721</v>
      </c>
      <c r="G105" s="3501"/>
      <c r="H105" s="2788" t="str">
        <f>C108</f>
        <v>总额（万元）</v>
      </c>
      <c r="I105" s="2787">
        <f>SUMIF(I106:I108,"&lt;9E307")</f>
        <v>0</v>
      </c>
      <c r="J105" s="2829"/>
    </row>
    <row r="106" spans="1:36" ht="14.25">
      <c r="A106" s="3436" t="s">
        <v>2744</v>
      </c>
      <c r="B106" s="3437"/>
      <c r="C106" s="2786" t="str">
        <f>B101</f>
        <v>总价（万元）</v>
      </c>
      <c r="D106" s="2787">
        <f ca="1">H121</f>
        <v>1826</v>
      </c>
      <c r="E106" s="1429"/>
      <c r="F106" s="3438" t="s">
        <v>2722</v>
      </c>
      <c r="G106" s="3439"/>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36"/>
      <c r="B107" s="3437"/>
      <c r="C107" s="2786" t="s">
        <v>2745</v>
      </c>
      <c r="D107" s="52">
        <f ca="1">I121</f>
        <v>25398</v>
      </c>
      <c r="E107" s="1429"/>
      <c r="F107" s="3438" t="s">
        <v>2723</v>
      </c>
      <c r="G107" s="3439"/>
      <c r="H107" s="2788" t="str">
        <f>C110</f>
        <v>总额（万元）</v>
      </c>
      <c r="I107" s="52">
        <f>C37</f>
        <v>0</v>
      </c>
      <c r="J107" s="2813"/>
    </row>
    <row r="108" spans="1:36" ht="12.75">
      <c r="A108" s="3443" t="s">
        <v>2721</v>
      </c>
      <c r="B108" s="3444"/>
      <c r="C108" s="2788" t="str">
        <f>IF(H19="元","总额（元）","总额（万元）")</f>
        <v>总额（万元）</v>
      </c>
      <c r="D108" s="2787">
        <f>IF(D36="正常操作",I106+I107+I108,I107+I108)</f>
        <v>0</v>
      </c>
      <c r="E108" s="1429"/>
      <c r="F108" s="3438" t="s">
        <v>2748</v>
      </c>
      <c r="G108" s="3439"/>
      <c r="H108" s="2788" t="str">
        <f>C111</f>
        <v>总额（万元）</v>
      </c>
      <c r="I108" s="52">
        <f>C38</f>
        <v>0</v>
      </c>
      <c r="J108" s="2813"/>
    </row>
    <row r="109" spans="1:36" ht="12.75">
      <c r="A109" s="3438" t="s">
        <v>2722</v>
      </c>
      <c r="B109" s="3439"/>
      <c r="C109" s="2788" t="str">
        <f>C108</f>
        <v>总额（万元）</v>
      </c>
      <c r="D109" s="52">
        <f>IF(D36="同一抵押权人同一抵押物续贷",C36&amp;"（未扣减，详见特别提示）",C36)</f>
        <v>0</v>
      </c>
      <c r="E109" s="1429"/>
      <c r="F109" s="3436"/>
      <c r="G109" s="3437"/>
      <c r="H109" s="3498"/>
      <c r="I109" s="3499"/>
      <c r="J109" s="2831"/>
    </row>
    <row r="110" spans="1:36" ht="28.5" customHeight="1">
      <c r="A110" s="3438" t="s">
        <v>2746</v>
      </c>
      <c r="B110" s="3439"/>
      <c r="C110" s="2788" t="str">
        <f>C108</f>
        <v>总额（万元）</v>
      </c>
      <c r="D110" s="52">
        <f>C37</f>
        <v>0</v>
      </c>
      <c r="E110" s="1429"/>
      <c r="F110" s="3428" t="str">
        <f>IF(项目基本情况!F5="已注销","——","3.房地产抵押价值")</f>
        <v>3.房地产抵押价值</v>
      </c>
      <c r="G110" s="3429"/>
      <c r="H110" s="2774" t="str">
        <f>C112</f>
        <v>总价（万元）</v>
      </c>
      <c r="I110" s="2787">
        <f ca="1">IF(F110="——","——",I102-I105)</f>
        <v>1826</v>
      </c>
      <c r="J110" s="2829"/>
    </row>
    <row r="111" spans="1:36" ht="12.75">
      <c r="A111" s="3438" t="s">
        <v>2725</v>
      </c>
      <c r="B111" s="3439"/>
      <c r="C111" s="2788" t="str">
        <f>C108</f>
        <v>总额（万元）</v>
      </c>
      <c r="D111" s="52">
        <f>C38</f>
        <v>0</v>
      </c>
      <c r="E111" s="1429"/>
      <c r="F111" s="3527"/>
      <c r="G111" s="3528"/>
      <c r="H111" s="2786" t="s">
        <v>2720</v>
      </c>
      <c r="I111" s="2790">
        <f ca="1">D113</f>
        <v>25398</v>
      </c>
      <c r="J111" s="2832"/>
    </row>
    <row r="112" spans="1:36" ht="26.25" customHeight="1">
      <c r="A112" s="3436" t="str">
        <f>IF(项目基本情况!F5="已注销","——","3.房地产抵押价值")</f>
        <v>3.房地产抵押价值</v>
      </c>
      <c r="B112" s="3437"/>
      <c r="C112" s="2786" t="str">
        <f>B101</f>
        <v>总价（万元）</v>
      </c>
      <c r="D112" s="2787">
        <f ca="1">IF(A112="——","——",D106-D108)</f>
        <v>1826</v>
      </c>
      <c r="E112" s="1429"/>
      <c r="F112" s="3428" t="str">
        <f>IF(项目基本情况!F5="已注销及未注销","4.抵押担保权已注销时的房地产抵押价值",IF(项目基本情况!F5="已注销","3.抵押担保权已注销时的房地产抵押价值","——"))</f>
        <v>——</v>
      </c>
      <c r="G112" s="3429"/>
      <c r="H112" s="2774" t="str">
        <f>C114</f>
        <v>总价（万元）</v>
      </c>
      <c r="I112" s="2787" t="str">
        <f>IF(F112="——","——",I102-I107-I108)</f>
        <v>——</v>
      </c>
      <c r="J112" s="2829"/>
    </row>
    <row r="113" spans="1:16" ht="12.75">
      <c r="A113" s="3436"/>
      <c r="B113" s="3437"/>
      <c r="C113" s="2786" t="s">
        <v>2713</v>
      </c>
      <c r="D113" s="52">
        <f ca="1">ROUND(IF(D112=D106,D107,IF(H19="元",D112/项目基本情况!C12,D112*10000/项目基本情况!C12)),0)</f>
        <v>25398</v>
      </c>
      <c r="E113" s="1429"/>
      <c r="F113" s="3527"/>
      <c r="G113" s="3528"/>
      <c r="H113" s="2786" t="s">
        <v>2749</v>
      </c>
      <c r="I113" s="52" t="str">
        <f>D115</f>
        <v>——</v>
      </c>
      <c r="J113" s="2813"/>
    </row>
    <row r="114" spans="1:16" ht="12.75">
      <c r="A114" s="3436" t="str">
        <f>IF(项目基本情况!F5="已注销及未注销","4.抵押担保权已注销时的房地产抵押价值",IF(项目基本情况!F5="已注销","3.抵押担保权已注销时的房地产抵押价值","——"))</f>
        <v>——</v>
      </c>
      <c r="B114" s="3437"/>
      <c r="C114" s="2786" t="str">
        <f>B101</f>
        <v>总价（万元）</v>
      </c>
      <c r="D114" s="2787" t="str">
        <f>IF(A114="——","——",D106-D110-D111)</f>
        <v>——</v>
      </c>
      <c r="E114" s="1429"/>
      <c r="F114" s="3428" t="str">
        <f>IF(项目基本情况!G5="抵押净值",IF(OR(项目基本情况!F5="已注销",项目基本情况!F5="房地产抵押价值"),"4.抵押净值","5.抵押净值"),"——")</f>
        <v>——</v>
      </c>
      <c r="G114" s="3429"/>
      <c r="H114" s="2786" t="str">
        <f>C116</f>
        <v>总价（万元）</v>
      </c>
      <c r="I114" s="2787" t="str">
        <f>IF(F114="——","——",O59)</f>
        <v>——</v>
      </c>
      <c r="J114" s="2829"/>
    </row>
    <row r="115" spans="1:16" ht="13.5" thickBot="1">
      <c r="A115" s="3436"/>
      <c r="B115" s="3437"/>
      <c r="C115" s="2786" t="s">
        <v>2713</v>
      </c>
      <c r="D115" s="52" t="str">
        <f>IF(A114="——","——",ROUND(IF(D114=D106,D107,IF(H19="元",D114/项目基本情况!C12,D114*10000/项目基本情况!C12)),0))</f>
        <v>——</v>
      </c>
      <c r="E115" s="1429"/>
      <c r="F115" s="3430"/>
      <c r="G115" s="3431"/>
      <c r="H115" s="2791" t="s">
        <v>2713</v>
      </c>
      <c r="I115" s="2775" t="str">
        <f ca="1">D117</f>
        <v>——</v>
      </c>
      <c r="J115" s="2813"/>
    </row>
    <row r="116" spans="1:16" ht="15.75">
      <c r="A116" s="3436" t="str">
        <f>IF(项目基本情况!G5="抵押净值",IF(OR(项目基本情况!F5="已注销",项目基本情况!F5="房地产抵押价值"),"4.抵押净值","5.抵押净值"),"——")</f>
        <v>——</v>
      </c>
      <c r="B116" s="3437"/>
      <c r="C116" s="2786" t="str">
        <f>B101</f>
        <v>总价（万元）</v>
      </c>
      <c r="D116" s="2787" t="str">
        <f>IF(A116="——","——",O59)</f>
        <v>——</v>
      </c>
      <c r="E116" s="1429"/>
      <c r="F116" s="3522"/>
      <c r="G116" s="3522"/>
      <c r="H116" s="3486"/>
      <c r="I116" s="3486"/>
      <c r="J116" s="2833"/>
      <c r="O116" s="32"/>
      <c r="P116" s="32"/>
    </row>
    <row r="117" spans="1:16" ht="13.5" thickBot="1">
      <c r="A117" s="3441"/>
      <c r="B117" s="3442"/>
      <c r="C117" s="2791" t="s">
        <v>2713</v>
      </c>
      <c r="D117" s="2775" t="str">
        <f ca="1">IF(D116=D112,D113,IF(A116="——","——",O61))</f>
        <v>——</v>
      </c>
      <c r="E117" s="1429"/>
      <c r="F117" s="3420" t="str">
        <f>IF(B32="总价","（以上估价结果中单价为总价除以建筑面积得出）","（以上估价结果中总价为楼面单价乘以建筑面积得出）")</f>
        <v>（以上估价结果中总价为楼面单价乘以建筑面积得出）</v>
      </c>
      <c r="G117" s="3420"/>
      <c r="H117" s="3420"/>
      <c r="I117" s="3420"/>
      <c r="J117" s="2834"/>
      <c r="O117" s="32"/>
      <c r="P117" s="32"/>
    </row>
    <row r="118" spans="1:16" ht="15">
      <c r="A118" s="3487" t="s">
        <v>1816</v>
      </c>
      <c r="B118" s="3488"/>
      <c r="C118" s="3488"/>
      <c r="D118" s="3488"/>
      <c r="E118" s="3488"/>
      <c r="F118" s="3488"/>
      <c r="G118" s="3488"/>
      <c r="H118" s="3488"/>
      <c r="I118" s="3488"/>
      <c r="J118" s="2835"/>
    </row>
    <row r="119" spans="1:16" ht="12.75">
      <c r="A119" s="3421" t="s">
        <v>2731</v>
      </c>
      <c r="B119" s="3447" t="s">
        <v>2741</v>
      </c>
      <c r="C119" s="3447" t="s">
        <v>2742</v>
      </c>
      <c r="D119" s="3509" t="s">
        <v>2733</v>
      </c>
      <c r="E119" s="3510"/>
      <c r="F119" s="3422" t="s">
        <v>2743</v>
      </c>
      <c r="G119" s="3422"/>
      <c r="H119" s="3422" t="s">
        <v>2734</v>
      </c>
      <c r="I119" s="3508"/>
      <c r="J119" s="2813"/>
    </row>
    <row r="120" spans="1:16" ht="12.75">
      <c r="A120" s="3421"/>
      <c r="B120" s="3448"/>
      <c r="C120" s="3448"/>
      <c r="D120" s="2060" t="s">
        <v>2735</v>
      </c>
      <c r="E120" s="2060" t="s">
        <v>2740</v>
      </c>
      <c r="F120" s="2060" t="s">
        <v>2735</v>
      </c>
      <c r="G120" s="2060" t="s">
        <v>2736</v>
      </c>
      <c r="H120" s="2060" t="s">
        <v>2735</v>
      </c>
      <c r="I120" s="52" t="s">
        <v>2736</v>
      </c>
      <c r="J120" s="2813"/>
    </row>
    <row r="121" spans="1:16" ht="12.75">
      <c r="A121" s="2050" t="str">
        <f>项目基本情况!I1</f>
        <v>北京市房地产</v>
      </c>
      <c r="B121" s="2060">
        <f>项目基本情况!C12</f>
        <v>718.89</v>
      </c>
      <c r="C121" s="2060">
        <f>项目基本情况!C13</f>
        <v>0</v>
      </c>
      <c r="D121" s="2060">
        <f ca="1">ROUND(IF(B32="总价",C34,IF('数据-取费表'!B3="万元",E121*B121/10000,E121*B121)),0)</f>
        <v>1497</v>
      </c>
      <c r="E121" s="2060">
        <f ca="1">ROUND(IF(B32="楼面单价",C34,IF(H19="元",D121/B121,D121*10000/B121)),0)</f>
        <v>20826</v>
      </c>
      <c r="F121" s="2060">
        <f ca="1">ROUND(IF(B32="总价",C35,IF('数据-取费表'!B3="万元",G121*B121/10000,G121*B121)),0)</f>
        <v>329</v>
      </c>
      <c r="G121" s="2060">
        <f ca="1">ROUND(IF(B32="楼面单价",C35,IF(H19="元",F121/B121,F121*10000/B121)),0)</f>
        <v>4572</v>
      </c>
      <c r="H121" s="2060">
        <f ca="1">ROUND(IF(B32="总价",C32,IF('数据-取费表'!B3="万元",I121*B121/10000,I121*B121)),0)</f>
        <v>1826</v>
      </c>
      <c r="I121" s="52">
        <f ca="1">ROUND(IF(B32="楼面单价",C32,IF(H19="元",H121/B121,H121*10000/B121)),0)</f>
        <v>25398</v>
      </c>
      <c r="J121" s="2813"/>
    </row>
    <row r="122" spans="1:16" ht="12.75">
      <c r="A122" s="3421" t="s">
        <v>2737</v>
      </c>
      <c r="B122" s="3422"/>
      <c r="C122" s="3422"/>
      <c r="D122" s="3449" t="str">
        <f ca="1">IF(H19="元",NUMBERSTRING(INT(D121),2)&amp;"元整",NUMBERSTRING(INT(D121*10000),2)&amp;"元整")</f>
        <v>壹仟肆佰玖拾柒万元整</v>
      </c>
      <c r="E122" s="3492"/>
      <c r="F122" s="3449" t="str">
        <f ca="1">IF(H19="元",NUMBERSTRING(INT(F121),2)&amp;"元整",NUMBERSTRING(INT(F121*10000),2)&amp;"元整")</f>
        <v>叁佰贰拾玖万元整</v>
      </c>
      <c r="G122" s="3492"/>
      <c r="H122" s="3449" t="str">
        <f ca="1">IF(H19="元",NUMBERSTRING(INT(H121),2)&amp;"元整",NUMBERSTRING(INT(H121*10000),2)&amp;"元整")</f>
        <v>壹仟捌佰贰拾陆万元整</v>
      </c>
      <c r="I122" s="3450"/>
      <c r="J122" s="2836"/>
    </row>
    <row r="123" spans="1:16" ht="12.75">
      <c r="A123" s="3426" t="str">
        <f>IF(项目基本情况!D5="房地产市场价值","——",MID(A108,3,LEN(A108)-2))</f>
        <v>估价师所知悉的法定优先受偿款</v>
      </c>
      <c r="B123" s="3432"/>
      <c r="C123" s="3427"/>
      <c r="D123" s="3424">
        <f>I105</f>
        <v>0</v>
      </c>
      <c r="E123" s="3432"/>
      <c r="F123" s="3432"/>
      <c r="G123" s="3432"/>
      <c r="H123" s="3432"/>
      <c r="I123" s="3425"/>
      <c r="J123" s="2829"/>
    </row>
    <row r="124" spans="1:16" ht="12.75">
      <c r="A124" s="3493" t="s">
        <v>2737</v>
      </c>
      <c r="B124" s="3461"/>
      <c r="C124" s="3462"/>
      <c r="D124" s="3433">
        <f>H109</f>
        <v>0</v>
      </c>
      <c r="E124" s="3434"/>
      <c r="F124" s="3434"/>
      <c r="G124" s="3434"/>
      <c r="H124" s="3434"/>
      <c r="I124" s="3435"/>
      <c r="J124" s="2837"/>
    </row>
    <row r="125" spans="1:16" ht="12.75">
      <c r="A125" s="3436" t="str">
        <f>IF(项目基本情况!D5="房地产市场价值","——",MID(A112,3,LEN(A112)-2))</f>
        <v>房地产抵押价值</v>
      </c>
      <c r="B125" s="3437"/>
      <c r="C125" s="3437"/>
      <c r="D125" s="3424">
        <f ca="1">I110</f>
        <v>1826</v>
      </c>
      <c r="E125" s="3432"/>
      <c r="F125" s="3432"/>
      <c r="G125" s="3432"/>
      <c r="H125" s="3432"/>
      <c r="I125" s="3425"/>
      <c r="J125" s="2829"/>
    </row>
    <row r="126" spans="1:16" ht="12.75">
      <c r="A126" s="3421" t="s">
        <v>2737</v>
      </c>
      <c r="B126" s="3422"/>
      <c r="C126" s="3422"/>
      <c r="D126" s="3433">
        <f ca="1">I111</f>
        <v>25398</v>
      </c>
      <c r="E126" s="3434"/>
      <c r="F126" s="3434"/>
      <c r="G126" s="3434"/>
      <c r="H126" s="3434"/>
      <c r="I126" s="3435"/>
      <c r="J126" s="2837"/>
    </row>
    <row r="127" spans="1:16" ht="13.5" thickBot="1">
      <c r="A127" s="3436" t="str">
        <f>IF(项目基本情况!D5="房地产市场价值","——",MID(A114,3,LEN(A114)-2))</f>
        <v/>
      </c>
      <c r="B127" s="3437"/>
      <c r="C127" s="3437"/>
      <c r="D127" s="3469" t="str">
        <f>I112</f>
        <v>——</v>
      </c>
      <c r="E127" s="3470"/>
      <c r="F127" s="3470"/>
      <c r="G127" s="3470"/>
      <c r="H127" s="3470"/>
      <c r="I127" s="3521"/>
      <c r="J127" s="2829"/>
    </row>
    <row r="128" spans="1:16" ht="14.25" thickTop="1" thickBot="1">
      <c r="A128" s="3421" t="s">
        <v>2737</v>
      </c>
      <c r="B128" s="3422"/>
      <c r="C128" s="3423"/>
      <c r="D128" s="3485" t="str">
        <f>I113</f>
        <v>——</v>
      </c>
      <c r="E128" s="3485"/>
      <c r="F128" s="3485"/>
      <c r="G128" s="3485"/>
      <c r="H128" s="3485"/>
      <c r="I128" s="3485"/>
      <c r="J128" s="2837"/>
    </row>
    <row r="129" spans="1:10" ht="14.25" thickTop="1" thickBot="1">
      <c r="A129" s="3436" t="str">
        <f>IF(项目基本情况!D5="房地产市场价值","——",MID(F114,3,LEN(F114)-2))</f>
        <v/>
      </c>
      <c r="B129" s="3437"/>
      <c r="C129" s="3424"/>
      <c r="D129" s="3440" t="str">
        <f>I114</f>
        <v>——</v>
      </c>
      <c r="E129" s="3440"/>
      <c r="F129" s="3440"/>
      <c r="G129" s="3440"/>
      <c r="H129" s="3440"/>
      <c r="I129" s="3440"/>
      <c r="J129" s="2829"/>
    </row>
    <row r="130" spans="1:10" ht="14.25" thickTop="1" thickBot="1">
      <c r="A130" s="3445" t="s">
        <v>2737</v>
      </c>
      <c r="B130" s="3446"/>
      <c r="C130" s="3446"/>
      <c r="D130" s="3451">
        <f>H116</f>
        <v>0</v>
      </c>
      <c r="E130" s="3452"/>
      <c r="F130" s="3452"/>
      <c r="G130" s="3452"/>
      <c r="H130" s="3452"/>
      <c r="I130" s="3453"/>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419" t="str">
        <f>IF(B32="总价","（以上估价结果中楼面单价为总价除以建筑面积得出）","（以上估价结果中总价为楼面单价乘以建筑面积得出）")</f>
        <v>（以上估价结果中总价为楼面单价乘以建筑面积得出）</v>
      </c>
      <c r="B132" s="3419"/>
      <c r="C132" s="3419"/>
      <c r="D132" s="3419"/>
      <c r="E132" s="3419"/>
      <c r="F132" s="3419"/>
      <c r="G132" s="3419"/>
      <c r="H132" s="3419"/>
      <c r="I132" s="3419"/>
      <c r="J132" s="2831"/>
    </row>
    <row r="133" spans="1:10" ht="21.75" customHeight="1">
      <c r="A133" s="1459" t="s">
        <v>1817</v>
      </c>
      <c r="B133" s="1460"/>
      <c r="C133" s="1461" t="s">
        <v>1818</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9"/>
      <c r="J138" s="2840"/>
    </row>
    <row r="139" spans="1:10" ht="21.75" customHeight="1">
      <c r="A139" s="659"/>
      <c r="B139" s="659"/>
      <c r="C139" s="659"/>
      <c r="D139" s="659"/>
      <c r="E139" s="659"/>
      <c r="F139" s="1472" t="s">
        <v>1819</v>
      </c>
      <c r="G139" s="1473"/>
      <c r="H139" s="1473"/>
      <c r="I139" s="1474" t="s">
        <v>1820</v>
      </c>
      <c r="J139" s="2841"/>
    </row>
    <row r="140" spans="1:10" ht="21.75" customHeight="1">
      <c r="A140" s="659"/>
      <c r="B140" s="1475"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3"/>
      <c r="C142" s="1473"/>
      <c r="D142" s="1473"/>
      <c r="E142" s="1473"/>
      <c r="F142" s="1473"/>
      <c r="G142" s="1473"/>
      <c r="H142" s="1473"/>
      <c r="I142" s="1474" t="s">
        <v>1822</v>
      </c>
      <c r="J142" s="2841"/>
    </row>
    <row r="143" spans="1:10" ht="21.75" customHeight="1">
      <c r="A143" s="659"/>
      <c r="B143" s="1475" t="s">
        <v>1823</v>
      </c>
      <c r="C143" s="659"/>
      <c r="D143" s="659"/>
      <c r="E143" s="659"/>
      <c r="F143" s="659"/>
      <c r="G143" s="659"/>
      <c r="H143" s="659"/>
      <c r="I143" s="659"/>
      <c r="J143" s="2840"/>
    </row>
    <row r="144" spans="1:10" ht="21.75" customHeight="1">
      <c r="A144" s="659"/>
      <c r="B144" s="1475"/>
      <c r="C144" s="659"/>
      <c r="D144" s="659"/>
      <c r="E144" s="659"/>
      <c r="F144" s="659"/>
      <c r="G144" s="659"/>
      <c r="H144" s="659"/>
      <c r="I144" s="659"/>
      <c r="J144" s="2840"/>
    </row>
    <row r="145" spans="1:36" ht="21.75" customHeight="1">
      <c r="A145" s="659"/>
      <c r="B145" s="1473"/>
      <c r="C145" s="1473"/>
      <c r="D145" s="1473"/>
      <c r="E145" s="1473"/>
      <c r="F145" s="1473"/>
      <c r="G145" s="1473"/>
      <c r="H145" s="1473"/>
      <c r="I145" s="1474" t="s">
        <v>1822</v>
      </c>
      <c r="J145" s="2841"/>
    </row>
    <row r="146" spans="1:36" ht="21.75" customHeight="1">
      <c r="A146" s="659"/>
      <c r="B146" s="1475"/>
      <c r="C146" s="1476"/>
      <c r="D146" s="1477"/>
      <c r="E146" s="1477"/>
      <c r="F146" s="1478"/>
      <c r="G146" s="659"/>
      <c r="H146" s="659"/>
      <c r="I146" s="659"/>
      <c r="J146" s="2840"/>
    </row>
    <row r="147" spans="1:36" s="32" customFormat="1" ht="21.75" customHeight="1">
      <c r="A147" s="659"/>
      <c r="B147" s="1475"/>
      <c r="C147" s="1476"/>
      <c r="D147" s="1477"/>
      <c r="E147" s="1477"/>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0"/>
      <c r="G516" s="1430"/>
      <c r="H516" s="1430"/>
      <c r="I516" s="1430"/>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tabSelected="1" view="pageBreakPreview" topLeftCell="A28" zoomScale="90" zoomScaleNormal="100" zoomScaleSheetLayoutView="90" zoomScalePageLayoutView="80" workbookViewId="0">
      <selection activeCell="I37" sqref="I37"/>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1824</v>
      </c>
      <c r="B1" s="1429"/>
      <c r="C1" s="1429"/>
      <c r="D1" s="1429"/>
      <c r="E1" s="1429"/>
      <c r="F1" s="1429"/>
      <c r="G1" s="1429"/>
      <c r="H1" s="1429"/>
      <c r="I1" s="1429"/>
    </row>
    <row r="2" spans="1:15" ht="21.75" customHeight="1">
      <c r="A2" s="3553" t="s">
        <v>1825</v>
      </c>
      <c r="B2" s="3553"/>
      <c r="C2" s="3553"/>
      <c r="D2" s="3553"/>
      <c r="E2" s="3553"/>
      <c r="F2" s="3553"/>
      <c r="G2" s="3553"/>
      <c r="H2" s="3553"/>
      <c r="I2" s="3553"/>
      <c r="J2" s="2842"/>
    </row>
    <row r="3" spans="1:15" ht="12.75">
      <c r="A3" s="3477" t="s">
        <v>1653</v>
      </c>
      <c r="B3" s="3478"/>
      <c r="C3" s="3478"/>
      <c r="D3" s="3478"/>
      <c r="E3" s="3478"/>
      <c r="F3" s="3478"/>
      <c r="G3" s="3478"/>
      <c r="H3" s="3478"/>
      <c r="I3" s="3478"/>
      <c r="J3" s="2812"/>
    </row>
    <row r="4" spans="1:15" ht="14.25">
      <c r="A4" s="2680" t="s">
        <v>1654</v>
      </c>
      <c r="B4" s="2680" t="s">
        <v>1655</v>
      </c>
      <c r="C4" s="2681" t="s">
        <v>3018</v>
      </c>
      <c r="D4" s="2681" t="s">
        <v>3019</v>
      </c>
      <c r="E4" s="3423" t="s">
        <v>1826</v>
      </c>
      <c r="F4" s="3461"/>
      <c r="G4" s="3461"/>
      <c r="H4" s="3461"/>
      <c r="I4" s="3462"/>
      <c r="J4" s="2813"/>
      <c r="L4" s="1429" t="str">
        <f>IF(ISNUMBER(FIND("比较法",'结果表 (1修多)'!C4)),"比较法",IF(ISNUMBER(FIND("成本法",'结果表 (1修多)'!C4)),"成本法",IF(ISNUMBER(FIND("假设开发法",'结果表 (1修多)'!C4)),"假设开发法",IF(ISNUMBER(FIND("收益法",'结果表 (1修多)'!C4)),"收益法","基准地价系数修正法"))))</f>
        <v>比较法</v>
      </c>
      <c r="M4" s="1429" t="str">
        <f>IF(ISNUMBER(FIND("比较法",'结果表 (1修多)'!D4)),"比较法",IF(ISNUMBER(FIND("成本法",'结果表 (1修多)'!D4)),"成本法",IF(ISNUMBER(FIND("假设开发法",'结果表 (1修多)'!D4)),"假设开发法",IF(ISNUMBER(FIND("收益法",'结果表 (1修多)'!D4)),"收益法","基准地价系数修正法"))))</f>
        <v>收益法</v>
      </c>
      <c r="N4" s="1429"/>
      <c r="O4" s="1429"/>
    </row>
    <row r="5" spans="1:15" ht="12.75">
      <c r="A5" s="3454" t="s">
        <v>1657</v>
      </c>
      <c r="B5" s="3454">
        <v>25</v>
      </c>
      <c r="C5" s="3463"/>
      <c r="D5" s="3476"/>
      <c r="E5" s="12" t="s">
        <v>1658</v>
      </c>
      <c r="F5" s="2057"/>
      <c r="G5" s="2057"/>
      <c r="H5" s="2057"/>
      <c r="I5" s="2052"/>
      <c r="J5" s="2813"/>
    </row>
    <row r="6" spans="1:15" ht="12.75">
      <c r="A6" s="3454"/>
      <c r="B6" s="3454"/>
      <c r="C6" s="3479"/>
      <c r="D6" s="3476"/>
      <c r="E6" s="12" t="s">
        <v>1659</v>
      </c>
      <c r="F6" s="2057"/>
      <c r="G6" s="2057"/>
      <c r="H6" s="2057"/>
      <c r="I6" s="2052"/>
      <c r="J6" s="2813"/>
    </row>
    <row r="7" spans="1:15" ht="12.75">
      <c r="A7" s="3454"/>
      <c r="B7" s="3454"/>
      <c r="C7" s="3464"/>
      <c r="D7" s="3476"/>
      <c r="E7" s="12" t="s">
        <v>1660</v>
      </c>
      <c r="F7" s="2057"/>
      <c r="G7" s="2057"/>
      <c r="H7" s="2057"/>
      <c r="I7" s="2052"/>
      <c r="J7" s="2813"/>
    </row>
    <row r="8" spans="1:15" ht="12.75">
      <c r="A8" s="3454" t="s">
        <v>1661</v>
      </c>
      <c r="B8" s="3454">
        <v>15</v>
      </c>
      <c r="C8" s="3463"/>
      <c r="D8" s="3476"/>
      <c r="E8" s="12" t="s">
        <v>1662</v>
      </c>
      <c r="F8" s="2057"/>
      <c r="G8" s="2057"/>
      <c r="H8" s="2057"/>
      <c r="I8" s="2052"/>
      <c r="J8" s="2813"/>
    </row>
    <row r="9" spans="1:15" ht="12.75">
      <c r="A9" s="3454"/>
      <c r="B9" s="3454"/>
      <c r="C9" s="3464"/>
      <c r="D9" s="3476"/>
      <c r="E9" s="12" t="s">
        <v>1663</v>
      </c>
      <c r="F9" s="2057"/>
      <c r="G9" s="2057"/>
      <c r="H9" s="2057"/>
      <c r="I9" s="2052"/>
      <c r="J9" s="2813"/>
    </row>
    <row r="10" spans="1:15" ht="12.75">
      <c r="A10" s="3454" t="s">
        <v>1664</v>
      </c>
      <c r="B10" s="3454">
        <v>15</v>
      </c>
      <c r="C10" s="3463"/>
      <c r="D10" s="3476"/>
      <c r="E10" s="12" t="s">
        <v>1665</v>
      </c>
      <c r="F10" s="2057"/>
      <c r="G10" s="2057"/>
      <c r="H10" s="2057"/>
      <c r="I10" s="2052"/>
      <c r="J10" s="2813"/>
    </row>
    <row r="11" spans="1:15" ht="12.75">
      <c r="A11" s="3454"/>
      <c r="B11" s="3454"/>
      <c r="C11" s="3464"/>
      <c r="D11" s="3476"/>
      <c r="E11" s="12" t="s">
        <v>1666</v>
      </c>
      <c r="F11" s="2057"/>
      <c r="G11" s="2057"/>
      <c r="H11" s="2057"/>
      <c r="I11" s="2052"/>
      <c r="J11" s="2813"/>
    </row>
    <row r="12" spans="1:15" ht="12.75">
      <c r="A12" s="3454" t="s">
        <v>1667</v>
      </c>
      <c r="B12" s="3454">
        <v>15</v>
      </c>
      <c r="C12" s="3463"/>
      <c r="D12" s="3476"/>
      <c r="E12" s="12" t="s">
        <v>1668</v>
      </c>
      <c r="F12" s="2057"/>
      <c r="G12" s="2057"/>
      <c r="H12" s="2057"/>
      <c r="I12" s="2052"/>
      <c r="J12" s="2813"/>
    </row>
    <row r="13" spans="1:15" ht="12.75">
      <c r="A13" s="3454"/>
      <c r="B13" s="3454"/>
      <c r="C13" s="3464"/>
      <c r="D13" s="3476"/>
      <c r="E13" s="12" t="s">
        <v>1669</v>
      </c>
      <c r="F13" s="2057"/>
      <c r="G13" s="2057"/>
      <c r="H13" s="2057"/>
      <c r="I13" s="2052"/>
      <c r="J13" s="2813"/>
    </row>
    <row r="14" spans="1:15" ht="12.75">
      <c r="A14" s="3454" t="s">
        <v>1670</v>
      </c>
      <c r="B14" s="3454">
        <v>30</v>
      </c>
      <c r="C14" s="3463">
        <v>5</v>
      </c>
      <c r="D14" s="3476">
        <v>5</v>
      </c>
      <c r="E14" s="12" t="s">
        <v>1671</v>
      </c>
      <c r="F14" s="2057"/>
      <c r="G14" s="2057"/>
      <c r="H14" s="2057"/>
      <c r="I14" s="2052"/>
      <c r="J14" s="2813"/>
    </row>
    <row r="15" spans="1:15" ht="12.75">
      <c r="A15" s="3454"/>
      <c r="B15" s="3454"/>
      <c r="C15" s="3479"/>
      <c r="D15" s="3476"/>
      <c r="E15" s="12" t="s">
        <v>1672</v>
      </c>
      <c r="F15" s="2057"/>
      <c r="G15" s="2057"/>
      <c r="H15" s="2057"/>
      <c r="I15" s="2052"/>
      <c r="J15" s="2813"/>
    </row>
    <row r="16" spans="1:15" ht="12.75">
      <c r="A16" s="3454"/>
      <c r="B16" s="3454"/>
      <c r="C16" s="3464"/>
      <c r="D16" s="3476"/>
      <c r="E16" s="12" t="s">
        <v>1673</v>
      </c>
      <c r="F16" s="2057"/>
      <c r="G16" s="2057"/>
      <c r="H16" s="2057"/>
      <c r="I16" s="2052"/>
      <c r="J16" s="2813"/>
    </row>
    <row r="17" spans="1:36" ht="15">
      <c r="A17" s="2682" t="s">
        <v>1674</v>
      </c>
      <c r="B17" s="2062"/>
      <c r="C17" s="2683">
        <f>SUM(C5:C16)</f>
        <v>5</v>
      </c>
      <c r="D17" s="2683">
        <f>SUM(D5:D16)</f>
        <v>5</v>
      </c>
      <c r="E17" s="2531"/>
      <c r="F17" s="2531"/>
      <c r="G17" s="2531"/>
      <c r="H17" s="2531"/>
      <c r="I17" s="2531"/>
      <c r="J17" s="2814"/>
    </row>
    <row r="18" spans="1:36" ht="32.450000000000003" customHeight="1" thickBot="1">
      <c r="A18" s="2684" t="s">
        <v>1675</v>
      </c>
      <c r="B18" s="2685"/>
      <c r="C18" s="2686">
        <f>ROUND(C17/SUM(C17:D17),2)</f>
        <v>0.5</v>
      </c>
      <c r="D18" s="2686">
        <f>1-C18</f>
        <v>0.5</v>
      </c>
      <c r="E18" s="3472" t="s">
        <v>2756</v>
      </c>
      <c r="F18" s="3473"/>
      <c r="G18" s="3473"/>
      <c r="H18" s="3473"/>
      <c r="I18" s="3473"/>
      <c r="J18" s="2814"/>
    </row>
    <row r="19" spans="1:36" ht="15">
      <c r="A19" s="2687" t="s">
        <v>1676</v>
      </c>
      <c r="B19" s="2688" t="s">
        <v>1677</v>
      </c>
      <c r="C19" s="2689">
        <f ca="1">SUMIF(INDIRECT("'"&amp;C4&amp;"'"&amp;"!A:A"),'结果表 (1修多)'!B19,INDIRECT("'"&amp;C4&amp;"'"&amp;"!B:B"))</f>
        <v>185</v>
      </c>
      <c r="D19" s="2690">
        <f ca="1">SUMIF(INDIRECT("'"&amp;D4&amp;"'"&amp;"!A:A"),'结果表 (1修多)'!B19,INDIRECT("'"&amp;D4&amp;"'"&amp;"!B:B"))</f>
        <v>183</v>
      </c>
      <c r="E19" s="2687" t="s">
        <v>1678</v>
      </c>
      <c r="F19" s="2688" t="s">
        <v>1677</v>
      </c>
      <c r="G19" s="2691">
        <f ca="1">ROUND(C19*$C$18+D19*$D$18,0)</f>
        <v>184</v>
      </c>
      <c r="H19" s="2692" t="str">
        <f>'数据-取费表'!B3</f>
        <v>万元</v>
      </c>
      <c r="I19" s="2531"/>
      <c r="J19" s="2814"/>
    </row>
    <row r="20" spans="1:36" ht="15">
      <c r="A20" s="2693"/>
      <c r="B20" s="1662" t="s">
        <v>1679</v>
      </c>
      <c r="C20" s="1887">
        <f ca="1">SUMIF(INDIRECT("'"&amp;C4&amp;"'"&amp;"!A:A"),'结果表 (1修多)'!B20,INDIRECT("'"&amp;C4&amp;"'"&amp;"!B:B"))</f>
        <v>25504</v>
      </c>
      <c r="D20" s="1890">
        <f ca="1">SUMIF(INDIRECT("'"&amp;D4&amp;"'"&amp;"!A:A"),'结果表 (1修多)'!B20,INDIRECT("'"&amp;D4&amp;"'"&amp;"!B:B"))</f>
        <v>25291</v>
      </c>
      <c r="E20" s="2693"/>
      <c r="F20" s="1662" t="s">
        <v>1679</v>
      </c>
      <c r="G20" s="2061">
        <f ca="1">ROUND(C20*$C$18+D20*$D$18,0)</f>
        <v>25398</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4"/>
      <c r="D22" s="2702">
        <f ca="1">IF(C19&lt;D19,D19/C19-1,C19/D19-1)</f>
        <v>1.0928961748633892E-2</v>
      </c>
      <c r="E22" s="947"/>
      <c r="F22" s="947"/>
      <c r="G22" s="947"/>
      <c r="H22" s="947"/>
      <c r="I22" s="947"/>
      <c r="J22" s="2814"/>
    </row>
    <row r="23" spans="1:36" ht="13.5" thickBot="1">
      <c r="A23" s="2531"/>
      <c r="B23" s="2531"/>
      <c r="C23" s="2531"/>
      <c r="D23" s="2531"/>
      <c r="E23" s="947"/>
      <c r="F23" s="947"/>
      <c r="G23" s="947"/>
      <c r="H23" s="947"/>
      <c r="I23" s="947"/>
      <c r="J23" s="2814"/>
    </row>
    <row r="24" spans="1:36" ht="21.75" customHeight="1">
      <c r="A24" s="3465" t="s">
        <v>1682</v>
      </c>
      <c r="B24" s="2688" t="s">
        <v>1677</v>
      </c>
      <c r="C24" s="2691">
        <f>D30</f>
        <v>0</v>
      </c>
      <c r="D24" s="2643"/>
      <c r="E24" s="947"/>
      <c r="F24" s="947"/>
      <c r="G24" s="947"/>
      <c r="H24" s="947"/>
      <c r="I24" s="947"/>
      <c r="J24" s="2814"/>
    </row>
    <row r="25" spans="1:36" ht="21.75" customHeight="1">
      <c r="A25" s="3482"/>
      <c r="B25" s="1662"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2760</v>
      </c>
      <c r="F30" s="2531"/>
      <c r="G30" s="2531"/>
      <c r="H30" s="2531"/>
      <c r="I30" s="2531"/>
      <c r="J30" s="2814"/>
    </row>
    <row r="31" spans="1:36" s="2807" customFormat="1" ht="27.6" customHeight="1" thickTop="1" thickBot="1">
      <c r="A31" s="2802"/>
      <c r="B31" s="2803"/>
      <c r="C31" s="2803"/>
      <c r="D31" s="2803"/>
      <c r="E31" s="2803"/>
      <c r="F31" s="2803"/>
      <c r="G31" s="2803"/>
      <c r="H31" s="2803"/>
      <c r="I31" s="2804" t="s">
        <v>2761</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30" t="s">
        <v>1829</v>
      </c>
      <c r="B32" s="3530"/>
      <c r="C32" s="3530"/>
      <c r="D32" s="3530"/>
      <c r="E32" s="3530"/>
      <c r="F32" s="3530"/>
      <c r="G32" s="3530"/>
      <c r="H32" s="3530"/>
      <c r="I32" s="3530"/>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9"/>
      <c r="B33" s="2743" t="s">
        <v>1830</v>
      </c>
      <c r="C33" s="2744">
        <f ca="1">典型户型修正!R27</f>
        <v>25398</v>
      </c>
      <c r="D33" s="2531" t="s">
        <v>1831</v>
      </c>
      <c r="E33" s="947"/>
      <c r="F33" s="947"/>
      <c r="G33" s="947"/>
      <c r="H33" s="947"/>
      <c r="I33" s="947"/>
      <c r="J33" s="2814"/>
    </row>
    <row r="34" spans="1:16" ht="15">
      <c r="A34" s="1480" t="s">
        <v>1832</v>
      </c>
      <c r="B34" s="2745" t="s">
        <v>1833</v>
      </c>
      <c r="C34" s="2746">
        <f ca="1">典型户型修正!B2</f>
        <v>1812</v>
      </c>
      <c r="D34" s="2747" t="str">
        <f>IF('数据-取费表'!B3="万元","万元","元")</f>
        <v>万元</v>
      </c>
      <c r="E34" s="947"/>
      <c r="F34" s="947"/>
      <c r="G34" s="947"/>
      <c r="H34" s="947"/>
      <c r="I34" s="947"/>
      <c r="J34" s="2814"/>
    </row>
    <row r="35" spans="1:16" ht="15.75" thickBot="1">
      <c r="A35" s="1481"/>
      <c r="B35" s="2748" t="s">
        <v>1834</v>
      </c>
      <c r="C35" s="2697">
        <f ca="1">典型户型修正!B3</f>
        <v>25206</v>
      </c>
      <c r="D35" s="2531" t="s">
        <v>1835</v>
      </c>
      <c r="E35" s="947"/>
      <c r="F35" s="947"/>
      <c r="G35" s="947"/>
      <c r="H35" s="947"/>
      <c r="I35" s="947"/>
      <c r="J35" s="2814"/>
    </row>
    <row r="36" spans="1:16" ht="15">
      <c r="A36" s="1482"/>
      <c r="B36" s="1436" t="s">
        <v>1836</v>
      </c>
      <c r="C36" s="2749">
        <f>IF('数据-取费表'!B3="万元",典型户型修正!V25,典型户型修正!U25)</f>
        <v>0</v>
      </c>
      <c r="D36" s="2531" t="str">
        <f>D34</f>
        <v>万元</v>
      </c>
      <c r="E36" s="947"/>
      <c r="F36" s="947"/>
      <c r="G36" s="947"/>
      <c r="H36" s="947"/>
      <c r="I36" s="947"/>
      <c r="J36" s="2814"/>
    </row>
    <row r="37" spans="1:16" ht="15.75" thickBot="1">
      <c r="A37" s="1435"/>
      <c r="B37" s="1437" t="s">
        <v>1837</v>
      </c>
      <c r="C37" s="2750">
        <f>IF('数据-取费表'!B3="万元",典型户型修正!Y25,典型户型修正!X25)</f>
        <v>0</v>
      </c>
      <c r="D37" s="2531" t="str">
        <f>D34</f>
        <v>万元</v>
      </c>
      <c r="E37" s="947"/>
      <c r="F37" s="947"/>
      <c r="G37" s="947"/>
      <c r="H37" s="947"/>
      <c r="I37" s="947"/>
      <c r="J37" s="2814"/>
    </row>
    <row r="38" spans="1:16" ht="15.75" thickBot="1">
      <c r="A38" s="3465" t="s">
        <v>1838</v>
      </c>
      <c r="B38" s="1436" t="s">
        <v>1839</v>
      </c>
      <c r="C38" s="2724"/>
      <c r="D38" s="2725"/>
      <c r="E38" s="1648"/>
      <c r="F38" s="1648"/>
      <c r="G38" s="947"/>
      <c r="H38" s="947"/>
      <c r="I38" s="947"/>
      <c r="J38" s="2814"/>
    </row>
    <row r="39" spans="1:16" ht="15.75" thickBot="1">
      <c r="A39" s="3466"/>
      <c r="B39" s="2062" t="s">
        <v>1840</v>
      </c>
      <c r="C39" s="2726"/>
      <c r="D39" s="1281"/>
      <c r="E39" s="1281"/>
      <c r="F39" s="1648"/>
      <c r="G39" s="1281"/>
      <c r="H39" s="1281"/>
      <c r="I39" s="1281"/>
      <c r="J39" s="2818"/>
    </row>
    <row r="40" spans="1:16" ht="15.75" thickBot="1">
      <c r="A40" s="3467"/>
      <c r="B40" s="1437" t="s">
        <v>1841</v>
      </c>
      <c r="C40" s="2727"/>
      <c r="D40" s="2728" t="s">
        <v>1842</v>
      </c>
      <c r="E40" s="1281"/>
      <c r="F40" s="1648"/>
      <c r="G40" s="1281"/>
      <c r="H40" s="1281"/>
      <c r="I40" s="1281"/>
      <c r="J40" s="2818"/>
    </row>
    <row r="41" spans="1:16" ht="15">
      <c r="A41" s="2693" t="s">
        <v>1843</v>
      </c>
      <c r="B41" s="2729" t="s">
        <v>1844</v>
      </c>
      <c r="C41" s="2730" t="s">
        <v>1845</v>
      </c>
      <c r="D41" s="2730" t="s">
        <v>1846</v>
      </c>
      <c r="E41" s="2731" t="s">
        <v>1847</v>
      </c>
      <c r="F41" s="1648"/>
      <c r="G41" s="1281"/>
      <c r="H41" s="1281"/>
      <c r="I41" s="1281"/>
      <c r="J41" s="2818"/>
    </row>
    <row r="42" spans="1:16" ht="14.25">
      <c r="A42" s="2732" t="s">
        <v>1848</v>
      </c>
      <c r="B42" s="2733"/>
      <c r="C42" s="2734"/>
      <c r="D42" s="2734"/>
      <c r="E42" s="2735"/>
      <c r="F42" s="1648"/>
      <c r="G42" s="1281"/>
      <c r="H42" s="1281"/>
      <c r="I42" s="1281"/>
      <c r="J42" s="2818"/>
    </row>
    <row r="43" spans="1:16" ht="14.25">
      <c r="A43" s="2732" t="s">
        <v>1849</v>
      </c>
      <c r="B43" s="2733"/>
      <c r="C43" s="2734"/>
      <c r="D43" s="2734"/>
      <c r="E43" s="2735"/>
      <c r="F43" s="1648"/>
      <c r="G43" s="1281"/>
      <c r="H43" s="1281"/>
      <c r="I43" s="1281"/>
      <c r="J43" s="2818"/>
    </row>
    <row r="44" spans="1:16" ht="15" thickBot="1">
      <c r="A44" s="2736"/>
      <c r="B44" s="2737"/>
      <c r="C44" s="2738"/>
      <c r="D44" s="2738"/>
      <c r="E44" s="2723"/>
      <c r="F44" s="1648"/>
      <c r="G44" s="1281"/>
      <c r="H44" s="1281"/>
      <c r="I44" s="1281"/>
      <c r="J44" s="2818"/>
    </row>
    <row r="45" spans="1:16" ht="12.75">
      <c r="A45" s="1449"/>
      <c r="B45" s="1449"/>
      <c r="C45" s="1449"/>
      <c r="D45" s="1449"/>
      <c r="E45" s="1449"/>
      <c r="F45" s="1406"/>
      <c r="G45" s="1406"/>
      <c r="H45" s="1406"/>
      <c r="I45" s="2739"/>
      <c r="J45" s="2819"/>
    </row>
    <row r="46" spans="1:16" ht="18.75" hidden="1">
      <c r="A46" s="1439" t="s">
        <v>1850</v>
      </c>
      <c r="B46" s="1440"/>
      <c r="C46" s="1440"/>
      <c r="D46" s="2751"/>
      <c r="E46" s="2751"/>
      <c r="F46" s="2751"/>
      <c r="G46" s="2751"/>
      <c r="H46" s="2751"/>
      <c r="I46" s="2808" t="s">
        <v>2755</v>
      </c>
      <c r="J46" s="2844"/>
      <c r="K46" s="1443" t="s">
        <v>1705</v>
      </c>
      <c r="L46" s="1444"/>
      <c r="M46" s="1444"/>
      <c r="N46" s="1444"/>
      <c r="O46" s="1444"/>
      <c r="P46" s="1444"/>
    </row>
    <row r="47" spans="1:16" ht="14.25" hidden="1" customHeight="1" thickBot="1">
      <c r="A47" s="3469" t="s">
        <v>1851</v>
      </c>
      <c r="B47" s="3470"/>
      <c r="C47" s="3429"/>
      <c r="D47" s="246">
        <f ca="1">ROUND(I104*F47,0)</f>
        <v>1812</v>
      </c>
      <c r="E47" s="1510" t="s">
        <v>1852</v>
      </c>
      <c r="F47" s="2529">
        <v>1</v>
      </c>
      <c r="G47" s="2530" t="s">
        <v>1853</v>
      </c>
      <c r="H47" s="947"/>
      <c r="I47" s="947"/>
      <c r="J47" s="2814"/>
      <c r="K47" s="3555" t="s">
        <v>1709</v>
      </c>
      <c r="L47" s="3555"/>
      <c r="M47" s="3555"/>
      <c r="N47" s="3555"/>
      <c r="O47" s="3555"/>
      <c r="P47" s="3555"/>
    </row>
    <row r="48" spans="1:16" ht="14.25" hidden="1" customHeight="1">
      <c r="A48" s="3458" t="s">
        <v>1710</v>
      </c>
      <c r="B48" s="3459"/>
      <c r="C48" s="3459"/>
      <c r="D48" s="3459"/>
      <c r="E48" s="3459"/>
      <c r="F48" s="3459"/>
      <c r="G48" s="3460"/>
      <c r="H48" s="2946"/>
      <c r="I48" s="947"/>
      <c r="J48" s="2814"/>
      <c r="K48" s="2481">
        <v>1</v>
      </c>
      <c r="L48" s="3550" t="s">
        <v>1711</v>
      </c>
      <c r="M48" s="3550"/>
      <c r="N48" s="3556"/>
      <c r="O48" s="3556"/>
      <c r="P48" s="3556"/>
    </row>
    <row r="49" spans="1:17" ht="12" hidden="1" customHeight="1">
      <c r="A49" s="38" t="s">
        <v>1712</v>
      </c>
      <c r="B49" s="39"/>
      <c r="C49" s="40"/>
      <c r="D49" s="1070" t="s">
        <v>1713</v>
      </c>
      <c r="E49" s="235" t="s">
        <v>1714</v>
      </c>
      <c r="F49" s="41" t="s">
        <v>1715</v>
      </c>
      <c r="G49" s="2532" t="s">
        <v>1716</v>
      </c>
      <c r="H49" s="2946"/>
      <c r="I49" s="947"/>
      <c r="J49" s="2814"/>
      <c r="K49" s="2481">
        <v>2</v>
      </c>
      <c r="L49" s="3550" t="s">
        <v>1717</v>
      </c>
      <c r="M49" s="3550"/>
      <c r="N49" s="3557">
        <f>'数据-取费表'!B2</f>
        <v>44664</v>
      </c>
      <c r="O49" s="3557"/>
      <c r="P49" s="3557"/>
    </row>
    <row r="50" spans="1:17" ht="25.5" hidden="1">
      <c r="A50" s="3468" t="s">
        <v>1718</v>
      </c>
      <c r="B50" s="3422"/>
      <c r="C50" s="3422"/>
      <c r="D50" s="12">
        <f ca="1">IF(H50="情况1",0,IF(H50="情况2",D54,IF(H50="情况3",D55,IF(H50="情况4",D56))))</f>
        <v>95</v>
      </c>
      <c r="E50" s="2060" t="str">
        <f>IF(H50="情况4","(销售额-原购置价)×税（费）率","销售额×税（费）率")</f>
        <v>销售额×税（费）率</v>
      </c>
      <c r="F50" s="2533">
        <f>IF(H50="情况1","免征",'数据-取费表'!E29)</f>
        <v>5.5000000000000007E-2</v>
      </c>
      <c r="G50" s="2534" t="s">
        <v>1719</v>
      </c>
      <c r="H50" s="2535" t="s">
        <v>1720</v>
      </c>
      <c r="I50" s="2946"/>
      <c r="J50" s="2821"/>
      <c r="K50" s="2481">
        <v>3</v>
      </c>
      <c r="L50" s="3550" t="s">
        <v>1721</v>
      </c>
      <c r="M50" s="3550"/>
      <c r="N50" s="3551">
        <f ca="1">I104</f>
        <v>1812</v>
      </c>
      <c r="O50" s="3551"/>
      <c r="P50" s="3551"/>
    </row>
    <row r="51" spans="1:17" ht="25.5" hidden="1" customHeight="1">
      <c r="A51" s="2059" t="s">
        <v>1722</v>
      </c>
      <c r="B51" s="3461" t="s">
        <v>1723</v>
      </c>
      <c r="C51" s="3461"/>
      <c r="D51" s="2536">
        <v>0</v>
      </c>
      <c r="E51" s="261" t="s">
        <v>1724</v>
      </c>
      <c r="F51" s="2537" t="s">
        <v>48</v>
      </c>
      <c r="G51" s="3518"/>
      <c r="H51" s="2538" t="s">
        <v>2680</v>
      </c>
      <c r="I51" s="2539"/>
      <c r="J51" s="2822"/>
      <c r="K51" s="2481">
        <v>4</v>
      </c>
      <c r="L51" s="3550" t="str">
        <f>IF(项目基本情况!F5="房地产抵押价值","房地产抵押价值","抵押担保权已注销时的房地产抵押价值")</f>
        <v>房地产抵押价值</v>
      </c>
      <c r="M51" s="3550"/>
      <c r="N51" s="3551">
        <f ca="1">IF(项目基本情况!F5="房地产抵押价值",I112,I114)</f>
        <v>1812</v>
      </c>
      <c r="O51" s="3551"/>
      <c r="P51" s="3551"/>
    </row>
    <row r="52" spans="1:17" ht="25.5" hidden="1" customHeight="1">
      <c r="A52" s="2049"/>
      <c r="B52" s="3461" t="s">
        <v>1725</v>
      </c>
      <c r="C52" s="3461"/>
      <c r="D52" s="2540"/>
      <c r="E52" s="269"/>
      <c r="F52" s="2537"/>
      <c r="G52" s="3519"/>
      <c r="H52" s="2541" t="s">
        <v>2681</v>
      </c>
      <c r="I52" s="2539"/>
      <c r="J52" s="2822"/>
      <c r="K52" s="3550" t="s">
        <v>1726</v>
      </c>
      <c r="L52" s="3550"/>
      <c r="M52" s="3550"/>
      <c r="N52" s="3550"/>
      <c r="O52" s="3550"/>
      <c r="P52" s="3550"/>
    </row>
    <row r="53" spans="1:17" ht="20.45" hidden="1" customHeight="1">
      <c r="A53" s="2542"/>
      <c r="B53" s="3461" t="s">
        <v>1727</v>
      </c>
      <c r="C53" s="3461"/>
      <c r="D53" s="1070"/>
      <c r="E53" s="264"/>
      <c r="F53" s="2537"/>
      <c r="G53" s="3520"/>
      <c r="H53" s="2541" t="s">
        <v>2682</v>
      </c>
      <c r="I53" s="2539"/>
      <c r="J53" s="2822"/>
      <c r="K53" s="2482" t="s">
        <v>1728</v>
      </c>
      <c r="L53" s="3550" t="s">
        <v>1729</v>
      </c>
      <c r="M53" s="3550"/>
      <c r="N53" s="2482" t="s">
        <v>1730</v>
      </c>
      <c r="O53" s="2482" t="s">
        <v>1731</v>
      </c>
      <c r="P53" s="2482" t="s">
        <v>1732</v>
      </c>
    </row>
    <row r="54" spans="1:17" ht="24" hidden="1" customHeight="1">
      <c r="A54" s="2050" t="s">
        <v>1733</v>
      </c>
      <c r="B54" s="3461" t="s">
        <v>1734</v>
      </c>
      <c r="C54" s="3461"/>
      <c r="D54" s="1070">
        <f ca="1">ROUND(D47*'数据-取费表'!E29/(1+'数据-取费表'!F30),0)</f>
        <v>95</v>
      </c>
      <c r="E54" s="2060" t="s">
        <v>1735</v>
      </c>
      <c r="F54" s="2543">
        <f>'数据-取费表'!E29</f>
        <v>5.5000000000000007E-2</v>
      </c>
      <c r="G54" s="2544"/>
      <c r="H54" s="947"/>
      <c r="I54" s="2947"/>
      <c r="J54" s="2822"/>
      <c r="K54" s="2481">
        <v>1</v>
      </c>
      <c r="L54" s="3546" t="s">
        <v>1736</v>
      </c>
      <c r="M54" s="3546"/>
      <c r="N54" s="2483">
        <f ca="1">D50</f>
        <v>95</v>
      </c>
      <c r="O54" s="2481" t="str">
        <f>E50</f>
        <v>销售额×税（费）率</v>
      </c>
      <c r="P54" s="2484">
        <f>F50</f>
        <v>5.5000000000000007E-2</v>
      </c>
    </row>
    <row r="55" spans="1:17" ht="12" hidden="1" customHeight="1">
      <c r="A55" s="2050" t="s">
        <v>1737</v>
      </c>
      <c r="B55" s="3423" t="s">
        <v>2774</v>
      </c>
      <c r="C55" s="3462"/>
      <c r="D55" s="1070">
        <f ca="1">ROUND(D47*'数据-取费表'!E29/(1+'数据-取费表'!F30),0)</f>
        <v>95</v>
      </c>
      <c r="E55" s="2060" t="s">
        <v>1735</v>
      </c>
      <c r="F55" s="2543">
        <f>'数据-取费表'!E29</f>
        <v>5.5000000000000007E-2</v>
      </c>
      <c r="G55" s="2544"/>
      <c r="H55" s="947"/>
      <c r="I55" s="2947"/>
      <c r="J55" s="2822"/>
      <c r="K55" s="2481">
        <v>2</v>
      </c>
      <c r="L55" s="3546" t="s">
        <v>1738</v>
      </c>
      <c r="M55" s="3546"/>
      <c r="N55" s="2483">
        <f t="shared" ref="N55:P56" ca="1" si="1">D57</f>
        <v>1</v>
      </c>
      <c r="O55" s="2481" t="str">
        <f t="shared" si="1"/>
        <v>销售额×税（费）率</v>
      </c>
      <c r="P55" s="2484">
        <f t="shared" si="1"/>
        <v>5.0000000000000001E-4</v>
      </c>
    </row>
    <row r="56" spans="1:17" ht="12" hidden="1" customHeight="1">
      <c r="A56" s="2050" t="s">
        <v>1739</v>
      </c>
      <c r="B56" s="3423" t="s">
        <v>2775</v>
      </c>
      <c r="C56" s="3462"/>
      <c r="D56" s="1070">
        <f ca="1">C70</f>
        <v>95</v>
      </c>
      <c r="E56" s="264" t="s">
        <v>1740</v>
      </c>
      <c r="F56" s="2543">
        <f>'数据-取费表'!E29</f>
        <v>5.5000000000000007E-2</v>
      </c>
      <c r="G56" s="2544"/>
      <c r="H56" s="2948"/>
      <c r="I56" s="2947"/>
      <c r="J56" s="2822"/>
      <c r="K56" s="2481">
        <v>3</v>
      </c>
      <c r="L56" s="3546" t="s">
        <v>1741</v>
      </c>
      <c r="M56" s="3546"/>
      <c r="N56" s="2483">
        <f t="shared" ca="1" si="1"/>
        <v>1027</v>
      </c>
      <c r="O56" s="2481" t="str">
        <f t="shared" si="1"/>
        <v>增值额×税（费）率</v>
      </c>
      <c r="P56" s="2485" t="str">
        <f t="shared" si="1"/>
        <v>——</v>
      </c>
    </row>
    <row r="57" spans="1:17" ht="24" hidden="1" customHeight="1">
      <c r="A57" s="3421" t="s">
        <v>1742</v>
      </c>
      <c r="B57" s="3422"/>
      <c r="C57" s="3422"/>
      <c r="D57" s="12">
        <f ca="1">IF(H57="个人住宅",0,ROUND(D47*I57,0))</f>
        <v>1</v>
      </c>
      <c r="E57" s="2060" t="s">
        <v>1743</v>
      </c>
      <c r="F57" s="2543">
        <f>IF(H57="正常",I57,"免征")</f>
        <v>5.0000000000000001E-4</v>
      </c>
      <c r="G57" s="2544"/>
      <c r="H57" s="2535" t="s">
        <v>1744</v>
      </c>
      <c r="I57" s="74">
        <f>'数据-取费表'!E37</f>
        <v>5.0000000000000001E-4</v>
      </c>
      <c r="J57" s="2822"/>
      <c r="K57" s="2481">
        <f>IF(H61="非个人房产","",4)</f>
        <v>4</v>
      </c>
      <c r="L57" s="3546" t="str">
        <f>IF(H61="非个人房产","——","个人所得税")</f>
        <v>个人所得税</v>
      </c>
      <c r="M57" s="3546"/>
      <c r="N57" s="2486">
        <f ca="1">D61</f>
        <v>18</v>
      </c>
      <c r="O57" s="2487" t="str">
        <f>E61</f>
        <v>销售额×税（费）率</v>
      </c>
      <c r="P57" s="2488">
        <f>F61</f>
        <v>0.01</v>
      </c>
    </row>
    <row r="58" spans="1:17" ht="24.75" hidden="1">
      <c r="A58" s="3421" t="s">
        <v>1745</v>
      </c>
      <c r="B58" s="3422"/>
      <c r="C58" s="3422"/>
      <c r="D58" s="12">
        <f ca="1">IF(H58="个人住宅",D59,D60)</f>
        <v>1027</v>
      </c>
      <c r="E58" s="2060" t="s">
        <v>1746</v>
      </c>
      <c r="F58" s="2543" t="str">
        <f>IF(H58="正常",F60,"免征")</f>
        <v>——</v>
      </c>
      <c r="G58" s="2545" t="s">
        <v>1747</v>
      </c>
      <c r="H58" s="2546" t="s">
        <v>1744</v>
      </c>
      <c r="I58" s="2949"/>
      <c r="J58" s="2822"/>
      <c r="K58" s="2481" t="str">
        <f>IF(项目基本情况!I6="上海银行",IF(K57="",4,K57+1),"")</f>
        <v/>
      </c>
      <c r="L58" s="3548" t="str">
        <f>IF(项目基本情况!I6="上海银行","其他处置费用","")</f>
        <v/>
      </c>
      <c r="M58" s="3549"/>
      <c r="N58" s="2483" t="str">
        <f>IF(项目基本情况!I6="上海银行",N71,"")</f>
        <v/>
      </c>
      <c r="O58" s="3548" t="str">
        <f>IF(项目基本情况!I6="上海银行","包含处置中涉及的律师、诉讼、拍卖、评估等费用","")</f>
        <v/>
      </c>
      <c r="P58" s="3552"/>
    </row>
    <row r="59" spans="1:17" ht="12.75" hidden="1">
      <c r="A59" s="2050" t="s">
        <v>1722</v>
      </c>
      <c r="B59" s="3423" t="s">
        <v>1748</v>
      </c>
      <c r="C59" s="3462"/>
      <c r="D59" s="2536">
        <v>0</v>
      </c>
      <c r="E59" s="261" t="s">
        <v>1724</v>
      </c>
      <c r="F59" s="235"/>
      <c r="G59" s="2544"/>
      <c r="H59" s="2949"/>
      <c r="I59" s="2949"/>
      <c r="J59" s="2822"/>
      <c r="K59" s="3546">
        <f>IF(AND(K57="",K58=""),4,IF(项目基本情况!I6="上海银行",K58+1,K57+1))</f>
        <v>5</v>
      </c>
      <c r="L59" s="3546" t="s">
        <v>1749</v>
      </c>
      <c r="M59" s="2489" t="s">
        <v>1750</v>
      </c>
      <c r="N59" s="2490"/>
      <c r="O59" s="2491">
        <f ca="1">SUMIF(N54:N58,"&lt;9e307")</f>
        <v>1141</v>
      </c>
      <c r="P59" s="2492"/>
      <c r="Q59" s="1276">
        <f ca="1">O59/N51</f>
        <v>0.62969094922737312</v>
      </c>
    </row>
    <row r="60" spans="1:17" ht="24.75" hidden="1">
      <c r="A60" s="2050" t="s">
        <v>1733</v>
      </c>
      <c r="B60" s="3423" t="s">
        <v>1751</v>
      </c>
      <c r="C60" s="3461"/>
      <c r="D60" s="12">
        <f ca="1">IF(H60="转让取得",C83,C99)</f>
        <v>1027</v>
      </c>
      <c r="E60" s="2060" t="s">
        <v>1746</v>
      </c>
      <c r="F60" s="235" t="s">
        <v>48</v>
      </c>
      <c r="G60" s="2544"/>
      <c r="H60" s="2546" t="s">
        <v>1752</v>
      </c>
      <c r="I60" s="2949"/>
      <c r="J60" s="2822"/>
      <c r="K60" s="3546"/>
      <c r="L60" s="3546"/>
      <c r="M60" s="2489" t="s">
        <v>1753</v>
      </c>
      <c r="N60" s="2493"/>
      <c r="O60" s="2494" t="str">
        <f ca="1">IF(H19="元",NUMBERSTRING(INT(O59),2)&amp;"元整",NUMBERSTRING(INT(O59*10000),2)&amp;"元整")</f>
        <v>壹仟壹佰肆拾壹万元整</v>
      </c>
      <c r="P60" s="2495"/>
    </row>
    <row r="61" spans="1:17" ht="26.25" hidden="1" thickBot="1">
      <c r="A61" s="3445" t="s">
        <v>1754</v>
      </c>
      <c r="B61" s="3446"/>
      <c r="C61" s="3446"/>
      <c r="D61" s="69">
        <f ca="1">IF(H61="非个人房产","——",IF(H61="个人住宅（满五唯一有凭证）",0,IF(H61="个人其他（无凭证）",ROUND(D47*F61,0),ROUND(C69*F61,0))))</f>
        <v>18</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2753</v>
      </c>
      <c r="H61" s="2064" t="s">
        <v>2679</v>
      </c>
      <c r="I61" s="2850" t="s">
        <v>2765</v>
      </c>
      <c r="J61" s="2822"/>
      <c r="K61" s="3544">
        <f>K59+1</f>
        <v>6</v>
      </c>
      <c r="L61" s="3546" t="s">
        <v>1755</v>
      </c>
      <c r="M61" s="2481" t="s">
        <v>1750</v>
      </c>
      <c r="N61" s="2496"/>
      <c r="O61" s="2497">
        <f ca="1">N51-O59</f>
        <v>671</v>
      </c>
      <c r="P61" s="2498"/>
    </row>
    <row r="62" spans="1:17" ht="12" hidden="1" customHeight="1">
      <c r="A62" s="1425"/>
      <c r="B62" s="2531"/>
      <c r="C62" s="2531"/>
      <c r="D62" s="2531"/>
      <c r="E62" s="1425"/>
      <c r="F62" s="2949"/>
      <c r="G62" s="2949"/>
      <c r="H62" s="2944"/>
      <c r="I62" s="947"/>
      <c r="J62" s="2822"/>
      <c r="K62" s="3545"/>
      <c r="L62" s="3546"/>
      <c r="M62" s="2489" t="s">
        <v>1753</v>
      </c>
      <c r="N62" s="2493"/>
      <c r="O62" s="2494" t="str">
        <f ca="1">IF(H19="元",NUMBERSTRING(INT(O61),2)&amp;"元整",NUMBERSTRING(INT(O61*10000),2)&amp;"元整")</f>
        <v>陆佰柒拾壹万元整</v>
      </c>
      <c r="P62" s="2495"/>
    </row>
    <row r="63" spans="1:17" ht="13.5" hidden="1" thickBot="1">
      <c r="A63" s="3547" t="s">
        <v>1756</v>
      </c>
      <c r="B63" s="3547"/>
      <c r="C63" s="3547"/>
      <c r="D63" s="3547"/>
      <c r="E63" s="3547"/>
      <c r="F63" s="2949"/>
      <c r="G63" s="2949"/>
      <c r="H63" s="2944"/>
      <c r="I63" s="947"/>
      <c r="J63" s="2814"/>
      <c r="K63" s="2481">
        <f>K61+1</f>
        <v>7</v>
      </c>
      <c r="L63" s="3546" t="s">
        <v>1757</v>
      </c>
      <c r="M63" s="3546"/>
      <c r="N63" s="2499"/>
      <c r="O63" s="2500">
        <f ca="1">IF(H19="元",ROUND(O61/项目基本情况!C12,0),ROUND(O61*10000/项目基本情况!C12,0))</f>
        <v>9334</v>
      </c>
      <c r="P63" s="2501"/>
    </row>
    <row r="64" spans="1:17" ht="12.75" hidden="1">
      <c r="A64" s="3480" t="s">
        <v>1758</v>
      </c>
      <c r="B64" s="3481"/>
      <c r="C64" s="1575"/>
      <c r="D64" s="1575" t="s">
        <v>1759</v>
      </c>
      <c r="E64" s="45" t="s">
        <v>1760</v>
      </c>
      <c r="F64" s="2949"/>
      <c r="G64" s="2949"/>
      <c r="H64" s="2944"/>
      <c r="I64" s="947"/>
      <c r="J64" s="2814"/>
      <c r="K64" s="1278"/>
      <c r="L64" s="1278"/>
      <c r="M64" s="1278"/>
      <c r="N64" s="1278"/>
      <c r="O64" s="1278"/>
    </row>
    <row r="65" spans="1:36" ht="12.75" hidden="1">
      <c r="A65" s="46">
        <v>1</v>
      </c>
      <c r="B65" s="47" t="s">
        <v>1761</v>
      </c>
      <c r="C65" s="2753">
        <f ca="1">ROUND((C66+C67)/(1+'数据-取费表'!F30),0)</f>
        <v>1726</v>
      </c>
      <c r="D65" s="47"/>
      <c r="E65" s="48"/>
      <c r="F65" s="2949"/>
      <c r="G65" s="2949"/>
      <c r="H65" s="2944"/>
      <c r="I65" s="947"/>
      <c r="J65" s="2814"/>
      <c r="K65" s="3554" t="s">
        <v>1762</v>
      </c>
      <c r="L65" s="1277" t="s">
        <v>1763</v>
      </c>
      <c r="M65" s="1277">
        <f ca="1">IF(N51&gt;10000,N51*0.5%,IF(AND(N51&gt;1000,N51&lt;=10000),N51*1%,IF(AND(N51&gt;100,N51&lt;=1000),N51*3%,IF(AND(N51&gt;10,N51&lt;=100),N51*5%,N51*8%))))</f>
        <v>18.12</v>
      </c>
      <c r="N65" s="235">
        <f ca="1">ROUND(M65,1)</f>
        <v>18.100000000000001</v>
      </c>
      <c r="O65" s="2502"/>
    </row>
    <row r="66" spans="1:36" ht="12.75" hidden="1">
      <c r="A66" s="49" t="s">
        <v>71</v>
      </c>
      <c r="B66" s="50" t="s">
        <v>1764</v>
      </c>
      <c r="C66" s="2754">
        <f ca="1">D47</f>
        <v>1812</v>
      </c>
      <c r="D66" s="50" t="s">
        <v>41</v>
      </c>
      <c r="E66" s="52"/>
      <c r="F66" s="2949"/>
      <c r="G66" s="2949"/>
      <c r="H66" s="2944"/>
      <c r="I66" s="947"/>
      <c r="J66" s="2814"/>
      <c r="K66" s="3554"/>
      <c r="L66" s="1277" t="s">
        <v>1765</v>
      </c>
      <c r="M66" s="1277">
        <f ca="1">IF(N51&gt;2000,N51*0.5%,IF(AND(N51&gt;1000,N51&lt;=2000),N51*0.6%,IF(AND(N51&gt;500,N51&lt;=1000),N51*0.7%,IF(AND(N51&gt;200,N51&lt;=500),N51*0.8%,IF(AND(N51&gt;100,N51&lt;=200),N51*0.9%,IF(AND(N51&gt;50,N51&lt;=100),N51*1%,IF(AND(N51&gt;20,N51&lt;=50),N51*1.5%,IF(AND(N51&gt;10,N51&lt;=20),N51*2%,IF(AND(N51&gt;1,N51&lt;=10),N51*2.5%)))))))))</f>
        <v>10.872</v>
      </c>
      <c r="N66" s="235">
        <f t="shared" ref="N66:N67" ca="1" si="2">ROUND(M66,1)</f>
        <v>10.9</v>
      </c>
      <c r="O66" s="2502" t="s">
        <v>1766</v>
      </c>
    </row>
    <row r="67" spans="1:36" ht="12.75" hidden="1">
      <c r="A67" s="49" t="s">
        <v>72</v>
      </c>
      <c r="B67" s="50" t="s">
        <v>1767</v>
      </c>
      <c r="C67" s="2755"/>
      <c r="D67" s="50"/>
      <c r="E67" s="52"/>
      <c r="F67" s="2949"/>
      <c r="G67" s="2949"/>
      <c r="H67" s="2944"/>
      <c r="I67" s="947"/>
      <c r="J67" s="2814"/>
      <c r="K67" s="3554"/>
      <c r="L67" s="1277" t="s">
        <v>1768</v>
      </c>
      <c r="M67" s="1277">
        <f ca="1">IF(N51&gt;1000,N51*0.1%,IF(AND(N51&gt;500,N51&lt;=1000),N51*0.5%,IF(AND(N51&gt;50,N51&lt;=500),N51*1%,IF(AND(N51&gt;1,N51&lt;=50),N51*1.5%))))</f>
        <v>1.8120000000000001</v>
      </c>
      <c r="N67" s="235">
        <f t="shared" ca="1" si="2"/>
        <v>1.8</v>
      </c>
      <c r="O67" s="2502" t="s">
        <v>1766</v>
      </c>
    </row>
    <row r="68" spans="1:36" ht="12.75" hidden="1">
      <c r="A68" s="53" t="s">
        <v>47</v>
      </c>
      <c r="B68" s="54" t="s">
        <v>1769</v>
      </c>
      <c r="C68" s="2756"/>
      <c r="D68" s="54" t="s">
        <v>41</v>
      </c>
      <c r="E68" s="1286" t="s">
        <v>1770</v>
      </c>
      <c r="F68" s="2949"/>
      <c r="G68" s="2949"/>
      <c r="H68" s="2944"/>
      <c r="I68" s="947"/>
      <c r="J68" s="2814"/>
      <c r="K68" s="3554"/>
      <c r="L68" s="1277" t="s">
        <v>1771</v>
      </c>
      <c r="M68" s="1277">
        <f ca="1">N51*0.5%</f>
        <v>9.06</v>
      </c>
      <c r="N68" s="235">
        <f ca="1">IF(M68&gt;0.5,0.5,ROUND(M68,0))</f>
        <v>0.5</v>
      </c>
      <c r="O68" s="2502" t="s">
        <v>1772</v>
      </c>
    </row>
    <row r="69" spans="1:36" ht="12.75" hidden="1">
      <c r="A69" s="53" t="s">
        <v>42</v>
      </c>
      <c r="B69" s="54" t="s">
        <v>1773</v>
      </c>
      <c r="C69" s="2757">
        <f ca="1">C65-C68</f>
        <v>1726</v>
      </c>
      <c r="D69" s="50" t="s">
        <v>41</v>
      </c>
      <c r="E69" s="52"/>
      <c r="F69" s="2949"/>
      <c r="G69" s="2949"/>
      <c r="H69" s="2944"/>
      <c r="I69" s="947"/>
      <c r="J69" s="2814"/>
      <c r="K69" s="3554"/>
      <c r="L69" s="1277" t="s">
        <v>1774</v>
      </c>
      <c r="M69" s="1277">
        <f ca="1">IF(N51&gt;=10000,(8.25+(N51-10000)*0.01%),IF(AND(N51&gt;=8000,N51&lt;10000),(7.85+(N51-8000)*0.02%),IF(AND(N51&gt;=5000,N51&lt;8000),(6.65+(N51-5000)*0.04%),IF(AND(N51&gt;=2000,N51&lt;5000),(4.25+(PN51-2000)*0.08%),IF(AND(N51&gt;=1000,N51&lt;2000),(2.75+(N51-1000)*0.15%),IF(AND(N51&gt;=100,N51&lt;1000),(0.5+(N51-100)*0.25%),IF(AND(N51&gt;0,N51&lt;100),N51*0.5%)))))))</f>
        <v>3.968</v>
      </c>
      <c r="N69" s="235">
        <f ca="1">ROUND(M69*0.9,1)</f>
        <v>3.6</v>
      </c>
      <c r="O69" s="2502"/>
    </row>
    <row r="70" spans="1:36" ht="13.5" hidden="1" thickBot="1">
      <c r="A70" s="55" t="s">
        <v>46</v>
      </c>
      <c r="B70" s="56" t="s">
        <v>1775</v>
      </c>
      <c r="C70" s="2758">
        <f ca="1">IF(C69&lt;=0,0,ROUND(C69*D70,0))</f>
        <v>95</v>
      </c>
      <c r="D70" s="2210">
        <f>'数据-取费表'!E29</f>
        <v>5.5000000000000007E-2</v>
      </c>
      <c r="E70" s="57"/>
      <c r="F70" s="2949"/>
      <c r="G70" s="2949"/>
      <c r="H70" s="2944"/>
      <c r="I70" s="947"/>
      <c r="J70" s="2814"/>
      <c r="K70" s="3554"/>
      <c r="L70" s="1277" t="s">
        <v>1776</v>
      </c>
      <c r="M70" s="1277">
        <f ca="1">IF(N51&gt;10000,N51*0.5%,IF(AND(N51&gt;5000,N51&lt;=10000),N51*1%,IF(AND(N51&gt;1000,N51&lt;=5000),N51*2%,IF(AND(N51&gt;200,N51&lt;=1000),N51*3%,N51*5%))))</f>
        <v>36.24</v>
      </c>
      <c r="N70" s="235">
        <f ca="1">ROUND(M70,1)</f>
        <v>36.200000000000003</v>
      </c>
      <c r="O70" s="2502"/>
    </row>
    <row r="71" spans="1:36" s="1433" customFormat="1" ht="7.5" hidden="1" customHeight="1">
      <c r="A71" s="1445"/>
      <c r="B71" s="1446"/>
      <c r="C71" s="2759"/>
      <c r="D71" s="2253"/>
      <c r="E71" s="1449"/>
      <c r="F71" s="1425"/>
      <c r="G71" s="1425"/>
      <c r="H71" s="1449"/>
      <c r="I71" s="2531"/>
      <c r="J71" s="2814"/>
      <c r="K71" s="3554"/>
      <c r="L71" s="1277" t="s">
        <v>1777</v>
      </c>
      <c r="M71" s="1277"/>
      <c r="N71" s="235">
        <f ca="1">ROUND(SUM(N65:N70),0)</f>
        <v>71</v>
      </c>
      <c r="O71" s="2503">
        <f ca="1">N71/N51</f>
        <v>3.9183222958057394E-2</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1" customFormat="1" ht="15" hidden="1" thickBot="1">
      <c r="A72" s="3541" t="s">
        <v>1778</v>
      </c>
      <c r="B72" s="3542"/>
      <c r="C72" s="3542"/>
      <c r="D72" s="3542"/>
      <c r="E72" s="3542"/>
      <c r="F72" s="3542"/>
      <c r="G72" s="3542"/>
      <c r="H72" s="3542"/>
      <c r="I72" s="1450"/>
      <c r="J72" s="2823"/>
      <c r="K72" s="976"/>
      <c r="L72" s="976"/>
      <c r="M72" s="976"/>
      <c r="N72" s="976"/>
      <c r="O72" s="976"/>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hidden="1">
      <c r="A73" s="3480" t="s">
        <v>1758</v>
      </c>
      <c r="B73" s="3481"/>
      <c r="C73" s="1575"/>
      <c r="D73" s="1575"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14.25" hidden="1">
      <c r="A74" s="61">
        <v>1</v>
      </c>
      <c r="B74" s="54" t="s">
        <v>1779</v>
      </c>
      <c r="C74" s="2757">
        <f ca="1">ROUND(D47/(1+'数据-取费表'!F30),0)</f>
        <v>1726</v>
      </c>
      <c r="D74" s="50" t="s">
        <v>41</v>
      </c>
      <c r="E74" s="2056"/>
      <c r="F74" s="2057"/>
      <c r="G74" s="2057"/>
      <c r="H74" s="62"/>
      <c r="I74" s="2760"/>
      <c r="J74" s="2845"/>
      <c r="K74" s="976"/>
      <c r="L74" s="976"/>
      <c r="M74" s="976"/>
      <c r="N74" s="976"/>
      <c r="O74" s="976"/>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hidden="1">
      <c r="A75" s="63">
        <v>2</v>
      </c>
      <c r="B75" s="41" t="s">
        <v>1781</v>
      </c>
      <c r="C75" s="2757">
        <f ca="1">C76+C80</f>
        <v>9</v>
      </c>
      <c r="D75" s="50" t="s">
        <v>41</v>
      </c>
      <c r="E75" s="2056"/>
      <c r="F75" s="2057"/>
      <c r="G75" s="2057"/>
      <c r="H75" s="62"/>
      <c r="I75" s="2760"/>
      <c r="J75" s="2845"/>
      <c r="K75" s="976"/>
      <c r="L75" s="976"/>
      <c r="M75" s="976"/>
      <c r="N75" s="976"/>
      <c r="O75" s="976"/>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14.25" hidden="1">
      <c r="A76" s="49" t="s">
        <v>73</v>
      </c>
      <c r="B76" s="50" t="s">
        <v>1782</v>
      </c>
      <c r="C76" s="50">
        <f>ROUND(IF(G79="2016年5月1日后购买",C77/(1+'数据-取费表'!F30)+C78+C79,C77+C78+C79),0)</f>
        <v>0</v>
      </c>
      <c r="D76" s="50" t="s">
        <v>41</v>
      </c>
      <c r="E76" s="2056"/>
      <c r="F76" s="2057"/>
      <c r="G76" s="2057"/>
      <c r="H76" s="62"/>
      <c r="I76" s="2760"/>
      <c r="J76" s="2845"/>
      <c r="K76" s="976"/>
      <c r="L76" s="976"/>
      <c r="M76" s="976"/>
      <c r="N76" s="976"/>
      <c r="O76" s="976"/>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14.25" hidden="1">
      <c r="A77" s="49" t="s">
        <v>74</v>
      </c>
      <c r="B77" s="50" t="s">
        <v>1783</v>
      </c>
      <c r="C77" s="2236"/>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hidden="1" customHeight="1">
      <c r="A78" s="49" t="s">
        <v>75</v>
      </c>
      <c r="B78" s="65" t="s">
        <v>1787</v>
      </c>
      <c r="C78" s="50">
        <f>IF(F77="购房发票",ROUND(C77*H77*D78,0),0)</f>
        <v>0</v>
      </c>
      <c r="D78" s="2763">
        <v>0.05</v>
      </c>
      <c r="E78" s="3423" t="s">
        <v>1788</v>
      </c>
      <c r="F78" s="3461"/>
      <c r="G78" s="3461"/>
      <c r="H78" s="3475"/>
      <c r="I78" s="2760"/>
      <c r="J78" s="2845"/>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24.75" hidden="1" customHeight="1">
      <c r="A79" s="49" t="s">
        <v>76</v>
      </c>
      <c r="B79" s="50" t="s">
        <v>1789</v>
      </c>
      <c r="C79" s="50">
        <f>ROUND(IF(G79="个人住宅",0,IF(G79="2016年5月1日前购买",C77*D79,C77*D79/(1+'数据-取费表'!F30))),0)</f>
        <v>0</v>
      </c>
      <c r="D79" s="2764">
        <f>'数据-取费表'!E36+'数据-取费表'!E37</f>
        <v>3.0499999999999999E-2</v>
      </c>
      <c r="E79" s="12" t="s">
        <v>1790</v>
      </c>
      <c r="F79" s="2063"/>
      <c r="G79" s="1454" t="s">
        <v>1791</v>
      </c>
      <c r="H79" s="2058"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75" hidden="1" customHeight="1">
      <c r="A80" s="49" t="s">
        <v>77</v>
      </c>
      <c r="B80" s="50" t="s">
        <v>1792</v>
      </c>
      <c r="C80" s="2765">
        <f ca="1">ROUND(D47*D80/(1+'数据-取费表'!F30),0)</f>
        <v>9</v>
      </c>
      <c r="D80" s="2766">
        <f>'数据-取费表'!E31</f>
        <v>5.000000000000001E-3</v>
      </c>
      <c r="E80" s="3455" t="s">
        <v>1793</v>
      </c>
      <c r="F80" s="3456"/>
      <c r="G80" s="3456"/>
      <c r="H80" s="3457"/>
      <c r="I80" s="609"/>
      <c r="J80" s="2847"/>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14.25" hidden="1">
      <c r="A81" s="53" t="s">
        <v>42</v>
      </c>
      <c r="B81" s="54" t="s">
        <v>1794</v>
      </c>
      <c r="C81" s="2757">
        <f ca="1">C74-C75</f>
        <v>1717</v>
      </c>
      <c r="D81" s="50" t="s">
        <v>41</v>
      </c>
      <c r="E81" s="2056"/>
      <c r="F81" s="2057"/>
      <c r="G81" s="2057"/>
      <c r="H81" s="62"/>
      <c r="I81" s="2760"/>
      <c r="J81" s="2845"/>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14.25" hidden="1">
      <c r="A82" s="53" t="s">
        <v>43</v>
      </c>
      <c r="B82" s="54" t="s">
        <v>1795</v>
      </c>
      <c r="C82" s="2767">
        <f ca="1">IF(C81&lt;=0,0,C81/C75)</f>
        <v>190.77777777777777</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hidden="1" thickBot="1">
      <c r="A83" s="55" t="s">
        <v>44</v>
      </c>
      <c r="B83" s="56" t="s">
        <v>1796</v>
      </c>
      <c r="C83" s="2768">
        <f ca="1">ROUND(IF(C81&lt;=0,0,IF(C82&gt;=200%,C81*60%-C75*35%,IF(C82&gt;=100%,C81*50%-C75*15%,IF(C82&gt;=50%,C81*40%-C75*5%,IF(C82&lt;50%,C81*30%,0))))),0)</f>
        <v>1027</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7.5" hidden="1"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15" hidden="1" thickBot="1">
      <c r="A85" s="3541" t="s">
        <v>1797</v>
      </c>
      <c r="B85" s="3542"/>
      <c r="C85" s="3542"/>
      <c r="D85" s="3542"/>
      <c r="E85" s="3542"/>
      <c r="F85" s="3542"/>
      <c r="G85" s="3542"/>
      <c r="H85" s="3542"/>
      <c r="I85" s="608"/>
      <c r="J85" s="2846"/>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hidden="1">
      <c r="A86" s="3480" t="s">
        <v>1758</v>
      </c>
      <c r="B86" s="3481"/>
      <c r="C86" s="1575"/>
      <c r="D86" s="1575"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hidden="1">
      <c r="A87" s="61">
        <v>1</v>
      </c>
      <c r="B87" s="54" t="s">
        <v>1779</v>
      </c>
      <c r="C87" s="2757">
        <f ca="1">ROUND(D47/(1+'数据-取费表'!F30),0)</f>
        <v>1726</v>
      </c>
      <c r="D87" s="50" t="s">
        <v>41</v>
      </c>
      <c r="E87" s="2056"/>
      <c r="F87" s="2057"/>
      <c r="G87" s="2057"/>
      <c r="H87" s="73"/>
      <c r="I87" s="608"/>
      <c r="J87" s="2846"/>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hidden="1">
      <c r="A88" s="63">
        <v>2</v>
      </c>
      <c r="B88" s="41" t="s">
        <v>1781</v>
      </c>
      <c r="C88" s="2757">
        <f ca="1">IF(H90="仅含出让金",C89+C92+C93+C94+C95+C96,C89+C93+C94+C95+C96)</f>
        <v>9</v>
      </c>
      <c r="D88" s="2769"/>
      <c r="E88" s="2056"/>
      <c r="F88" s="2057"/>
      <c r="G88" s="2057"/>
      <c r="H88" s="73"/>
      <c r="I88" s="608"/>
      <c r="J88" s="2846"/>
      <c r="K88" s="976"/>
      <c r="L88" s="976"/>
      <c r="M88" s="976"/>
      <c r="N88" s="976"/>
      <c r="O88" s="976"/>
      <c r="P88" s="976"/>
      <c r="Q88" s="976"/>
      <c r="R88" s="976"/>
      <c r="S88" s="976"/>
      <c r="T88" s="976"/>
      <c r="U88" s="976"/>
      <c r="V88" s="976"/>
      <c r="W88" s="976"/>
      <c r="X88" s="976"/>
      <c r="Y88" s="976"/>
      <c r="Z88" s="976"/>
      <c r="AA88" s="976"/>
      <c r="AB88" s="1452"/>
      <c r="AC88" s="1452"/>
      <c r="AD88" s="1452"/>
      <c r="AE88" s="1452"/>
      <c r="AF88" s="1452"/>
      <c r="AG88" s="1452"/>
      <c r="AH88" s="1452"/>
      <c r="AI88" s="1452"/>
      <c r="AJ88" s="1452"/>
    </row>
    <row r="89" spans="1:36" s="1451" customFormat="1" ht="14.25" hidden="1">
      <c r="A89" s="49" t="s">
        <v>73</v>
      </c>
      <c r="B89" s="50" t="s">
        <v>1798</v>
      </c>
      <c r="C89" s="2765">
        <f>C90+C91</f>
        <v>0</v>
      </c>
      <c r="D89" s="2766"/>
      <c r="E89" s="2053"/>
      <c r="F89" s="2054"/>
      <c r="G89" s="2054"/>
      <c r="H89" s="2055"/>
      <c r="I89" s="608"/>
      <c r="J89" s="2846"/>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14.25" hidden="1">
      <c r="A90" s="49" t="s">
        <v>74</v>
      </c>
      <c r="B90" s="50" t="s">
        <v>1799</v>
      </c>
      <c r="C90" s="2770"/>
      <c r="D90" s="2766"/>
      <c r="E90" s="74" t="s">
        <v>1800</v>
      </c>
      <c r="F90" s="2054"/>
      <c r="G90" s="75" t="s">
        <v>1801</v>
      </c>
      <c r="H90" s="1456"/>
      <c r="I90" s="608"/>
      <c r="J90" s="2846"/>
      <c r="K90" s="2941" t="s">
        <v>2757</v>
      </c>
      <c r="L90" s="1452"/>
      <c r="M90" s="1452"/>
      <c r="N90" s="1452"/>
      <c r="O90" s="1452"/>
      <c r="P90" s="1452"/>
      <c r="Q90" s="1452"/>
      <c r="R90" s="1452"/>
      <c r="S90" s="1452"/>
      <c r="T90" s="976"/>
      <c r="U90" s="976"/>
      <c r="V90" s="976"/>
      <c r="W90" s="976"/>
      <c r="X90" s="976"/>
      <c r="Y90" s="976"/>
      <c r="Z90" s="976"/>
      <c r="AA90" s="976"/>
      <c r="AB90" s="1452"/>
      <c r="AC90" s="1452"/>
      <c r="AD90" s="1452"/>
      <c r="AE90" s="1452"/>
      <c r="AF90" s="1452"/>
      <c r="AG90" s="1452"/>
      <c r="AH90" s="1452"/>
      <c r="AI90" s="1452"/>
      <c r="AJ90" s="1452"/>
    </row>
    <row r="91" spans="1:36" s="1451" customFormat="1" ht="14.25" hidden="1">
      <c r="A91" s="49" t="s">
        <v>75</v>
      </c>
      <c r="B91" s="50" t="s">
        <v>1789</v>
      </c>
      <c r="C91" s="2765">
        <f>ROUND(C90*D91,0)</f>
        <v>0</v>
      </c>
      <c r="D91" s="2766">
        <f>'数据-取费表'!E36+'数据-取费表'!E37</f>
        <v>3.0499999999999999E-2</v>
      </c>
      <c r="E91" s="74" t="s">
        <v>1802</v>
      </c>
      <c r="F91" s="2054"/>
      <c r="G91" s="2054"/>
      <c r="H91" s="2055"/>
      <c r="I91" s="608"/>
      <c r="J91" s="2846"/>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14.25" hidden="1">
      <c r="A92" s="49" t="s">
        <v>77</v>
      </c>
      <c r="B92" s="50" t="s">
        <v>1803</v>
      </c>
      <c r="C92" s="2770"/>
      <c r="D92" s="2766"/>
      <c r="E92" s="74" t="str">
        <f>IF(H90="-","土地取得成本中已包含该笔费用"," ")</f>
        <v xml:space="preserve"> </v>
      </c>
      <c r="F92" s="2054"/>
      <c r="G92" s="3516" t="s">
        <v>2674</v>
      </c>
      <c r="H92" s="3543"/>
      <c r="I92" s="608"/>
      <c r="J92" s="2846"/>
      <c r="K92" s="2941" t="s">
        <v>2758</v>
      </c>
      <c r="L92" s="1452"/>
      <c r="M92" s="1452"/>
      <c r="N92" s="1452"/>
      <c r="O92" s="1452"/>
      <c r="P92" s="1452"/>
      <c r="Q92" s="1452"/>
      <c r="R92" s="1452"/>
      <c r="S92" s="1452"/>
      <c r="T92" s="976"/>
      <c r="U92" s="976"/>
      <c r="V92" s="976"/>
      <c r="W92" s="976"/>
      <c r="X92" s="976"/>
      <c r="Y92" s="976"/>
      <c r="Z92" s="976"/>
      <c r="AA92" s="976"/>
      <c r="AB92" s="1452"/>
      <c r="AC92" s="1452"/>
      <c r="AD92" s="1452"/>
      <c r="AE92" s="1452"/>
      <c r="AF92" s="1452"/>
      <c r="AG92" s="1452"/>
      <c r="AH92" s="1452"/>
      <c r="AI92" s="1452"/>
      <c r="AJ92" s="1452"/>
    </row>
    <row r="93" spans="1:36" s="1451" customFormat="1" ht="30.75" hidden="1" customHeight="1">
      <c r="A93" s="49" t="s">
        <v>78</v>
      </c>
      <c r="B93" s="50" t="s">
        <v>1804</v>
      </c>
      <c r="C93" s="2765">
        <f>IF(H93="——",成本法!C33,I93)</f>
        <v>0</v>
      </c>
      <c r="D93" s="2766"/>
      <c r="E93" s="3455" t="s">
        <v>1805</v>
      </c>
      <c r="F93" s="3456"/>
      <c r="G93" s="3456"/>
      <c r="H93" s="1457" t="s">
        <v>1806</v>
      </c>
      <c r="I93" s="2771"/>
      <c r="J93" s="2848"/>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hidden="1" customHeight="1">
      <c r="A94" s="49" t="s">
        <v>79</v>
      </c>
      <c r="B94" s="50" t="s">
        <v>1807</v>
      </c>
      <c r="C94" s="2765">
        <f>ROUND((C89+C92+C93)*D94,0)</f>
        <v>0</v>
      </c>
      <c r="D94" s="2766">
        <v>0.1</v>
      </c>
      <c r="E94" s="3455" t="s">
        <v>1808</v>
      </c>
      <c r="F94" s="3456"/>
      <c r="G94" s="3456"/>
      <c r="H94" s="3457"/>
      <c r="I94" s="608"/>
      <c r="J94" s="2846"/>
      <c r="K94" s="2942" t="s">
        <v>2759</v>
      </c>
      <c r="L94" s="1452"/>
      <c r="M94" s="1452"/>
      <c r="N94" s="1452"/>
      <c r="O94" s="1452"/>
      <c r="P94" s="1452"/>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25.5" hidden="1" customHeight="1">
      <c r="A95" s="49" t="s">
        <v>80</v>
      </c>
      <c r="B95" s="50" t="s">
        <v>1792</v>
      </c>
      <c r="C95" s="2765">
        <f ca="1">ROUND(D47*D95/(1+'数据-取费表'!F30),0)</f>
        <v>9</v>
      </c>
      <c r="D95" s="2766">
        <f>'数据-取费表'!E31</f>
        <v>5.000000000000001E-3</v>
      </c>
      <c r="E95" s="3455" t="s">
        <v>1793</v>
      </c>
      <c r="F95" s="3456"/>
      <c r="G95" s="3456"/>
      <c r="H95" s="3457"/>
      <c r="I95" s="608"/>
      <c r="J95" s="2846"/>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5.5" hidden="1" customHeight="1">
      <c r="A96" s="49" t="s">
        <v>81</v>
      </c>
      <c r="B96" s="50" t="s">
        <v>1809</v>
      </c>
      <c r="C96" s="2765">
        <f>ROUND((C89+C92+C93)*D96,0)</f>
        <v>0</v>
      </c>
      <c r="D96" s="2766">
        <v>0.2</v>
      </c>
      <c r="E96" s="3455" t="s">
        <v>1810</v>
      </c>
      <c r="F96" s="3456"/>
      <c r="G96" s="3456"/>
      <c r="H96" s="3457"/>
      <c r="I96" s="608"/>
      <c r="J96" s="2846"/>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14.25" hidden="1">
      <c r="A97" s="53" t="s">
        <v>42</v>
      </c>
      <c r="B97" s="54" t="s">
        <v>1794</v>
      </c>
      <c r="C97" s="2757">
        <f ca="1">ROUND(C87-C88,0)</f>
        <v>1717</v>
      </c>
      <c r="D97" s="50" t="s">
        <v>41</v>
      </c>
      <c r="E97" s="2056"/>
      <c r="F97" s="2057"/>
      <c r="G97" s="2057"/>
      <c r="H97" s="73"/>
      <c r="I97" s="608"/>
      <c r="J97" s="2846"/>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s="1451" customFormat="1" ht="14.25" hidden="1">
      <c r="A98" s="53" t="s">
        <v>43</v>
      </c>
      <c r="B98" s="54" t="s">
        <v>1795</v>
      </c>
      <c r="C98" s="2767">
        <f ca="1">IF(C97&lt;=0,0,C97/C88)</f>
        <v>190.77777777777777</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8"/>
      <c r="J98" s="2846"/>
      <c r="K98" s="976"/>
      <c r="L98" s="976"/>
      <c r="M98" s="976"/>
      <c r="N98" s="976"/>
      <c r="O98" s="976"/>
      <c r="P98" s="976"/>
      <c r="Q98" s="976"/>
      <c r="R98" s="976"/>
      <c r="S98" s="976"/>
      <c r="T98" s="976"/>
      <c r="U98" s="976"/>
      <c r="V98" s="976"/>
      <c r="W98" s="976"/>
      <c r="X98" s="976"/>
      <c r="Y98" s="976"/>
      <c r="Z98" s="976"/>
      <c r="AA98" s="976"/>
      <c r="AB98" s="1452"/>
      <c r="AC98" s="1452"/>
      <c r="AD98" s="1452"/>
      <c r="AE98" s="1452"/>
      <c r="AF98" s="1452"/>
      <c r="AG98" s="1452"/>
      <c r="AH98" s="1452"/>
      <c r="AI98" s="1452"/>
      <c r="AJ98" s="1452"/>
    </row>
    <row r="99" spans="1:36" s="1451" customFormat="1" ht="15" hidden="1" thickBot="1">
      <c r="A99" s="66" t="s">
        <v>44</v>
      </c>
      <c r="B99" s="56" t="s">
        <v>1796</v>
      </c>
      <c r="C99" s="67">
        <f ca="1">ROUND(IF(C97&lt;=0,0,IF(C98&gt;=200%,C97*60%-C88*35%,IF(C98&gt;=100%,C97*50%-C88*15%,IF(C98&gt;=50%,C97*40%-C88*5%,IF(C98&lt;50%,C97*30%,0))))),0)</f>
        <v>1027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6"/>
      <c r="L99" s="976"/>
      <c r="M99" s="976"/>
      <c r="N99" s="976"/>
      <c r="O99" s="976"/>
      <c r="P99" s="976"/>
      <c r="Q99" s="976"/>
      <c r="R99" s="976"/>
      <c r="S99" s="976"/>
      <c r="T99" s="976"/>
      <c r="U99" s="976"/>
      <c r="V99" s="976"/>
      <c r="W99" s="976"/>
      <c r="X99" s="976"/>
      <c r="Y99" s="976"/>
      <c r="Z99" s="976"/>
      <c r="AA99" s="976"/>
      <c r="AB99" s="1452"/>
      <c r="AC99" s="1452"/>
      <c r="AD99" s="1452"/>
      <c r="AE99" s="1452"/>
      <c r="AF99" s="1452"/>
      <c r="AG99" s="1452"/>
      <c r="AH99" s="1452"/>
      <c r="AI99" s="1452"/>
      <c r="AJ99" s="1452"/>
    </row>
    <row r="100" spans="1:36" ht="21.75" customHeight="1" thickBot="1">
      <c r="A100" s="1439" t="s">
        <v>1811</v>
      </c>
      <c r="B100" s="1429"/>
      <c r="C100" s="1429"/>
      <c r="D100" s="1429"/>
      <c r="E100" s="812"/>
      <c r="F100" s="812"/>
      <c r="G100" s="812"/>
      <c r="H100" s="1438"/>
      <c r="I100" s="1429"/>
    </row>
    <row r="101" spans="1:36" ht="15">
      <c r="A101" s="3502" t="s">
        <v>1812</v>
      </c>
      <c r="B101" s="3503"/>
      <c r="C101" s="3503"/>
      <c r="D101" s="3504"/>
      <c r="E101" s="1429"/>
      <c r="F101" s="3538" t="s">
        <v>2716</v>
      </c>
      <c r="G101" s="3539"/>
      <c r="H101" s="3539"/>
      <c r="I101" s="3540"/>
      <c r="J101" s="2849"/>
    </row>
    <row r="102" spans="1:36" ht="15">
      <c r="A102" s="3514" t="s">
        <v>1814</v>
      </c>
      <c r="B102" s="3515"/>
      <c r="C102" s="2772" t="str">
        <f>C4</f>
        <v>比较法-办公</v>
      </c>
      <c r="D102" s="2773" t="str">
        <f>D4</f>
        <v>收益法</v>
      </c>
      <c r="E102" s="1429"/>
      <c r="F102" s="3426" t="s">
        <v>2717</v>
      </c>
      <c r="G102" s="3427"/>
      <c r="H102" s="3432" t="s">
        <v>2718</v>
      </c>
      <c r="I102" s="3425"/>
      <c r="J102" s="2829"/>
    </row>
    <row r="103" spans="1:36" ht="12.75">
      <c r="A103" s="3535" t="s">
        <v>2712</v>
      </c>
      <c r="B103" s="2275" t="str">
        <f>IF(H19="元","总价（元）","总价（万元）")</f>
        <v>总价（万元）</v>
      </c>
      <c r="C103" s="1277">
        <f ca="1">C19</f>
        <v>185</v>
      </c>
      <c r="D103" s="2776">
        <f ca="1">D19</f>
        <v>183</v>
      </c>
      <c r="E103" s="1429"/>
      <c r="F103" s="3536"/>
      <c r="G103" s="3537"/>
      <c r="H103" s="3424">
        <f>典型户型修正!B25</f>
        <v>718.8900000000001</v>
      </c>
      <c r="I103" s="3425"/>
      <c r="J103" s="2829"/>
    </row>
    <row r="104" spans="1:36" ht="12.75">
      <c r="A104" s="3535"/>
      <c r="B104" s="2275" t="s">
        <v>2713</v>
      </c>
      <c r="C104" s="2777">
        <f ca="1">C20</f>
        <v>25504</v>
      </c>
      <c r="D104" s="2778">
        <f ca="1">D20</f>
        <v>25291</v>
      </c>
      <c r="E104" s="1429"/>
      <c r="F104" s="3436" t="s">
        <v>2719</v>
      </c>
      <c r="G104" s="3437"/>
      <c r="H104" s="2786" t="str">
        <f>C110</f>
        <v>总价（万元）</v>
      </c>
      <c r="I104" s="2787">
        <f ca="1">H125</f>
        <v>1812</v>
      </c>
      <c r="J104" s="2829"/>
    </row>
    <row r="105" spans="1:36" ht="12.75">
      <c r="A105" s="3535" t="s">
        <v>2714</v>
      </c>
      <c r="B105" s="2213" t="str">
        <f>B103</f>
        <v>总价（万元）</v>
      </c>
      <c r="C105" s="12">
        <f ca="1">ROUND(IF('数据-取费表'!B4="总价",G19,IF(H19="元",G20*'数据-取费表'!E5,G20*'数据-取费表'!E5/10000)),0)</f>
        <v>184</v>
      </c>
      <c r="D105" s="2779"/>
      <c r="E105" s="1429"/>
      <c r="F105" s="3436"/>
      <c r="G105" s="3437"/>
      <c r="H105" s="2786" t="s">
        <v>2720</v>
      </c>
      <c r="I105" s="52">
        <f ca="1">I125</f>
        <v>25206</v>
      </c>
      <c r="J105" s="2813"/>
    </row>
    <row r="106" spans="1:36" ht="12.75">
      <c r="A106" s="3535"/>
      <c r="B106" s="2275" t="s">
        <v>2713</v>
      </c>
      <c r="C106" s="1449">
        <f ca="1">ROUND(IF('数据-取费表'!B4="楼面单价",G20,IF(H19="元",G19/'数据-取费表'!E5,G19*10000/'数据-取费表'!E5)),0)</f>
        <v>25398</v>
      </c>
      <c r="D106" s="2779"/>
      <c r="E106" s="1429"/>
      <c r="F106" s="3436"/>
      <c r="G106" s="3437"/>
      <c r="H106" s="3496"/>
      <c r="I106" s="3497"/>
      <c r="J106" s="2830"/>
    </row>
    <row r="107" spans="1:36" ht="12.75">
      <c r="A107" s="3529" t="s">
        <v>2715</v>
      </c>
      <c r="B107" s="2780" t="str">
        <f>B103</f>
        <v>总价（万元）</v>
      </c>
      <c r="C107" s="2781">
        <f ca="1">H125</f>
        <v>1812</v>
      </c>
      <c r="D107" s="2782"/>
      <c r="E107" s="1429"/>
      <c r="F107" s="3500" t="s">
        <v>2721</v>
      </c>
      <c r="G107" s="3501"/>
      <c r="H107" s="2788" t="str">
        <f>C112</f>
        <v>总额（万元）</v>
      </c>
      <c r="I107" s="2787">
        <f>SUMIF(I108:I110,"&lt;9E307")</f>
        <v>0</v>
      </c>
      <c r="J107" s="2829"/>
    </row>
    <row r="108" spans="1:36" ht="15" thickBot="1">
      <c r="A108" s="3495"/>
      <c r="B108" s="2783" t="s">
        <v>2713</v>
      </c>
      <c r="C108" s="2784">
        <f ca="1">I125</f>
        <v>25206</v>
      </c>
      <c r="D108" s="2785"/>
      <c r="E108" s="1429"/>
      <c r="F108" s="3438" t="s">
        <v>2722</v>
      </c>
      <c r="G108" s="3439"/>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32" t="s">
        <v>1815</v>
      </c>
      <c r="B109" s="3533"/>
      <c r="C109" s="3533"/>
      <c r="D109" s="3534"/>
      <c r="E109" s="1429"/>
      <c r="F109" s="3438" t="s">
        <v>2723</v>
      </c>
      <c r="G109" s="3439"/>
      <c r="H109" s="2788" t="str">
        <f>C114</f>
        <v>总额（万元）</v>
      </c>
      <c r="I109" s="52">
        <f>C39</f>
        <v>0</v>
      </c>
      <c r="J109" s="2813"/>
    </row>
    <row r="110" spans="1:36" ht="12.75">
      <c r="A110" s="3436" t="s">
        <v>2726</v>
      </c>
      <c r="B110" s="3437"/>
      <c r="C110" s="2786" t="str">
        <f>B103</f>
        <v>总价（万元）</v>
      </c>
      <c r="D110" s="2787">
        <f ca="1">H125</f>
        <v>1812</v>
      </c>
      <c r="E110" s="1429"/>
      <c r="F110" s="3438" t="s">
        <v>2724</v>
      </c>
      <c r="G110" s="3439"/>
      <c r="H110" s="2788" t="str">
        <f>C115</f>
        <v>总额（万元）</v>
      </c>
      <c r="I110" s="52">
        <f>C40</f>
        <v>0</v>
      </c>
      <c r="J110" s="2813"/>
    </row>
    <row r="111" spans="1:36" ht="12.75">
      <c r="A111" s="3436"/>
      <c r="B111" s="3437"/>
      <c r="C111" s="2786" t="s">
        <v>2727</v>
      </c>
      <c r="D111" s="52">
        <f ca="1">I125</f>
        <v>25206</v>
      </c>
      <c r="E111" s="1429"/>
      <c r="F111" s="3436"/>
      <c r="G111" s="3437"/>
      <c r="H111" s="3498"/>
      <c r="I111" s="3499"/>
      <c r="J111" s="2831"/>
    </row>
    <row r="112" spans="1:36" ht="28.5" customHeight="1">
      <c r="A112" s="3443" t="s">
        <v>2721</v>
      </c>
      <c r="B112" s="3444"/>
      <c r="C112" s="2788" t="str">
        <f>IF(H19="元","总额（元）","总额（万元）")</f>
        <v>总额（万元）</v>
      </c>
      <c r="D112" s="2787">
        <f>IF(D38="正常操作",I108+I109+I110,I109+I110)</f>
        <v>0</v>
      </c>
      <c r="E112" s="1429"/>
      <c r="F112" s="3428" t="str">
        <f>IF(项目基本情况!F5="已注销","——","3.房地产抵押价值")</f>
        <v>3.房地产抵押价值</v>
      </c>
      <c r="G112" s="3429"/>
      <c r="H112" s="1449" t="str">
        <f>C116</f>
        <v>总价（万元）</v>
      </c>
      <c r="I112" s="2787">
        <f ca="1">IF(F112="——","——",I104-I107)</f>
        <v>1812</v>
      </c>
      <c r="J112" s="2829"/>
    </row>
    <row r="113" spans="1:27" ht="12.75">
      <c r="A113" s="3438" t="s">
        <v>2728</v>
      </c>
      <c r="B113" s="3439"/>
      <c r="C113" s="2788" t="str">
        <f>C112</f>
        <v>总额（万元）</v>
      </c>
      <c r="D113" s="52">
        <f>IF(D38="同一抵押权人同一抵押物续贷",C38&amp;"（未扣减，详见特别提示）",C38)</f>
        <v>0</v>
      </c>
      <c r="E113" s="1429"/>
      <c r="F113" s="3527"/>
      <c r="G113" s="3528"/>
      <c r="H113" s="2786" t="s">
        <v>2720</v>
      </c>
      <c r="I113" s="2790">
        <f ca="1">D117</f>
        <v>25206</v>
      </c>
      <c r="J113" s="2832"/>
    </row>
    <row r="114" spans="1:27" ht="12.75">
      <c r="A114" s="3438" t="s">
        <v>2729</v>
      </c>
      <c r="B114" s="3439"/>
      <c r="C114" s="2788" t="str">
        <f>C112</f>
        <v>总额（万元）</v>
      </c>
      <c r="D114" s="52">
        <f>C39</f>
        <v>0</v>
      </c>
      <c r="E114" s="1429"/>
      <c r="F114" s="3428" t="str">
        <f>IF(项目基本情况!F5="已注销及未注销","4.抵押担保权已注销时的房地产抵押价值",IF(项目基本情况!F5="已注销","3.抵押担保权已注销时的房地产抵押价值","——"))</f>
        <v>——</v>
      </c>
      <c r="G114" s="3429"/>
      <c r="H114" s="1449" t="str">
        <f>C118</f>
        <v>总价（万元）</v>
      </c>
      <c r="I114" s="2787" t="str">
        <f>IF(F114="——","——",I104-I109-I110)</f>
        <v>——</v>
      </c>
      <c r="J114" s="2829"/>
    </row>
    <row r="115" spans="1:27" ht="12.75">
      <c r="A115" s="3438" t="s">
        <v>2730</v>
      </c>
      <c r="B115" s="3439"/>
      <c r="C115" s="2788" t="str">
        <f>C112</f>
        <v>总额（万元）</v>
      </c>
      <c r="D115" s="52">
        <f>C40</f>
        <v>0</v>
      </c>
      <c r="E115" s="1429"/>
      <c r="F115" s="3527"/>
      <c r="G115" s="3528"/>
      <c r="H115" s="2786" t="s">
        <v>2720</v>
      </c>
      <c r="I115" s="52" t="str">
        <f>D119</f>
        <v>——</v>
      </c>
      <c r="J115" s="2813"/>
    </row>
    <row r="116" spans="1:27" ht="12.75">
      <c r="A116" s="3436" t="str">
        <f>IF(项目基本情况!F5="已注销","——","3.房地产抵押价值")</f>
        <v>3.房地产抵押价值</v>
      </c>
      <c r="B116" s="3437"/>
      <c r="C116" s="2786" t="str">
        <f>B103</f>
        <v>总价（万元）</v>
      </c>
      <c r="D116" s="2787">
        <f ca="1">IF(A116="——","——",D110-D112)</f>
        <v>1812</v>
      </c>
      <c r="E116" s="1429"/>
      <c r="F116" s="3428" t="str">
        <f>IF(项目基本情况!G5="抵押净值",IF(OR(项目基本情况!F5="已注销",项目基本情况!F5="房地产抵押价值"),"4.抵押净值","5.抵押净值"),"——")</f>
        <v>——</v>
      </c>
      <c r="G116" s="3429"/>
      <c r="H116" s="2786" t="str">
        <f>C120</f>
        <v>总价（万元）</v>
      </c>
      <c r="I116" s="2787" t="str">
        <f>IF(F116="——","——",O61)</f>
        <v>——</v>
      </c>
      <c r="J116" s="2829"/>
    </row>
    <row r="117" spans="1:27" ht="13.5" thickBot="1">
      <c r="A117" s="3436"/>
      <c r="B117" s="3437"/>
      <c r="C117" s="2786" t="s">
        <v>2727</v>
      </c>
      <c r="D117" s="52">
        <f ca="1">ROUND(IF(D116=D110,D111,IF(H19="元",D116/B125,D116*10000/B125)),0)</f>
        <v>25206</v>
      </c>
      <c r="E117" s="1429"/>
      <c r="F117" s="3430"/>
      <c r="G117" s="3431"/>
      <c r="H117" s="2791" t="s">
        <v>2720</v>
      </c>
      <c r="I117" s="2775" t="str">
        <f ca="1">D121</f>
        <v>——</v>
      </c>
      <c r="J117" s="2813"/>
    </row>
    <row r="118" spans="1:27" ht="15.75">
      <c r="A118" s="3436" t="str">
        <f>IF(项目基本情况!F5="已注销及未注销","4.抵押担保权已注销时的房地产抵押价值",IF(项目基本情况!F5="已注销","3.抵押担保权已注销时的房地产抵押价值","——"))</f>
        <v>——</v>
      </c>
      <c r="B118" s="3437"/>
      <c r="C118" s="2786" t="str">
        <f>B103</f>
        <v>总价（万元）</v>
      </c>
      <c r="D118" s="2787" t="str">
        <f>IF(A118="——","——",D110-D114-D115)</f>
        <v>——</v>
      </c>
      <c r="E118" s="1429"/>
      <c r="F118" s="3522"/>
      <c r="G118" s="3522"/>
      <c r="H118" s="3486"/>
      <c r="I118" s="3486"/>
      <c r="J118" s="2833"/>
      <c r="O118" s="32"/>
      <c r="P118" s="32"/>
    </row>
    <row r="119" spans="1:27" s="1278" customFormat="1" ht="12.75">
      <c r="A119" s="3436"/>
      <c r="B119" s="3437"/>
      <c r="C119" s="2786" t="s">
        <v>2727</v>
      </c>
      <c r="D119" s="52" t="str">
        <f>IF(A118="——","——",IF(H19="元",ROUND(D118/B125,0),ROUND(D118*10000/B125,0)))</f>
        <v>——</v>
      </c>
      <c r="E119" s="1429"/>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6" t="str">
        <f>IF(项目基本情况!G5="抵押净值",IF(OR(项目基本情况!F5="已注销",项目基本情况!F5="房地产抵押价值"),"4.抵押净值","5.抵押净值"),"——")</f>
        <v>——</v>
      </c>
      <c r="B120" s="3437"/>
      <c r="C120" s="2786" t="str">
        <f>B103</f>
        <v>总价（万元）</v>
      </c>
      <c r="D120" s="2787" t="str">
        <f>IF(A120="——","——",O61)</f>
        <v>——</v>
      </c>
      <c r="E120" s="1429"/>
      <c r="F120" s="1483"/>
      <c r="G120" s="1483"/>
      <c r="H120" s="1483"/>
      <c r="I120" s="1483"/>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41"/>
      <c r="B121" s="3442"/>
      <c r="C121" s="2791" t="s">
        <v>2727</v>
      </c>
      <c r="D121" s="2775" t="str">
        <f ca="1">IF(D120=D110,D111,IF(A120="——","——",O63))</f>
        <v>——</v>
      </c>
      <c r="E121" s="1429"/>
      <c r="F121" s="1483"/>
      <c r="G121" s="1483"/>
      <c r="H121" s="1483"/>
      <c r="I121" s="1483"/>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7" t="s">
        <v>1854</v>
      </c>
      <c r="B122" s="3488"/>
      <c r="C122" s="3488"/>
      <c r="D122" s="3488"/>
      <c r="E122" s="3488"/>
      <c r="F122" s="3488"/>
      <c r="G122" s="3488"/>
      <c r="H122" s="3488"/>
      <c r="I122" s="3488"/>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21" t="s">
        <v>2731</v>
      </c>
      <c r="B123" s="3447" t="s">
        <v>2732</v>
      </c>
      <c r="C123" s="3447" t="s">
        <v>2738</v>
      </c>
      <c r="D123" s="3509" t="s">
        <v>2733</v>
      </c>
      <c r="E123" s="3510"/>
      <c r="F123" s="3422" t="s">
        <v>2739</v>
      </c>
      <c r="G123" s="3422"/>
      <c r="H123" s="3422" t="s">
        <v>2734</v>
      </c>
      <c r="I123" s="3508"/>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21"/>
      <c r="B124" s="3448"/>
      <c r="C124" s="3448"/>
      <c r="D124" s="2060" t="s">
        <v>2735</v>
      </c>
      <c r="E124" s="2060" t="s">
        <v>2740</v>
      </c>
      <c r="F124" s="2060" t="s">
        <v>2735</v>
      </c>
      <c r="G124" s="2060" t="s">
        <v>2736</v>
      </c>
      <c r="H124" s="2060" t="s">
        <v>2735</v>
      </c>
      <c r="I124" s="52" t="s">
        <v>2736</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0" t="str">
        <f>项目基本情况!I1</f>
        <v>北京市房地产</v>
      </c>
      <c r="B125" s="2060">
        <f>典型户型修正!B25</f>
        <v>718.8900000000001</v>
      </c>
      <c r="C125" s="1424"/>
      <c r="D125" s="2060">
        <f>C36</f>
        <v>0</v>
      </c>
      <c r="E125" s="2060">
        <f>ROUND(IF(H19="元",D125/B125,D125*10000/B125),0)</f>
        <v>0</v>
      </c>
      <c r="F125" s="2060">
        <f>C37</f>
        <v>0</v>
      </c>
      <c r="G125" s="2060">
        <f>ROUND(IF(H19="元",F125/B125,F125*10000/B125),0)</f>
        <v>0</v>
      </c>
      <c r="H125" s="2060">
        <f ca="1">C34</f>
        <v>1812</v>
      </c>
      <c r="I125" s="52">
        <f ca="1">C35</f>
        <v>25206</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21" t="s">
        <v>2737</v>
      </c>
      <c r="B126" s="3422"/>
      <c r="C126" s="3422"/>
      <c r="D126" s="3449" t="str">
        <f>IF(H19="元",NUMBERSTRING(INT(D125),2)&amp;"元整",NUMBERSTRING(INT(D125*10000),2)&amp;"元整")</f>
        <v>零元整</v>
      </c>
      <c r="E126" s="3492"/>
      <c r="F126" s="3449" t="str">
        <f>IF(H19="元",NUMBERSTRING(INT(F125),2)&amp;"元整",NUMBERSTRING(INT(F125*10000),2)&amp;"元整")</f>
        <v>零元整</v>
      </c>
      <c r="G126" s="3492"/>
      <c r="H126" s="3449" t="str">
        <f ca="1">IF(H19="元",NUMBERSTRING(INT(H125),2)&amp;"元整",NUMBERSTRING(INT(H125*10000),2)&amp;"元整")</f>
        <v>壹仟捌佰壹拾贰万元整</v>
      </c>
      <c r="I126" s="3450"/>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6" t="str">
        <f>IF(项目基本情况!D5="房地产市场价值","——",MID(A112,3,LEN(A112)-2))</f>
        <v>估价师所知悉的法定优先受偿款</v>
      </c>
      <c r="B127" s="3432"/>
      <c r="C127" s="3427"/>
      <c r="D127" s="3424">
        <f>I107</f>
        <v>0</v>
      </c>
      <c r="E127" s="3432"/>
      <c r="F127" s="3432"/>
      <c r="G127" s="3432"/>
      <c r="H127" s="3432"/>
      <c r="I127" s="3425"/>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3" t="s">
        <v>2737</v>
      </c>
      <c r="B128" s="3461"/>
      <c r="C128" s="3462"/>
      <c r="D128" s="3433">
        <f>H111</f>
        <v>0</v>
      </c>
      <c r="E128" s="3434"/>
      <c r="F128" s="3434"/>
      <c r="G128" s="3434"/>
      <c r="H128" s="3434"/>
      <c r="I128" s="3435"/>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6" t="str">
        <f>IF(项目基本情况!D5="房地产市场价值","——",MID(A116,3,LEN(A116)-2))</f>
        <v>房地产抵押价值</v>
      </c>
      <c r="B129" s="3437"/>
      <c r="C129" s="3437"/>
      <c r="D129" s="3424">
        <f ca="1">I112</f>
        <v>1812</v>
      </c>
      <c r="E129" s="3432"/>
      <c r="F129" s="3432"/>
      <c r="G129" s="3432"/>
      <c r="H129" s="3432"/>
      <c r="I129" s="3425"/>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21" t="s">
        <v>2737</v>
      </c>
      <c r="B130" s="3422"/>
      <c r="C130" s="3422"/>
      <c r="D130" s="3433">
        <f ca="1">I113</f>
        <v>25206</v>
      </c>
      <c r="E130" s="3434"/>
      <c r="F130" s="3434"/>
      <c r="G130" s="3434"/>
      <c r="H130" s="3434"/>
      <c r="I130" s="3435"/>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6" t="str">
        <f>IF(项目基本情况!D5="房地产市场价值","——",MID(A118,3,LEN(A118)-2))</f>
        <v/>
      </c>
      <c r="B131" s="3437"/>
      <c r="C131" s="3437"/>
      <c r="D131" s="3469" t="str">
        <f>I114</f>
        <v>——</v>
      </c>
      <c r="E131" s="3470"/>
      <c r="F131" s="3470"/>
      <c r="G131" s="3470"/>
      <c r="H131" s="3470"/>
      <c r="I131" s="3521"/>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21" t="s">
        <v>2737</v>
      </c>
      <c r="B132" s="3422"/>
      <c r="C132" s="3423"/>
      <c r="D132" s="3485" t="str">
        <f>I115</f>
        <v>——</v>
      </c>
      <c r="E132" s="3485"/>
      <c r="F132" s="3485"/>
      <c r="G132" s="3485"/>
      <c r="H132" s="3485"/>
      <c r="I132" s="3485"/>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6" t="str">
        <f>IF(项目基本情况!D5="房地产市场价值","——",MID(F116,3,LEN(F116)-2))</f>
        <v/>
      </c>
      <c r="B133" s="3437"/>
      <c r="C133" s="3424"/>
      <c r="D133" s="3440" t="str">
        <f>I116</f>
        <v>——</v>
      </c>
      <c r="E133" s="3440"/>
      <c r="F133" s="3440"/>
      <c r="G133" s="3440"/>
      <c r="H133" s="3440"/>
      <c r="I133" s="344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5" t="s">
        <v>2737</v>
      </c>
      <c r="B134" s="3446"/>
      <c r="C134" s="3446"/>
      <c r="D134" s="3451">
        <f>H118</f>
        <v>0</v>
      </c>
      <c r="E134" s="3452"/>
      <c r="F134" s="3452"/>
      <c r="G134" s="3452"/>
      <c r="H134" s="3452"/>
      <c r="I134" s="3453"/>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9" t="str">
        <f>IF(B33="总价","（以上估价结果中楼面单价为总价除以建筑面积得出）","（以上估价结果中总价为楼面单价乘以建筑面积得出）")</f>
        <v>（以上估价结果中总价为楼面单价乘以建筑面积得出）</v>
      </c>
      <c r="B136" s="3419"/>
      <c r="C136" s="3419"/>
      <c r="D136" s="3419"/>
      <c r="E136" s="3419"/>
      <c r="F136" s="3419"/>
      <c r="G136" s="3419"/>
      <c r="H136" s="3419"/>
      <c r="I136" s="3419"/>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9" t="s">
        <v>1817</v>
      </c>
      <c r="B137" s="1460"/>
      <c r="C137" s="1461" t="s">
        <v>1818</v>
      </c>
      <c r="D137" s="1462"/>
      <c r="E137" s="1462"/>
      <c r="F137" s="1462"/>
      <c r="G137" s="1462"/>
      <c r="H137" s="1463"/>
      <c r="I137" s="1464"/>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5">
        <v>1</v>
      </c>
      <c r="B138" s="1466"/>
      <c r="C138" s="1466"/>
      <c r="D138" s="1462"/>
      <c r="E138" s="1462"/>
      <c r="F138" s="1462"/>
      <c r="G138" s="1462"/>
      <c r="H138" s="1463"/>
      <c r="I138" s="1464"/>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5">
        <v>2</v>
      </c>
      <c r="B139" s="1466"/>
      <c r="C139" s="1466"/>
      <c r="D139" s="1462"/>
      <c r="E139" s="1462"/>
      <c r="F139" s="1462"/>
      <c r="G139" s="1462"/>
      <c r="H139" s="1463"/>
      <c r="I139" s="1464"/>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5">
        <v>3</v>
      </c>
      <c r="B140" s="1466"/>
      <c r="C140" s="1466"/>
      <c r="D140" s="1462"/>
      <c r="E140" s="1462"/>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7"/>
      <c r="B141" s="1468"/>
      <c r="C141" s="1468"/>
      <c r="D141" s="1469"/>
      <c r="E141" s="1469"/>
      <c r="F141" s="1469"/>
      <c r="G141" s="1469"/>
      <c r="H141" s="1470"/>
      <c r="I141" s="1471"/>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6"/>
      <c r="B142" s="1466"/>
      <c r="C142" s="1466"/>
      <c r="D142" s="1462"/>
      <c r="E142" s="1462"/>
      <c r="F142" s="1462"/>
      <c r="G142" s="1462"/>
      <c r="H142" s="1463"/>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2" t="s">
        <v>1819</v>
      </c>
      <c r="G143" s="1473"/>
      <c r="H143" s="1473"/>
      <c r="I143" s="1474"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5"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3"/>
      <c r="C146" s="1473"/>
      <c r="D146" s="1473"/>
      <c r="E146" s="1473"/>
      <c r="F146" s="1473"/>
      <c r="G146" s="1473"/>
      <c r="H146" s="1473"/>
      <c r="I146" s="1474"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5"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5"/>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3"/>
      <c r="C149" s="1473"/>
      <c r="D149" s="1473"/>
      <c r="E149" s="1473"/>
      <c r="F149" s="1473"/>
      <c r="G149" s="1473"/>
      <c r="H149" s="1473"/>
      <c r="I149" s="1474"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5"/>
      <c r="C150" s="1476"/>
      <c r="D150" s="1477"/>
      <c r="E150" s="1477"/>
      <c r="F150" s="1478"/>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0"/>
      <c r="G520" s="1430"/>
      <c r="H520" s="1430"/>
      <c r="I520" s="1430"/>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29" sqref="F2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488</v>
      </c>
      <c r="C2" s="79" t="str">
        <f>'数据-取费表'!B3</f>
        <v>万元</v>
      </c>
      <c r="D2" s="1484" t="s">
        <v>1183</v>
      </c>
      <c r="E2" s="1151" t="e">
        <f ca="1">SUMIF(INDIRECT("'"&amp;G2&amp;"'"&amp;"!A:A"),"承租人权益价值",INDIRECT("'"&amp;G2&amp;"'"&amp;"!c:c"))</f>
        <v>#REF!</v>
      </c>
      <c r="F2" s="1485"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6784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6"/>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136589</v>
      </c>
      <c r="D10" s="1143">
        <f>IF('数据-取费表'!B10&lt;&gt;"住宅",IF(B1="仅计算典型户型",'数据-取费表'!E5,'数据-取费表'!B5),0)</f>
        <v>718.89</v>
      </c>
      <c r="E10" s="1142">
        <f>'数据-取费表'!E12</f>
        <v>190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143778</v>
      </c>
      <c r="D19" s="1146">
        <f>IF(B1="仅计算典型户型",'数据-取费表'!E5,'数据-取费表'!B5)</f>
        <v>718.89</v>
      </c>
      <c r="E19" s="111">
        <f>'数据-取费表'!E15</f>
        <v>200</v>
      </c>
      <c r="F19" s="112"/>
      <c r="G19" s="1486"/>
    </row>
    <row r="20" spans="1:123" s="91" customFormat="1" ht="13.5" customHeight="1">
      <c r="A20" s="120" t="s">
        <v>1884</v>
      </c>
      <c r="B20" s="89" t="s">
        <v>1885</v>
      </c>
      <c r="C20" s="99">
        <f>ROUND((C5+C19)*F20,0)</f>
        <v>23486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101697</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12331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986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179665</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179665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1601132</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2998490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2731782</v>
      </c>
      <c r="D34" s="1138"/>
      <c r="E34" s="115"/>
      <c r="F34" s="1149" t="str">
        <f>IF('数据-取费表'!B26=0,"",'数据-取费表'!E20)</f>
        <v/>
      </c>
      <c r="G34" s="95"/>
    </row>
    <row r="35" spans="1:123" ht="13.5" customHeight="1">
      <c r="A35" s="92" t="s">
        <v>1867</v>
      </c>
      <c r="B35" s="93" t="s">
        <v>1916</v>
      </c>
      <c r="C35" s="115">
        <f>ROUND(C34*F35,0)</f>
        <v>81953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143778</v>
      </c>
      <c r="D37" s="1138">
        <f>IF(B1="仅计算典型户型",'数据-取费表'!E5,'数据-取费表'!B5)</f>
        <v>718.89</v>
      </c>
      <c r="E37" s="115">
        <f>'数据-取费表'!E23</f>
        <v>200</v>
      </c>
      <c r="F37" s="1150"/>
      <c r="G37" s="124" t="s">
        <v>1921</v>
      </c>
    </row>
    <row r="38" spans="1:123" ht="13.5" customHeight="1">
      <c r="A38" s="92" t="s">
        <v>1922</v>
      </c>
      <c r="B38" s="93" t="s">
        <v>1923</v>
      </c>
      <c r="C38" s="115">
        <f>ROUND(C34*F38,0)</f>
        <v>40977</v>
      </c>
      <c r="D38" s="115"/>
      <c r="E38" s="115"/>
      <c r="F38" s="1150">
        <f>'数据-取费表'!E24</f>
        <v>1.4999999999999999E-2</v>
      </c>
      <c r="G38" s="95" t="s">
        <v>1917</v>
      </c>
    </row>
    <row r="39" spans="1:123" s="91" customFormat="1" ht="13.5" customHeight="1">
      <c r="A39" s="120" t="s">
        <v>1882</v>
      </c>
      <c r="B39" s="89" t="s">
        <v>1885</v>
      </c>
      <c r="C39" s="99">
        <f>ROUND(C33*F20,0)</f>
        <v>59970</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128456</v>
      </c>
      <c r="D41" s="101">
        <f ca="1">C44</f>
        <v>8.0000000000000004E-4</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125937</v>
      </c>
      <c r="D42" s="104"/>
      <c r="E42" s="104"/>
      <c r="F42" s="105"/>
      <c r="G42" s="3558" t="s">
        <v>1927</v>
      </c>
    </row>
    <row r="43" spans="1:123" ht="13.5" customHeight="1">
      <c r="A43" s="92" t="s">
        <v>1867</v>
      </c>
      <c r="B43" s="93" t="s">
        <v>1896</v>
      </c>
      <c r="C43" s="104">
        <f ca="1">ROUND(IF('数据-取费表'!B24&lt;=1,C39*F22*'数据-取费表'!B23/2,C39*(POWER((1+F22),'数据-取费表'!B23/2)-1)),0)</f>
        <v>2519</v>
      </c>
      <c r="D43" s="104"/>
      <c r="E43" s="104"/>
      <c r="F43" s="105"/>
      <c r="G43" s="3559"/>
    </row>
    <row r="44" spans="1:123" ht="13.5" customHeight="1">
      <c r="A44" s="92" t="s">
        <v>1869</v>
      </c>
      <c r="B44" s="93" t="s">
        <v>1898</v>
      </c>
      <c r="C44" s="104">
        <f ca="1">ROUND(IF('数据-取费表'!B24&lt;=1,C40*F22*'数据-取费表'!B23/2,C40*(POWER((1+F22),'数据-取费表'!B23/2)-1)),4)</f>
        <v>8.0000000000000004E-4</v>
      </c>
      <c r="D44" s="104"/>
      <c r="E44" s="104"/>
      <c r="F44" s="105"/>
      <c r="G44" s="3560"/>
    </row>
    <row r="45" spans="1:123" s="91" customFormat="1" ht="13.5" customHeight="1">
      <c r="A45" s="120" t="s">
        <v>1891</v>
      </c>
      <c r="B45" s="110" t="s">
        <v>1903</v>
      </c>
      <c r="C45" s="111">
        <f>C46</f>
        <v>458769</v>
      </c>
      <c r="D45" s="101">
        <f>C47</f>
        <v>3.0000000000000001E-3</v>
      </c>
      <c r="E45" s="102" t="s">
        <v>1925</v>
      </c>
      <c r="F45" s="2856">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458769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3946401</v>
      </c>
      <c r="D49" s="99"/>
      <c r="E49" s="99"/>
      <c r="F49" s="126"/>
      <c r="G49" s="100" t="s">
        <v>1935</v>
      </c>
    </row>
    <row r="50" spans="1:123" s="122" customFormat="1" ht="24">
      <c r="A50" s="994" t="s">
        <v>1936</v>
      </c>
      <c r="B50" s="89" t="s">
        <v>1937</v>
      </c>
      <c r="C50" s="99"/>
      <c r="D50" s="99"/>
      <c r="E50" s="99"/>
      <c r="F50" s="126">
        <f>IF('数据-取费表'!B26=0,'数据-取费表'!E20,1)</f>
        <v>0.83</v>
      </c>
      <c r="G50" s="113" t="s">
        <v>1938</v>
      </c>
    </row>
    <row r="51" spans="1:123" ht="16.5" customHeight="1">
      <c r="A51" s="994" t="s">
        <v>1939</v>
      </c>
      <c r="B51" s="89" t="s">
        <v>1940</v>
      </c>
      <c r="C51" s="99">
        <f ca="1">ROUND(C49*F50,0)</f>
        <v>3275513</v>
      </c>
      <c r="D51" s="99"/>
      <c r="E51" s="99"/>
      <c r="F51" s="126"/>
      <c r="G51" s="100" t="s">
        <v>1941</v>
      </c>
    </row>
    <row r="52" spans="1:123" s="88" customFormat="1" ht="16.5" thickBot="1">
      <c r="A52" s="127" t="s">
        <v>1942</v>
      </c>
      <c r="B52" s="128"/>
      <c r="C52" s="129">
        <f ca="1">C31+C51</f>
        <v>4876645</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0.67200000000000004</v>
      </c>
    </row>
    <row r="57" spans="1:123">
      <c r="B57" s="135" t="s">
        <v>1945</v>
      </c>
      <c r="C57" s="137">
        <f ca="1">1-C56</f>
        <v>0.32799999999999996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172</v>
      </c>
      <c r="C2" s="1371" t="str">
        <f>'数据-取费表'!B3</f>
        <v>万元</v>
      </c>
      <c r="D2" s="924"/>
      <c r="E2" s="924"/>
      <c r="F2" s="924"/>
      <c r="G2" s="924"/>
      <c r="H2" s="924"/>
      <c r="I2" s="924"/>
      <c r="J2" s="924"/>
      <c r="K2" s="924"/>
    </row>
    <row r="3" spans="1:33" s="139" customFormat="1" ht="18" customHeight="1" thickBot="1">
      <c r="A3" s="83" t="s">
        <v>1231</v>
      </c>
      <c r="B3" s="84">
        <f ca="1">ROUND(C32/IF(C1="仅计算典型户型",'数据-取费表'!E5,'数据-取费表'!B5),0)</f>
        <v>23753</v>
      </c>
      <c r="C3" s="1371" t="s">
        <v>1232</v>
      </c>
      <c r="D3" s="924"/>
      <c r="E3" s="924"/>
      <c r="F3" s="924"/>
      <c r="G3" s="924"/>
      <c r="H3" s="924"/>
      <c r="I3" s="924"/>
      <c r="J3" s="924"/>
      <c r="K3" s="924"/>
    </row>
    <row r="4" spans="1:33" s="143" customFormat="1" ht="16.5" customHeight="1">
      <c r="A4" s="140" t="s">
        <v>1233</v>
      </c>
      <c r="B4" s="141"/>
      <c r="C4" s="1094">
        <f>SUM(C8:K8)</f>
        <v>2533300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72.38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2533300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275044</v>
      </c>
      <c r="D11" s="164"/>
      <c r="E11" s="34"/>
      <c r="F11" s="165">
        <f>1-'数据-取费表'!E20</f>
        <v>0.17000000000000004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8251</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2461</v>
      </c>
      <c r="D14" s="164">
        <f>IF(C1="仅计算典型户型",'数据-取费表'!E5,'数据-取费表'!B5)</f>
        <v>72.38</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4126</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289882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72.38</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13752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13752</v>
      </c>
      <c r="D20" s="164">
        <f>IF('数据-取费表'!B10&lt;&gt;"住宅",IF(C1="仅计算典型户型",'数据-取费表'!E5,'数据-取费表'!B5),0)</f>
        <v>72.38</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303634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6073</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8613</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47748</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47748</v>
      </c>
      <c r="D30" s="193"/>
      <c r="E30" s="206"/>
      <c r="F30" s="203"/>
      <c r="G30" s="147"/>
      <c r="H30" s="170"/>
      <c r="I30" s="170"/>
      <c r="J30" s="170"/>
      <c r="K30" s="171"/>
    </row>
    <row r="31" spans="1:33" s="182" customFormat="1" ht="13.5" customHeight="1" thickBot="1">
      <c r="A31" s="1373" t="s">
        <v>1289</v>
      </c>
      <c r="B31" s="177" t="s">
        <v>1290</v>
      </c>
      <c r="C31" s="207">
        <f>ROUND(C4*F31/(1+'数据-取费表'!F30),0)</f>
        <v>132697</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1719228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80" zoomScaleNormal="60" zoomScaleSheetLayoutView="80" workbookViewId="0">
      <selection activeCell="K54" sqref="K5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2323</v>
      </c>
      <c r="C1" s="1607" t="s">
        <v>3039</v>
      </c>
      <c r="D1" s="1606"/>
      <c r="E1" s="1609" t="s">
        <v>2684</v>
      </c>
      <c r="F1" s="1610" t="s">
        <v>2183</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185</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25504</v>
      </c>
      <c r="C3" s="1628" t="s">
        <v>2184</v>
      </c>
      <c r="D3" s="1628">
        <f>IF(C1="仅计算典型户型",'数据-取费表'!E5,'数据-取费表'!B5)</f>
        <v>72.38</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2185</v>
      </c>
      <c r="B4" s="1632"/>
      <c r="C4" s="3583" t="s">
        <v>2186</v>
      </c>
      <c r="D4" s="3584"/>
      <c r="E4" s="3585" t="s">
        <v>2187</v>
      </c>
      <c r="F4" s="3586"/>
      <c r="G4" s="3583" t="s">
        <v>2188</v>
      </c>
      <c r="H4" s="3584"/>
      <c r="I4" s="3583" t="s">
        <v>2189</v>
      </c>
      <c r="J4" s="3584"/>
      <c r="K4" s="1934" t="s">
        <v>2190</v>
      </c>
      <c r="L4" s="2964"/>
      <c r="M4" s="2965"/>
      <c r="N4" s="2965"/>
      <c r="O4" s="2965"/>
      <c r="P4" s="3587" t="s">
        <v>2191</v>
      </c>
      <c r="Q4" s="3588"/>
      <c r="R4" s="3571" t="s">
        <v>2187</v>
      </c>
      <c r="S4" s="3572"/>
      <c r="T4" s="3571" t="s">
        <v>2188</v>
      </c>
      <c r="U4" s="3572"/>
      <c r="V4" s="3593" t="s">
        <v>2189</v>
      </c>
      <c r="W4" s="3593"/>
      <c r="X4" s="2043"/>
      <c r="Y4" s="3571" t="s">
        <v>2191</v>
      </c>
      <c r="Z4" s="3572"/>
      <c r="AA4" s="3580" t="s">
        <v>2187</v>
      </c>
      <c r="AB4" s="3580" t="s">
        <v>2188</v>
      </c>
      <c r="AC4" s="3580" t="s">
        <v>2189</v>
      </c>
    </row>
    <row r="5" spans="1:29" ht="15">
      <c r="A5" s="1636"/>
      <c r="B5" s="1637"/>
      <c r="C5" s="3596" t="str">
        <f>案例!F44</f>
        <v>博雅CC</v>
      </c>
      <c r="D5" s="3597"/>
      <c r="E5" s="3594" t="str">
        <f>案例!F44</f>
        <v>博雅CC</v>
      </c>
      <c r="F5" s="3595"/>
      <c r="G5" s="3596" t="str">
        <f>案例!F45</f>
        <v>中关村生命科学园</v>
      </c>
      <c r="H5" s="3597"/>
      <c r="I5" s="3596" t="str">
        <f>案例!F46</f>
        <v>TBD云集中心</v>
      </c>
      <c r="J5" s="3597"/>
      <c r="K5" s="1934"/>
      <c r="L5" s="2964"/>
      <c r="M5" s="2965"/>
      <c r="N5" s="2965"/>
      <c r="O5" s="2965"/>
      <c r="P5" s="3589"/>
      <c r="Q5" s="3590"/>
      <c r="R5" s="3573"/>
      <c r="S5" s="3574"/>
      <c r="T5" s="3573"/>
      <c r="U5" s="3574"/>
      <c r="V5" s="3593"/>
      <c r="W5" s="3593"/>
      <c r="X5" s="2043"/>
      <c r="Y5" s="3573"/>
      <c r="Z5" s="3574"/>
      <c r="AA5" s="3581"/>
      <c r="AB5" s="3581"/>
      <c r="AC5" s="3581"/>
    </row>
    <row r="6" spans="1:29" ht="15.75" thickBot="1">
      <c r="A6" s="1639"/>
      <c r="B6" s="1640"/>
      <c r="C6" s="3598" t="s">
        <v>2196</v>
      </c>
      <c r="D6" s="3599"/>
      <c r="E6" s="3600" t="s">
        <v>2196</v>
      </c>
      <c r="F6" s="3601"/>
      <c r="G6" s="3598" t="s">
        <v>2196</v>
      </c>
      <c r="H6" s="3599"/>
      <c r="I6" s="3598" t="s">
        <v>2196</v>
      </c>
      <c r="J6" s="3599"/>
      <c r="K6" s="1934" t="s">
        <v>2197</v>
      </c>
      <c r="L6" s="2964"/>
      <c r="M6" s="2965"/>
      <c r="N6" s="2965"/>
      <c r="O6" s="2965"/>
      <c r="P6" s="3591"/>
      <c r="Q6" s="3592"/>
      <c r="R6" s="3573"/>
      <c r="S6" s="3574"/>
      <c r="T6" s="3575"/>
      <c r="U6" s="3576"/>
      <c r="V6" s="3593"/>
      <c r="W6" s="3593"/>
      <c r="X6" s="2043"/>
      <c r="Y6" s="3575"/>
      <c r="Z6" s="3576"/>
      <c r="AA6" s="3582"/>
      <c r="AB6" s="3582"/>
      <c r="AC6" s="3582"/>
    </row>
    <row r="7" spans="1:29" s="1653" customFormat="1" ht="15.75" thickBot="1">
      <c r="A7" s="1641" t="s">
        <v>2198</v>
      </c>
      <c r="B7" s="1642"/>
      <c r="C7" s="1643">
        <f>'数据-取费表'!B2</f>
        <v>44664</v>
      </c>
      <c r="D7" s="1644">
        <v>100</v>
      </c>
      <c r="E7" s="1645">
        <v>44652</v>
      </c>
      <c r="F7" s="1646">
        <f>SUMIF(59:59,YEAR(E7)&amp;"-"&amp;MONTH(E7),60:60)</f>
        <v>100</v>
      </c>
      <c r="G7" s="1645">
        <v>44652</v>
      </c>
      <c r="H7" s="1644">
        <f>SUMIF(59:59,YEAR(G7)&amp;"-"&amp;MONTH(G7),60:60)</f>
        <v>100</v>
      </c>
      <c r="I7" s="1645">
        <v>44652</v>
      </c>
      <c r="J7" s="1644">
        <f>SUMIF(59:59,YEAR(I7)&amp;"-"&amp;MONTH(I7),60:60)</f>
        <v>100</v>
      </c>
      <c r="K7" s="1936"/>
      <c r="L7" s="2964"/>
      <c r="M7" s="2937"/>
      <c r="N7" s="2937"/>
      <c r="O7" s="2937"/>
      <c r="P7" s="3569" t="s">
        <v>2199</v>
      </c>
      <c r="Q7" s="3577"/>
      <c r="R7" s="1649" t="s">
        <v>25</v>
      </c>
      <c r="S7" s="1650">
        <f t="shared" ref="S7:S15" si="0">F7</f>
        <v>100</v>
      </c>
      <c r="T7" s="1649" t="s">
        <v>25</v>
      </c>
      <c r="U7" s="1650">
        <f t="shared" ref="U7:U15" si="1">H7</f>
        <v>100</v>
      </c>
      <c r="V7" s="1649" t="s">
        <v>25</v>
      </c>
      <c r="W7" s="1650">
        <f t="shared" ref="W7:W15" si="2">J7</f>
        <v>100</v>
      </c>
      <c r="X7" s="1651"/>
      <c r="Y7" s="3569" t="s">
        <v>2199</v>
      </c>
      <c r="Z7" s="3570"/>
      <c r="AA7" s="1652">
        <f>D7/F7</f>
        <v>1</v>
      </c>
      <c r="AB7" s="1652">
        <f>D7/H7</f>
        <v>1</v>
      </c>
      <c r="AC7" s="1652">
        <f>D7/J7</f>
        <v>1</v>
      </c>
    </row>
    <row r="8" spans="1:29" s="1653" customFormat="1" ht="15.75" thickBot="1">
      <c r="A8" s="1641" t="s">
        <v>2200</v>
      </c>
      <c r="B8" s="1642"/>
      <c r="C8" s="1654" t="s">
        <v>2201</v>
      </c>
      <c r="D8" s="1644">
        <v>100</v>
      </c>
      <c r="E8" s="1654" t="s">
        <v>2201</v>
      </c>
      <c r="F8" s="1646">
        <f>SUMIF(62:62,E8,63:63)-SUMIF(62:62,C8,63:63)+100</f>
        <v>100</v>
      </c>
      <c r="G8" s="1654" t="s">
        <v>2201</v>
      </c>
      <c r="H8" s="1644">
        <f>SUMIF(62:62,G8,63:63)-SUMIF(62:62,C8,63:63)+100</f>
        <v>100</v>
      </c>
      <c r="I8" s="1654" t="s">
        <v>2201</v>
      </c>
      <c r="J8" s="1644">
        <f>SUMIF(62:62,I8,63:63)-SUMIF(62:62,C8,63:63)+100</f>
        <v>100</v>
      </c>
      <c r="K8" s="1936"/>
      <c r="L8" s="2964"/>
      <c r="M8" s="2937"/>
      <c r="N8" s="2937"/>
      <c r="O8" s="2937"/>
      <c r="P8" s="3569" t="s">
        <v>2202</v>
      </c>
      <c r="Q8" s="3570"/>
      <c r="R8" s="1649" t="s">
        <v>25</v>
      </c>
      <c r="S8" s="1650">
        <f t="shared" si="0"/>
        <v>100</v>
      </c>
      <c r="T8" s="1649" t="s">
        <v>25</v>
      </c>
      <c r="U8" s="1650">
        <f t="shared" si="1"/>
        <v>100</v>
      </c>
      <c r="V8" s="1649" t="s">
        <v>25</v>
      </c>
      <c r="W8" s="1650">
        <f t="shared" si="2"/>
        <v>100</v>
      </c>
      <c r="X8" s="1651"/>
      <c r="Y8" s="3569" t="s">
        <v>2202</v>
      </c>
      <c r="Z8" s="3570"/>
      <c r="AA8" s="1652">
        <f t="shared" ref="AA8:AA47" si="3">D8/F8</f>
        <v>1</v>
      </c>
      <c r="AB8" s="1652">
        <f t="shared" ref="AB8:AB47" si="4">D8/H8</f>
        <v>1</v>
      </c>
      <c r="AC8" s="1652">
        <f t="shared" ref="AC8:AC47" si="5">D8/J8</f>
        <v>1</v>
      </c>
    </row>
    <row r="9" spans="1:29" s="1653" customFormat="1">
      <c r="A9" s="2035" t="s">
        <v>2203</v>
      </c>
      <c r="B9" s="1656" t="s">
        <v>2204</v>
      </c>
      <c r="C9" s="3322" t="s">
        <v>3027</v>
      </c>
      <c r="D9" s="1658">
        <v>100</v>
      </c>
      <c r="E9" s="1661" t="s">
        <v>2986</v>
      </c>
      <c r="F9" s="1658">
        <f>SUMIF(64:64,E9,65:65)-SUMIF(64:64,C9,65:65)+100</f>
        <v>100</v>
      </c>
      <c r="G9" s="1661" t="s">
        <v>2986</v>
      </c>
      <c r="H9" s="1658">
        <f>SUMIF(64:64,G9,65:65)-SUMIF(64:64,C9,65:65)+100</f>
        <v>100</v>
      </c>
      <c r="I9" s="1661" t="s">
        <v>2986</v>
      </c>
      <c r="J9" s="1658">
        <f>SUMIF(64:64,I9,65:65)-SUMIF(64:64,C9,65:65)+100</f>
        <v>100</v>
      </c>
      <c r="K9" s="1936"/>
      <c r="L9" s="2964"/>
      <c r="M9" s="2937"/>
      <c r="N9" s="2937"/>
      <c r="O9" s="2937"/>
      <c r="P9" s="3561" t="s">
        <v>2205</v>
      </c>
      <c r="Q9" s="2882" t="str">
        <f t="shared" ref="Q9:Q15" si="6">B9</f>
        <v>用途</v>
      </c>
      <c r="R9" s="1649" t="s">
        <v>25</v>
      </c>
      <c r="S9" s="1650">
        <f t="shared" si="0"/>
        <v>100</v>
      </c>
      <c r="T9" s="1649" t="s">
        <v>25</v>
      </c>
      <c r="U9" s="1650">
        <f t="shared" si="1"/>
        <v>100</v>
      </c>
      <c r="V9" s="1649" t="s">
        <v>25</v>
      </c>
      <c r="W9" s="1650">
        <f t="shared" si="2"/>
        <v>100</v>
      </c>
      <c r="X9" s="1651"/>
      <c r="Y9" s="3454" t="s">
        <v>2206</v>
      </c>
      <c r="Z9" s="1662" t="str">
        <f t="shared" ref="Z9:Z15" si="7">Q9</f>
        <v>用途</v>
      </c>
      <c r="AA9" s="1652">
        <f t="shared" si="3"/>
        <v>1</v>
      </c>
      <c r="AB9" s="1652">
        <f t="shared" si="4"/>
        <v>1</v>
      </c>
      <c r="AC9" s="1652">
        <f t="shared" si="5"/>
        <v>1</v>
      </c>
    </row>
    <row r="10" spans="1:29" s="1670" customFormat="1" ht="27">
      <c r="A10" s="1663"/>
      <c r="B10" s="1664" t="s">
        <v>2207</v>
      </c>
      <c r="C10" s="1665" t="s">
        <v>3028</v>
      </c>
      <c r="D10" s="1666">
        <v>100</v>
      </c>
      <c r="E10" s="1665" t="s">
        <v>3028</v>
      </c>
      <c r="F10" s="1666">
        <f>SUMIF(66:66,E10,67:67)-SUMIF(66:66,C10,67:67)+100</f>
        <v>100</v>
      </c>
      <c r="G10" s="1665" t="s">
        <v>3028</v>
      </c>
      <c r="H10" s="1666">
        <f>SUMIF(66:66,G10,67:67)-SUMIF(66:66,C10,67:67)+100</f>
        <v>100</v>
      </c>
      <c r="I10" s="1665" t="s">
        <v>3028</v>
      </c>
      <c r="J10" s="1666">
        <f>SUMIF(66:66,I10,67:67)-SUMIF(66:66,C10,67:67)+100</f>
        <v>100</v>
      </c>
      <c r="K10" s="1961">
        <v>2</v>
      </c>
      <c r="L10" s="2966"/>
      <c r="M10" s="2967"/>
      <c r="N10" s="2967"/>
      <c r="O10" s="2967"/>
      <c r="P10" s="3561"/>
      <c r="Q10" s="2882"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75" thickBot="1">
      <c r="A11" s="1671"/>
      <c r="B11" s="1664" t="s">
        <v>2208</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561"/>
      <c r="Q11" s="2882" t="str">
        <f t="shared" si="6"/>
        <v>容积率</v>
      </c>
      <c r="R11" s="1649" t="s">
        <v>25</v>
      </c>
      <c r="S11" s="1650">
        <f t="shared" si="0"/>
        <v>100</v>
      </c>
      <c r="T11" s="1649" t="s">
        <v>25</v>
      </c>
      <c r="U11" s="1650">
        <f t="shared" si="1"/>
        <v>100</v>
      </c>
      <c r="V11" s="1649" t="s">
        <v>25</v>
      </c>
      <c r="W11" s="1650">
        <f t="shared" si="2"/>
        <v>100</v>
      </c>
      <c r="X11" s="1651"/>
      <c r="Y11" s="3454"/>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561"/>
      <c r="Q12" s="2882">
        <f t="shared" si="6"/>
        <v>111</v>
      </c>
      <c r="R12" s="1649" t="s">
        <v>25</v>
      </c>
      <c r="S12" s="1650">
        <f t="shared" si="0"/>
        <v>100</v>
      </c>
      <c r="T12" s="1649" t="s">
        <v>25</v>
      </c>
      <c r="U12" s="1650">
        <f t="shared" si="1"/>
        <v>100</v>
      </c>
      <c r="V12" s="1649" t="s">
        <v>25</v>
      </c>
      <c r="W12" s="1650">
        <f t="shared" si="2"/>
        <v>100</v>
      </c>
      <c r="X12" s="1651"/>
      <c r="Y12" s="3454"/>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561"/>
      <c r="Q13" s="2882">
        <f t="shared" si="6"/>
        <v>111</v>
      </c>
      <c r="R13" s="1649" t="s">
        <v>25</v>
      </c>
      <c r="S13" s="1650">
        <f t="shared" si="0"/>
        <v>100</v>
      </c>
      <c r="T13" s="1649" t="s">
        <v>25</v>
      </c>
      <c r="U13" s="1650">
        <f t="shared" si="1"/>
        <v>100</v>
      </c>
      <c r="V13" s="1649" t="s">
        <v>25</v>
      </c>
      <c r="W13" s="1650">
        <f t="shared" si="2"/>
        <v>100</v>
      </c>
      <c r="X13" s="1651"/>
      <c r="Y13" s="3454"/>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561"/>
      <c r="Q14" s="2882">
        <f t="shared" si="6"/>
        <v>111</v>
      </c>
      <c r="R14" s="1649" t="s">
        <v>25</v>
      </c>
      <c r="S14" s="1650">
        <f t="shared" si="0"/>
        <v>100</v>
      </c>
      <c r="T14" s="1649" t="s">
        <v>25</v>
      </c>
      <c r="U14" s="1650">
        <f t="shared" si="1"/>
        <v>100</v>
      </c>
      <c r="V14" s="1649" t="s">
        <v>25</v>
      </c>
      <c r="W14" s="1650">
        <f t="shared" si="2"/>
        <v>100</v>
      </c>
      <c r="X14" s="1651"/>
      <c r="Y14" s="3454"/>
      <c r="Z14" s="1662">
        <f t="shared" si="7"/>
        <v>111</v>
      </c>
      <c r="AA14" s="1652">
        <f t="shared" si="3"/>
        <v>1</v>
      </c>
      <c r="AB14" s="1652">
        <f t="shared" si="4"/>
        <v>1</v>
      </c>
      <c r="AC14" s="1652">
        <f t="shared" si="5"/>
        <v>1</v>
      </c>
    </row>
    <row r="15" spans="1:29" ht="15">
      <c r="A15" s="1686" t="s">
        <v>2209</v>
      </c>
      <c r="B15" s="2461" t="s">
        <v>2324</v>
      </c>
      <c r="C15" s="1942" t="str">
        <f>估价对象房地状况!C5</f>
        <v>较好</v>
      </c>
      <c r="D15" s="1689">
        <v>100</v>
      </c>
      <c r="E15" s="1692" t="s">
        <v>30</v>
      </c>
      <c r="F15" s="1689">
        <f>SUMIF(77:77,E16,78:78)-SUMIF(77:77,C16,78:78)+100</f>
        <v>100</v>
      </c>
      <c r="G15" s="1692" t="s">
        <v>30</v>
      </c>
      <c r="H15" s="1689">
        <f>SUMIF(77:77,G16,78:78)-SUMIF(77:77,C16,78:78)+100</f>
        <v>100</v>
      </c>
      <c r="I15" s="1692" t="s">
        <v>30</v>
      </c>
      <c r="J15" s="1689">
        <f>SUMIF(77:77,I16,78:78)-SUMIF(77:77,C16,78:78)+100</f>
        <v>100</v>
      </c>
      <c r="K15" s="2441">
        <v>2</v>
      </c>
      <c r="L15" s="2969"/>
      <c r="M15" s="2965"/>
      <c r="N15" s="2965"/>
      <c r="O15" s="2965"/>
      <c r="P15" s="3578" t="s">
        <v>2210</v>
      </c>
      <c r="Q15" s="2883" t="str">
        <f t="shared" si="6"/>
        <v>办公集聚程度</v>
      </c>
      <c r="R15" s="1694" t="s">
        <v>25</v>
      </c>
      <c r="S15" s="1695">
        <f t="shared" si="0"/>
        <v>100</v>
      </c>
      <c r="T15" s="1694" t="s">
        <v>25</v>
      </c>
      <c r="U15" s="1695">
        <f t="shared" si="1"/>
        <v>100</v>
      </c>
      <c r="V15" s="1694" t="s">
        <v>25</v>
      </c>
      <c r="W15" s="1695">
        <f t="shared" si="2"/>
        <v>100</v>
      </c>
      <c r="X15" s="2043"/>
      <c r="Y15" s="3578" t="s">
        <v>2210</v>
      </c>
      <c r="Z15" s="2047" t="str">
        <f t="shared" si="7"/>
        <v>办公集聚程度</v>
      </c>
      <c r="AA15" s="2038">
        <f t="shared" si="3"/>
        <v>1</v>
      </c>
      <c r="AB15" s="2038">
        <f t="shared" si="4"/>
        <v>1</v>
      </c>
      <c r="AC15" s="2038">
        <f t="shared" si="5"/>
        <v>1</v>
      </c>
    </row>
    <row r="16" spans="1:29" ht="15">
      <c r="A16" s="1671"/>
      <c r="B16" s="2462"/>
      <c r="C16" s="1944" t="s">
        <v>30</v>
      </c>
      <c r="D16" s="1700"/>
      <c r="E16" s="1699" t="s">
        <v>30</v>
      </c>
      <c r="F16" s="1700"/>
      <c r="G16" s="1699" t="s">
        <v>30</v>
      </c>
      <c r="H16" s="1704"/>
      <c r="I16" s="1699" t="s">
        <v>30</v>
      </c>
      <c r="J16" s="1700"/>
      <c r="K16" s="2442"/>
      <c r="L16" s="2969"/>
      <c r="M16" s="2965"/>
      <c r="N16" s="2965"/>
      <c r="O16" s="2965"/>
      <c r="P16" s="3579"/>
      <c r="Q16" s="2883"/>
      <c r="R16" s="1694"/>
      <c r="S16" s="1695"/>
      <c r="T16" s="1694"/>
      <c r="U16" s="1695"/>
      <c r="V16" s="1694"/>
      <c r="W16" s="1695"/>
      <c r="X16" s="2043"/>
      <c r="Y16" s="3579"/>
      <c r="Z16" s="2047"/>
      <c r="AA16" s="2038">
        <v>1</v>
      </c>
      <c r="AB16" s="2038">
        <v>1</v>
      </c>
      <c r="AC16" s="2038">
        <v>1</v>
      </c>
    </row>
    <row r="17" spans="1:29" ht="15">
      <c r="A17" s="1671"/>
      <c r="B17" s="2463" t="s">
        <v>1648</v>
      </c>
      <c r="C17" s="1949" t="str">
        <f>估价对象房地状况!C6</f>
        <v>一般</v>
      </c>
      <c r="D17" s="1704">
        <v>100</v>
      </c>
      <c r="E17" s="1710" t="s">
        <v>31</v>
      </c>
      <c r="F17" s="1704">
        <f>SUMIF(79:79,E18,80:80)-SUMIF(79:79,C18,80:80)+100</f>
        <v>100</v>
      </c>
      <c r="G17" s="1710" t="s">
        <v>31</v>
      </c>
      <c r="H17" s="1711">
        <f>SUMIF(79:79,G18,80:80)-SUMIF(79:79,C18,80:80)+100</f>
        <v>100</v>
      </c>
      <c r="I17" s="1710" t="s">
        <v>31</v>
      </c>
      <c r="J17" s="1711">
        <f>SUMIF(79:79,I18,80:80)-SUMIF(79:79,C18,80:80)+100</f>
        <v>100</v>
      </c>
      <c r="K17" s="2441">
        <v>2</v>
      </c>
      <c r="L17" s="2969"/>
      <c r="M17" s="2965"/>
      <c r="N17" s="2965"/>
      <c r="O17" s="2965"/>
      <c r="P17" s="3579"/>
      <c r="Q17" s="2883" t="str">
        <f>B17</f>
        <v>交通便捷度</v>
      </c>
      <c r="R17" s="1694" t="s">
        <v>25</v>
      </c>
      <c r="S17" s="1695">
        <f>F17</f>
        <v>100</v>
      </c>
      <c r="T17" s="1694" t="s">
        <v>25</v>
      </c>
      <c r="U17" s="1695">
        <f>H17</f>
        <v>100</v>
      </c>
      <c r="V17" s="1694" t="s">
        <v>25</v>
      </c>
      <c r="W17" s="1695">
        <f>J17</f>
        <v>100</v>
      </c>
      <c r="X17" s="2043"/>
      <c r="Y17" s="3579"/>
      <c r="Z17" s="2047" t="str">
        <f>Q17</f>
        <v>交通便捷度</v>
      </c>
      <c r="AA17" s="2038">
        <f t="shared" si="3"/>
        <v>1</v>
      </c>
      <c r="AB17" s="2038">
        <f t="shared" si="4"/>
        <v>1</v>
      </c>
      <c r="AC17" s="2038">
        <f t="shared" si="5"/>
        <v>1</v>
      </c>
    </row>
    <row r="18" spans="1:29" ht="15.75" thickBot="1">
      <c r="A18" s="1671"/>
      <c r="B18" s="2464"/>
      <c r="C18" s="1948" t="s">
        <v>31</v>
      </c>
      <c r="D18" s="1704"/>
      <c r="E18" s="1715" t="s">
        <v>31</v>
      </c>
      <c r="F18" s="1704"/>
      <c r="G18" s="1715" t="s">
        <v>31</v>
      </c>
      <c r="H18" s="1700"/>
      <c r="I18" s="1715" t="s">
        <v>31</v>
      </c>
      <c r="J18" s="1700"/>
      <c r="K18" s="2442"/>
      <c r="L18" s="2969"/>
      <c r="M18" s="2965"/>
      <c r="N18" s="2965"/>
      <c r="O18" s="2965"/>
      <c r="P18" s="3579"/>
      <c r="Q18" s="2883"/>
      <c r="R18" s="1694"/>
      <c r="S18" s="1695"/>
      <c r="T18" s="1694"/>
      <c r="U18" s="1695"/>
      <c r="V18" s="1694"/>
      <c r="W18" s="1695"/>
      <c r="X18" s="2043"/>
      <c r="Y18" s="3579"/>
      <c r="Z18" s="2047"/>
      <c r="AA18" s="2038">
        <v>1</v>
      </c>
      <c r="AB18" s="2038">
        <v>1</v>
      </c>
      <c r="AC18" s="2038">
        <v>1</v>
      </c>
    </row>
    <row r="19" spans="1:29" ht="15">
      <c r="A19" s="1671"/>
      <c r="B19" s="2463" t="s">
        <v>2325</v>
      </c>
      <c r="C19" s="1949" t="str">
        <f>估价对象房地状况!C7</f>
        <v>较好</v>
      </c>
      <c r="D19" s="1711">
        <v>100</v>
      </c>
      <c r="E19" s="1692" t="s">
        <v>30</v>
      </c>
      <c r="F19" s="1711">
        <f>SUMIF(81:81,E20,82:82)-SUMIF(81:81,C20,82:82)+100</f>
        <v>100</v>
      </c>
      <c r="G19" s="1692" t="s">
        <v>30</v>
      </c>
      <c r="H19" s="1704">
        <f>SUMIF(81:81,G20,82:82)-SUMIF(81:81,C20,82:82)+100</f>
        <v>100</v>
      </c>
      <c r="I19" s="1692" t="s">
        <v>30</v>
      </c>
      <c r="J19" s="1704">
        <f>SUMIF(81:81,I20,82:82)-SUMIF(81:81,C20,82:82)+100</f>
        <v>100</v>
      </c>
      <c r="K19" s="2441">
        <v>2</v>
      </c>
      <c r="L19" s="2969"/>
      <c r="M19" s="2965"/>
      <c r="N19" s="2965"/>
      <c r="O19" s="2965"/>
      <c r="P19" s="3579"/>
      <c r="Q19" s="2883" t="str">
        <f>B19</f>
        <v>公共配套设施</v>
      </c>
      <c r="R19" s="1694" t="s">
        <v>25</v>
      </c>
      <c r="S19" s="1695">
        <f>F19</f>
        <v>100</v>
      </c>
      <c r="T19" s="1694" t="s">
        <v>25</v>
      </c>
      <c r="U19" s="1695">
        <f>H19</f>
        <v>100</v>
      </c>
      <c r="V19" s="1694" t="s">
        <v>25</v>
      </c>
      <c r="W19" s="1695">
        <f>J19</f>
        <v>100</v>
      </c>
      <c r="X19" s="2043"/>
      <c r="Y19" s="3579"/>
      <c r="Z19" s="2047" t="str">
        <f>Q19</f>
        <v>公共配套设施</v>
      </c>
      <c r="AA19" s="2038">
        <f t="shared" si="3"/>
        <v>1</v>
      </c>
      <c r="AB19" s="2038">
        <f t="shared" si="4"/>
        <v>1</v>
      </c>
      <c r="AC19" s="2038">
        <f t="shared" si="5"/>
        <v>1</v>
      </c>
    </row>
    <row r="20" spans="1:29" ht="15">
      <c r="A20" s="1671"/>
      <c r="B20" s="2464"/>
      <c r="C20" s="1944" t="s">
        <v>30</v>
      </c>
      <c r="D20" s="1700"/>
      <c r="E20" s="1699" t="s">
        <v>30</v>
      </c>
      <c r="F20" s="1700"/>
      <c r="G20" s="1699" t="s">
        <v>30</v>
      </c>
      <c r="H20" s="1700"/>
      <c r="I20" s="1699" t="s">
        <v>30</v>
      </c>
      <c r="J20" s="1700"/>
      <c r="K20" s="2442"/>
      <c r="L20" s="2969"/>
      <c r="M20" s="2965"/>
      <c r="N20" s="2965"/>
      <c r="O20" s="2965"/>
      <c r="P20" s="3579"/>
      <c r="Q20" s="2883"/>
      <c r="R20" s="1694"/>
      <c r="S20" s="1695"/>
      <c r="T20" s="1694"/>
      <c r="U20" s="1695"/>
      <c r="V20" s="1694"/>
      <c r="W20" s="1695"/>
      <c r="X20" s="2043"/>
      <c r="Y20" s="3579"/>
      <c r="Z20" s="2047"/>
      <c r="AA20" s="2038">
        <v>1</v>
      </c>
      <c r="AB20" s="2038">
        <v>1</v>
      </c>
      <c r="AC20" s="2038">
        <v>1</v>
      </c>
    </row>
    <row r="21" spans="1:29" ht="15">
      <c r="A21" s="1671"/>
      <c r="B21" s="2465" t="s">
        <v>2326</v>
      </c>
      <c r="C21" s="1949" t="str">
        <f>估价对象房地状况!C8</f>
        <v>七通</v>
      </c>
      <c r="D21" s="1711">
        <v>100</v>
      </c>
      <c r="E21" s="1718" t="s">
        <v>2995</v>
      </c>
      <c r="F21" s="1711">
        <f>SUMIF(83:83,E22,84:84)-SUMIF(83:83,C22,84:84)+100</f>
        <v>100</v>
      </c>
      <c r="G21" s="1718" t="s">
        <v>2995</v>
      </c>
      <c r="H21" s="1704">
        <f>SUMIF(83:83,G22,84:84)-SUMIF(83:83,C22,84:84)+100</f>
        <v>100</v>
      </c>
      <c r="I21" s="1718" t="s">
        <v>2995</v>
      </c>
      <c r="J21" s="1704">
        <f>SUMIF(83:83,I22,84:84)-SUMIF(83:83,C22,84:84)+100</f>
        <v>100</v>
      </c>
      <c r="K21" s="2441">
        <v>1</v>
      </c>
      <c r="L21" s="2969"/>
      <c r="M21" s="2965"/>
      <c r="N21" s="2965"/>
      <c r="O21" s="2965"/>
      <c r="P21" s="3579"/>
      <c r="Q21" s="2883" t="str">
        <f>B21</f>
        <v>基础设施水平</v>
      </c>
      <c r="R21" s="1694" t="s">
        <v>25</v>
      </c>
      <c r="S21" s="1695">
        <f>F21</f>
        <v>100</v>
      </c>
      <c r="T21" s="1694" t="s">
        <v>25</v>
      </c>
      <c r="U21" s="1695">
        <f>H21</f>
        <v>100</v>
      </c>
      <c r="V21" s="1694" t="s">
        <v>25</v>
      </c>
      <c r="W21" s="1695">
        <f>J21</f>
        <v>100</v>
      </c>
      <c r="X21" s="2043"/>
      <c r="Y21" s="3579"/>
      <c r="Z21" s="2047" t="str">
        <f>Q21</f>
        <v>基础设施水平</v>
      </c>
      <c r="AA21" s="2038">
        <f t="shared" ref="AA21" si="8">D21/F21</f>
        <v>1</v>
      </c>
      <c r="AB21" s="2038">
        <f t="shared" ref="AB21" si="9">D21/H21</f>
        <v>1</v>
      </c>
      <c r="AC21" s="2038">
        <f t="shared" ref="AC21" si="10">D21/J21</f>
        <v>1</v>
      </c>
    </row>
    <row r="22" spans="1:29" ht="15.75" thickBot="1">
      <c r="A22" s="1671"/>
      <c r="B22" s="2465"/>
      <c r="C22" s="1948" t="s">
        <v>2995</v>
      </c>
      <c r="D22" s="1700"/>
      <c r="E22" s="1699" t="s">
        <v>2995</v>
      </c>
      <c r="F22" s="1700"/>
      <c r="G22" s="1699" t="s">
        <v>2995</v>
      </c>
      <c r="H22" s="1700"/>
      <c r="I22" s="1699" t="s">
        <v>2995</v>
      </c>
      <c r="J22" s="1700"/>
      <c r="K22" s="2443"/>
      <c r="L22" s="2969"/>
      <c r="M22" s="2965"/>
      <c r="N22" s="2965"/>
      <c r="O22" s="2965"/>
      <c r="P22" s="3579"/>
      <c r="Q22" s="2883"/>
      <c r="R22" s="1694"/>
      <c r="S22" s="1695"/>
      <c r="T22" s="1694"/>
      <c r="U22" s="1695"/>
      <c r="V22" s="1694"/>
      <c r="W22" s="1695"/>
      <c r="X22" s="2043"/>
      <c r="Y22" s="3579"/>
      <c r="Z22" s="2047"/>
      <c r="AA22" s="2038">
        <v>1</v>
      </c>
      <c r="AB22" s="2038">
        <v>1</v>
      </c>
      <c r="AC22" s="2038">
        <v>1</v>
      </c>
    </row>
    <row r="23" spans="1:29" ht="15">
      <c r="A23" s="1671"/>
      <c r="B23" s="2463" t="s">
        <v>2327</v>
      </c>
      <c r="C23" s="1949" t="str">
        <f>估价对象房地状况!C9</f>
        <v>一般</v>
      </c>
      <c r="D23" s="1704">
        <v>100</v>
      </c>
      <c r="E23" s="1710" t="s">
        <v>31</v>
      </c>
      <c r="F23" s="1704">
        <f>SUMIF(85:85,E24,86:86)-SUMIF(85:85,C24,86:86)+100</f>
        <v>100</v>
      </c>
      <c r="G23" s="1710" t="s">
        <v>31</v>
      </c>
      <c r="H23" s="1704">
        <f>SUMIF(85:85,G24,86:86)-SUMIF(85:85,C24,86:86)+100</f>
        <v>100</v>
      </c>
      <c r="I23" s="1692" t="s">
        <v>30</v>
      </c>
      <c r="J23" s="1704">
        <f>SUMIF(85:85,I24,86:86)-SUMIF(85:85,C24,86:86)+100</f>
        <v>102</v>
      </c>
      <c r="K23" s="2441">
        <v>2</v>
      </c>
      <c r="L23" s="2969"/>
      <c r="M23" s="2965"/>
      <c r="N23" s="2965"/>
      <c r="O23" s="2965"/>
      <c r="P23" s="3579"/>
      <c r="Q23" s="2883" t="str">
        <f>B23</f>
        <v>环境质量</v>
      </c>
      <c r="R23" s="1694" t="s">
        <v>25</v>
      </c>
      <c r="S23" s="1695">
        <f>F23</f>
        <v>100</v>
      </c>
      <c r="T23" s="1694" t="s">
        <v>25</v>
      </c>
      <c r="U23" s="1695">
        <f>H23</f>
        <v>100</v>
      </c>
      <c r="V23" s="1694" t="s">
        <v>25</v>
      </c>
      <c r="W23" s="1695">
        <f>J23</f>
        <v>102</v>
      </c>
      <c r="X23" s="2043"/>
      <c r="Y23" s="3579"/>
      <c r="Z23" s="2047" t="str">
        <f>Q23</f>
        <v>环境质量</v>
      </c>
      <c r="AA23" s="2038">
        <f t="shared" si="3"/>
        <v>1</v>
      </c>
      <c r="AB23" s="2038">
        <f t="shared" si="4"/>
        <v>1</v>
      </c>
      <c r="AC23" s="2038">
        <f t="shared" si="5"/>
        <v>0.98039215686274506</v>
      </c>
    </row>
    <row r="24" spans="1:29" ht="15">
      <c r="A24" s="1671"/>
      <c r="B24" s="2465"/>
      <c r="C24" s="1944" t="s">
        <v>31</v>
      </c>
      <c r="D24" s="1700"/>
      <c r="E24" s="1703" t="s">
        <v>31</v>
      </c>
      <c r="F24" s="1700"/>
      <c r="G24" s="1703" t="s">
        <v>31</v>
      </c>
      <c r="H24" s="1700"/>
      <c r="I24" s="1699" t="s">
        <v>30</v>
      </c>
      <c r="J24" s="1700"/>
      <c r="K24" s="2442"/>
      <c r="L24" s="2969"/>
      <c r="M24" s="2965"/>
      <c r="N24" s="2965"/>
      <c r="O24" s="2965"/>
      <c r="P24" s="3579"/>
      <c r="Q24" s="2883"/>
      <c r="R24" s="1694"/>
      <c r="S24" s="1695"/>
      <c r="T24" s="1694"/>
      <c r="U24" s="1695"/>
      <c r="V24" s="1694"/>
      <c r="W24" s="1695"/>
      <c r="X24" s="2043"/>
      <c r="Y24" s="3579"/>
      <c r="Z24" s="2047"/>
      <c r="AA24" s="2038">
        <v>1</v>
      </c>
      <c r="AB24" s="2038">
        <v>1</v>
      </c>
      <c r="AC24" s="2038">
        <v>1</v>
      </c>
    </row>
    <row r="25" spans="1:29" ht="27">
      <c r="A25" s="1636"/>
      <c r="B25" s="2463" t="s">
        <v>2328</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579"/>
      <c r="Q25" s="2883" t="str">
        <f>B25</f>
        <v>毗邻道路的类型与等级</v>
      </c>
      <c r="R25" s="1694" t="s">
        <v>25</v>
      </c>
      <c r="S25" s="1695">
        <f>F25</f>
        <v>100</v>
      </c>
      <c r="T25" s="1694" t="s">
        <v>25</v>
      </c>
      <c r="U25" s="1695">
        <f>H25</f>
        <v>100</v>
      </c>
      <c r="V25" s="1694" t="s">
        <v>25</v>
      </c>
      <c r="W25" s="1695">
        <f>J25</f>
        <v>100</v>
      </c>
      <c r="X25" s="2043"/>
      <c r="Y25" s="3579"/>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579"/>
      <c r="Q26" s="2883"/>
      <c r="R26" s="1694"/>
      <c r="S26" s="1695"/>
      <c r="T26" s="1694"/>
      <c r="U26" s="1695"/>
      <c r="V26" s="1694"/>
      <c r="W26" s="1695"/>
      <c r="X26" s="2043"/>
      <c r="Y26" s="3579"/>
      <c r="Z26" s="2047"/>
      <c r="AA26" s="2038">
        <v>1</v>
      </c>
      <c r="AB26" s="2038">
        <v>1</v>
      </c>
      <c r="AC26" s="2038">
        <v>1</v>
      </c>
    </row>
    <row r="27" spans="1:29" ht="15.75" thickBot="1">
      <c r="A27" s="1671"/>
      <c r="B27" s="2464" t="s">
        <v>2301</v>
      </c>
      <c r="C27" s="1952" t="s">
        <v>3004</v>
      </c>
      <c r="D27" s="1680">
        <v>100</v>
      </c>
      <c r="E27" s="1960" t="s">
        <v>3002</v>
      </c>
      <c r="F27" s="1680">
        <f>SUMIF(89:89,E27,90:90)-SUMIF(89:89,C27,90:90)+100</f>
        <v>102</v>
      </c>
      <c r="G27" s="1960" t="s">
        <v>3002</v>
      </c>
      <c r="H27" s="1680">
        <f>SUMIF(89:89,G27,90:90)-SUMIF(89:89,C27,90:90)+100</f>
        <v>102</v>
      </c>
      <c r="I27" s="1960" t="s">
        <v>3004</v>
      </c>
      <c r="J27" s="1680">
        <f>SUMIF(89:89,I27,90:90)-SUMIF(89:89,C27,90:90)+100</f>
        <v>100</v>
      </c>
      <c r="K27" s="1961">
        <v>2</v>
      </c>
      <c r="L27" s="2969"/>
      <c r="M27" s="2965"/>
      <c r="N27" s="2965"/>
      <c r="O27" s="2965"/>
      <c r="P27" s="3579"/>
      <c r="Q27" s="2883" t="str">
        <f t="shared" ref="Q27:Q47" si="11">B27</f>
        <v>楼层</v>
      </c>
      <c r="R27" s="1694" t="s">
        <v>25</v>
      </c>
      <c r="S27" s="1695">
        <f>F27</f>
        <v>102</v>
      </c>
      <c r="T27" s="1694" t="s">
        <v>25</v>
      </c>
      <c r="U27" s="1695">
        <f>H27</f>
        <v>102</v>
      </c>
      <c r="V27" s="1694" t="s">
        <v>25</v>
      </c>
      <c r="W27" s="1695">
        <f>J27</f>
        <v>100</v>
      </c>
      <c r="X27" s="2043"/>
      <c r="Y27" s="3579"/>
      <c r="Z27" s="2047" t="str">
        <f>Q27</f>
        <v>楼层</v>
      </c>
      <c r="AA27" s="2038">
        <f t="shared" si="3"/>
        <v>0.98039215686274506</v>
      </c>
      <c r="AB27" s="2038">
        <f t="shared" si="4"/>
        <v>0.98039215686274506</v>
      </c>
      <c r="AC27" s="2038">
        <f t="shared" si="5"/>
        <v>1</v>
      </c>
    </row>
    <row r="28" spans="1:29" s="1653" customFormat="1" ht="15" hidden="1">
      <c r="A28" s="1674"/>
      <c r="B28" s="2463" t="s">
        <v>2329</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579"/>
      <c r="Q28" s="2882" t="str">
        <f t="shared" si="11"/>
        <v>朝向</v>
      </c>
      <c r="R28" s="1649" t="s">
        <v>25</v>
      </c>
      <c r="S28" s="1650">
        <f>F28</f>
        <v>100</v>
      </c>
      <c r="T28" s="1649" t="s">
        <v>25</v>
      </c>
      <c r="U28" s="1650">
        <f>H28</f>
        <v>100</v>
      </c>
      <c r="V28" s="1649" t="s">
        <v>25</v>
      </c>
      <c r="W28" s="1650">
        <f>J28</f>
        <v>100</v>
      </c>
      <c r="X28" s="1651"/>
      <c r="Y28" s="3579"/>
      <c r="Z28" s="1662" t="str">
        <f>Q28</f>
        <v>朝向</v>
      </c>
      <c r="AA28" s="2038">
        <f>D28/F28</f>
        <v>1</v>
      </c>
      <c r="AB28" s="2038">
        <f>D28/H28</f>
        <v>1</v>
      </c>
      <c r="AC28" s="2038">
        <f>D28/J28</f>
        <v>1</v>
      </c>
    </row>
    <row r="29" spans="1:29" ht="15" hidden="1">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9"/>
      <c r="M29" s="2965"/>
      <c r="N29" s="2965"/>
      <c r="O29" s="2965"/>
      <c r="P29" s="3579"/>
      <c r="Q29" s="2883">
        <f t="shared" si="11"/>
        <v>111</v>
      </c>
      <c r="R29" s="1694" t="s">
        <v>25</v>
      </c>
      <c r="S29" s="1695">
        <f t="shared" ref="S29:S47" si="12">F29</f>
        <v>100</v>
      </c>
      <c r="T29" s="1694" t="s">
        <v>25</v>
      </c>
      <c r="U29" s="1695">
        <f t="shared" ref="U29:U47" si="13">H29</f>
        <v>100</v>
      </c>
      <c r="V29" s="1694" t="s">
        <v>25</v>
      </c>
      <c r="W29" s="1695">
        <f t="shared" ref="W29:W47" si="14">J29</f>
        <v>100</v>
      </c>
      <c r="X29" s="2043"/>
      <c r="Y29" s="3579"/>
      <c r="Z29" s="2047">
        <f t="shared" ref="Z29:Z47" si="15">Q29</f>
        <v>111</v>
      </c>
      <c r="AA29" s="2038">
        <f t="shared" si="3"/>
        <v>1</v>
      </c>
      <c r="AB29" s="2038">
        <f t="shared" si="4"/>
        <v>1</v>
      </c>
      <c r="AC29" s="2038">
        <f t="shared" si="5"/>
        <v>1</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579"/>
      <c r="Q30" s="2883">
        <f t="shared" si="11"/>
        <v>111</v>
      </c>
      <c r="R30" s="1694" t="s">
        <v>25</v>
      </c>
      <c r="S30" s="1695">
        <f t="shared" si="12"/>
        <v>100</v>
      </c>
      <c r="T30" s="1694" t="s">
        <v>25</v>
      </c>
      <c r="U30" s="1695">
        <f t="shared" si="13"/>
        <v>100</v>
      </c>
      <c r="V30" s="1694" t="s">
        <v>25</v>
      </c>
      <c r="W30" s="1695">
        <f t="shared" si="14"/>
        <v>100</v>
      </c>
      <c r="X30" s="2043"/>
      <c r="Y30" s="3579"/>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579"/>
      <c r="Q31" s="2883">
        <f t="shared" si="11"/>
        <v>111</v>
      </c>
      <c r="R31" s="1694" t="s">
        <v>25</v>
      </c>
      <c r="S31" s="1695">
        <f t="shared" si="12"/>
        <v>100</v>
      </c>
      <c r="T31" s="1694" t="s">
        <v>25</v>
      </c>
      <c r="U31" s="1695">
        <f t="shared" si="13"/>
        <v>100</v>
      </c>
      <c r="V31" s="1694" t="s">
        <v>25</v>
      </c>
      <c r="W31" s="1695">
        <f t="shared" si="14"/>
        <v>100</v>
      </c>
      <c r="X31" s="2043"/>
      <c r="Y31" s="3579"/>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579"/>
      <c r="Q32" s="2883">
        <f t="shared" si="11"/>
        <v>111</v>
      </c>
      <c r="R32" s="1694" t="s">
        <v>25</v>
      </c>
      <c r="S32" s="1695">
        <f t="shared" si="12"/>
        <v>100</v>
      </c>
      <c r="T32" s="1694" t="s">
        <v>25</v>
      </c>
      <c r="U32" s="1695">
        <f t="shared" si="13"/>
        <v>100</v>
      </c>
      <c r="V32" s="1694" t="s">
        <v>25</v>
      </c>
      <c r="W32" s="1695">
        <f t="shared" si="14"/>
        <v>100</v>
      </c>
      <c r="X32" s="2043"/>
      <c r="Y32" s="3579"/>
      <c r="Z32" s="2047">
        <f t="shared" si="15"/>
        <v>111</v>
      </c>
      <c r="AA32" s="2038">
        <f t="shared" si="3"/>
        <v>1</v>
      </c>
      <c r="AB32" s="2038">
        <f t="shared" si="4"/>
        <v>1</v>
      </c>
      <c r="AC32" s="2038">
        <f t="shared" si="5"/>
        <v>1</v>
      </c>
    </row>
    <row r="33" spans="1:29" ht="15">
      <c r="A33" s="1686" t="s">
        <v>2214</v>
      </c>
      <c r="B33" s="1656" t="s">
        <v>2330</v>
      </c>
      <c r="C33" s="2471" t="s">
        <v>3007</v>
      </c>
      <c r="D33" s="1731">
        <v>100</v>
      </c>
      <c r="E33" s="2471" t="s">
        <v>3007</v>
      </c>
      <c r="F33" s="1723">
        <f>SUMIF(101:101,E33,102:102)-SUMIF(101:101,C33,102:102)+100</f>
        <v>100</v>
      </c>
      <c r="G33" s="2471" t="s">
        <v>3007</v>
      </c>
      <c r="H33" s="1680">
        <f>SUMIF(101:101,G33,102:102)-SUMIF(101:101,C33,102:102)+100</f>
        <v>100</v>
      </c>
      <c r="I33" s="2471" t="s">
        <v>3007</v>
      </c>
      <c r="J33" s="1731">
        <f>SUMIF(101:101,I33,102:102)-SUMIF(101:101,C33,102:102)+100</f>
        <v>100</v>
      </c>
      <c r="K33" s="1961">
        <v>2</v>
      </c>
      <c r="L33" s="2969"/>
      <c r="M33" s="2965"/>
      <c r="N33" s="2965"/>
      <c r="O33" s="2965"/>
      <c r="P33" s="3566" t="s">
        <v>2216</v>
      </c>
      <c r="Q33" s="2883" t="str">
        <f t="shared" si="11"/>
        <v>建筑类型</v>
      </c>
      <c r="R33" s="1694" t="s">
        <v>25</v>
      </c>
      <c r="S33" s="1695">
        <f t="shared" si="12"/>
        <v>100</v>
      </c>
      <c r="T33" s="1694" t="s">
        <v>25</v>
      </c>
      <c r="U33" s="1695">
        <f t="shared" si="13"/>
        <v>100</v>
      </c>
      <c r="V33" s="1694" t="s">
        <v>25</v>
      </c>
      <c r="W33" s="1695">
        <f t="shared" si="14"/>
        <v>100</v>
      </c>
      <c r="X33" s="2043"/>
      <c r="Y33" s="3567" t="s">
        <v>2216</v>
      </c>
      <c r="Z33" s="2047" t="str">
        <f t="shared" si="15"/>
        <v>建筑类型</v>
      </c>
      <c r="AA33" s="2038">
        <f t="shared" si="3"/>
        <v>1</v>
      </c>
      <c r="AB33" s="2038">
        <f t="shared" si="4"/>
        <v>1</v>
      </c>
      <c r="AC33" s="2038">
        <f t="shared" si="5"/>
        <v>1</v>
      </c>
    </row>
    <row r="34" spans="1:29" s="1740" customFormat="1" ht="15">
      <c r="A34" s="1733"/>
      <c r="B34" s="1664" t="s">
        <v>2217</v>
      </c>
      <c r="C34" s="1734">
        <v>72.38</v>
      </c>
      <c r="D34" s="1666">
        <v>100</v>
      </c>
      <c r="E34" s="1673">
        <f>案例!H44</f>
        <v>1236</v>
      </c>
      <c r="F34" s="1668">
        <f>LOOKUP(E34,104:104,105:105)-LOOKUP(C34,104:104,105:105)+100</f>
        <v>98</v>
      </c>
      <c r="G34" s="1672">
        <f>案例!H45</f>
        <v>120</v>
      </c>
      <c r="H34" s="1666">
        <f>LOOKUP(G34,104:104,105:105)-LOOKUP(C34,104:104,105:105)+100</f>
        <v>102</v>
      </c>
      <c r="I34" s="1672">
        <f>案例!H46</f>
        <v>600</v>
      </c>
      <c r="J34" s="1666">
        <f>LOOKUP(I34,104:104,105:105)-LOOKUP(C34,104:104,105:105)+100</f>
        <v>102</v>
      </c>
      <c r="K34" s="1958"/>
      <c r="L34" s="2968"/>
      <c r="M34" s="2028"/>
      <c r="N34" s="2028"/>
      <c r="O34" s="2028"/>
      <c r="P34" s="3567"/>
      <c r="Q34" s="1735" t="str">
        <f t="shared" si="11"/>
        <v>项目建筑规模</v>
      </c>
      <c r="R34" s="1736" t="s">
        <v>25</v>
      </c>
      <c r="S34" s="1737">
        <f t="shared" si="12"/>
        <v>98</v>
      </c>
      <c r="T34" s="1736" t="s">
        <v>25</v>
      </c>
      <c r="U34" s="1737">
        <f t="shared" si="13"/>
        <v>102</v>
      </c>
      <c r="V34" s="1736" t="s">
        <v>25</v>
      </c>
      <c r="W34" s="1737">
        <f t="shared" si="14"/>
        <v>102</v>
      </c>
      <c r="X34" s="1738"/>
      <c r="Y34" s="3567"/>
      <c r="Z34" s="1739" t="str">
        <f t="shared" si="15"/>
        <v>项目建筑规模</v>
      </c>
      <c r="AA34" s="2038">
        <f t="shared" si="3"/>
        <v>1.0204081632653061</v>
      </c>
      <c r="AB34" s="2038">
        <f t="shared" si="4"/>
        <v>0.98039215686274506</v>
      </c>
      <c r="AC34" s="2038">
        <f t="shared" si="5"/>
        <v>0.98039215686274506</v>
      </c>
    </row>
    <row r="35" spans="1:29" ht="15">
      <c r="A35" s="1741"/>
      <c r="B35" s="1664" t="s">
        <v>2218</v>
      </c>
      <c r="C35" s="1721" t="s">
        <v>3009</v>
      </c>
      <c r="D35" s="1680">
        <v>100</v>
      </c>
      <c r="E35" s="1721" t="s">
        <v>3009</v>
      </c>
      <c r="F35" s="1723">
        <f>SUMIF(106:106,E35,107:107)-SUMIF(106:106,C35,107:107)+100</f>
        <v>100</v>
      </c>
      <c r="G35" s="1721" t="s">
        <v>3009</v>
      </c>
      <c r="H35" s="1680">
        <f>SUMIF(106:106,G35,107:107)-SUMIF(106:106,C35,107:107)+100</f>
        <v>100</v>
      </c>
      <c r="I35" s="1721" t="s">
        <v>3009</v>
      </c>
      <c r="J35" s="1680">
        <f>SUMIF(106:106,I35,107:107)-SUMIF(106:106,C35,107:107)+100</f>
        <v>100</v>
      </c>
      <c r="K35" s="1961">
        <v>2</v>
      </c>
      <c r="L35" s="2969"/>
      <c r="M35" s="2965"/>
      <c r="N35" s="2965"/>
      <c r="O35" s="2965"/>
      <c r="P35" s="3567"/>
      <c r="Q35" s="2883" t="str">
        <f t="shared" si="11"/>
        <v>建筑结构</v>
      </c>
      <c r="R35" s="1694" t="s">
        <v>25</v>
      </c>
      <c r="S35" s="1695">
        <f t="shared" si="12"/>
        <v>100</v>
      </c>
      <c r="T35" s="1694" t="s">
        <v>25</v>
      </c>
      <c r="U35" s="1695">
        <f t="shared" si="13"/>
        <v>100</v>
      </c>
      <c r="V35" s="1694" t="s">
        <v>25</v>
      </c>
      <c r="W35" s="1695">
        <f t="shared" si="14"/>
        <v>100</v>
      </c>
      <c r="X35" s="2043"/>
      <c r="Y35" s="3567"/>
      <c r="Z35" s="2047" t="str">
        <f t="shared" si="15"/>
        <v>建筑结构</v>
      </c>
      <c r="AA35" s="2038">
        <f t="shared" si="3"/>
        <v>1</v>
      </c>
      <c r="AB35" s="2038">
        <f t="shared" si="4"/>
        <v>1</v>
      </c>
      <c r="AC35" s="2038">
        <f t="shared" si="5"/>
        <v>1</v>
      </c>
    </row>
    <row r="36" spans="1:29" ht="15">
      <c r="A36" s="1741"/>
      <c r="B36" s="1664" t="s">
        <v>2303</v>
      </c>
      <c r="C36" s="1721" t="s">
        <v>3011</v>
      </c>
      <c r="D36" s="1680">
        <v>100</v>
      </c>
      <c r="E36" s="1721" t="s">
        <v>3011</v>
      </c>
      <c r="F36" s="1723">
        <f>SUMIF(108:108,E36,109:109)-SUMIF(108:108,C36,109:109)+100</f>
        <v>100</v>
      </c>
      <c r="G36" s="1721" t="s">
        <v>3011</v>
      </c>
      <c r="H36" s="1680">
        <f>SUMIF(108:108,G36,109:109)-SUMIF(108:108,C36,109:109)+100</f>
        <v>100</v>
      </c>
      <c r="I36" s="1721" t="s">
        <v>3011</v>
      </c>
      <c r="J36" s="1680">
        <f>SUMIF(108:108,I36,109:109)-SUMIF(108:108,C36,109:109)+100</f>
        <v>100</v>
      </c>
      <c r="K36" s="1961">
        <v>2</v>
      </c>
      <c r="L36" s="2969"/>
      <c r="M36" s="2965"/>
      <c r="N36" s="2965"/>
      <c r="O36" s="2965"/>
      <c r="P36" s="3567"/>
      <c r="Q36" s="2883" t="str">
        <f t="shared" si="11"/>
        <v>公共部分装修</v>
      </c>
      <c r="R36" s="1694" t="s">
        <v>25</v>
      </c>
      <c r="S36" s="1695">
        <f t="shared" si="12"/>
        <v>100</v>
      </c>
      <c r="T36" s="1694" t="s">
        <v>25</v>
      </c>
      <c r="U36" s="1695">
        <f t="shared" si="13"/>
        <v>100</v>
      </c>
      <c r="V36" s="1694" t="s">
        <v>25</v>
      </c>
      <c r="W36" s="1695">
        <f t="shared" si="14"/>
        <v>100</v>
      </c>
      <c r="X36" s="2043"/>
      <c r="Y36" s="3567"/>
      <c r="Z36" s="2047" t="str">
        <f t="shared" si="15"/>
        <v>公共部分装修</v>
      </c>
      <c r="AA36" s="2038">
        <f t="shared" si="3"/>
        <v>1</v>
      </c>
      <c r="AB36" s="2038">
        <f t="shared" si="4"/>
        <v>1</v>
      </c>
      <c r="AC36" s="2038">
        <f t="shared" si="5"/>
        <v>1</v>
      </c>
    </row>
    <row r="37" spans="1:29" ht="15">
      <c r="A37" s="1741"/>
      <c r="B37" s="1664" t="s">
        <v>2304</v>
      </c>
      <c r="C37" s="1745">
        <f>'数据-取费表'!E20</f>
        <v>0.83</v>
      </c>
      <c r="D37" s="1680">
        <v>100</v>
      </c>
      <c r="E37" s="1745">
        <v>0.8</v>
      </c>
      <c r="F37" s="1723">
        <f>LOOKUP(E37,111:111,112:112)-LOOKUP(C37,111:111,112:112)+100</f>
        <v>100</v>
      </c>
      <c r="G37" s="1745">
        <v>0.8</v>
      </c>
      <c r="H37" s="1723">
        <f>LOOKUP(G37,111:111,112:112)-LOOKUP(C37,111:111,112:112)+100</f>
        <v>100</v>
      </c>
      <c r="I37" s="1745">
        <v>0.8</v>
      </c>
      <c r="J37" s="1680">
        <f>LOOKUP(I37,111:111,112:112)-LOOKUP(C37,111:111,112:112)+100</f>
        <v>100</v>
      </c>
      <c r="K37" s="1961">
        <v>1</v>
      </c>
      <c r="L37" s="2969"/>
      <c r="M37" s="2965"/>
      <c r="N37" s="2965"/>
      <c r="O37" s="2965"/>
      <c r="P37" s="3567"/>
      <c r="Q37" s="2883" t="str">
        <f t="shared" si="11"/>
        <v>成新度</v>
      </c>
      <c r="R37" s="1694" t="s">
        <v>25</v>
      </c>
      <c r="S37" s="1695">
        <f t="shared" si="12"/>
        <v>100</v>
      </c>
      <c r="T37" s="1694" t="s">
        <v>25</v>
      </c>
      <c r="U37" s="1695">
        <f t="shared" si="13"/>
        <v>100</v>
      </c>
      <c r="V37" s="1694" t="s">
        <v>25</v>
      </c>
      <c r="W37" s="1695">
        <f t="shared" si="14"/>
        <v>100</v>
      </c>
      <c r="X37" s="2043"/>
      <c r="Y37" s="3567"/>
      <c r="Z37" s="2047" t="str">
        <f t="shared" si="15"/>
        <v>成新度</v>
      </c>
      <c r="AA37" s="2038">
        <f t="shared" si="3"/>
        <v>1</v>
      </c>
      <c r="AB37" s="2038">
        <f t="shared" si="4"/>
        <v>1</v>
      </c>
      <c r="AC37" s="2038">
        <f t="shared" si="5"/>
        <v>1</v>
      </c>
    </row>
    <row r="38" spans="1:29" s="1653" customFormat="1" ht="15">
      <c r="A38" s="1744"/>
      <c r="B38" s="1664" t="s">
        <v>2331</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567"/>
      <c r="Q38" s="2882" t="str">
        <f t="shared" si="11"/>
        <v>写字楼等级</v>
      </c>
      <c r="R38" s="1649" t="s">
        <v>25</v>
      </c>
      <c r="S38" s="1650">
        <f t="shared" si="12"/>
        <v>100</v>
      </c>
      <c r="T38" s="1649" t="s">
        <v>25</v>
      </c>
      <c r="U38" s="1650">
        <f t="shared" si="13"/>
        <v>100</v>
      </c>
      <c r="V38" s="1649" t="s">
        <v>25</v>
      </c>
      <c r="W38" s="1650">
        <f t="shared" si="14"/>
        <v>100</v>
      </c>
      <c r="X38" s="1651"/>
      <c r="Y38" s="3567"/>
      <c r="Z38" s="1662" t="str">
        <f t="shared" si="15"/>
        <v>写字楼等级</v>
      </c>
      <c r="AA38" s="1652">
        <f t="shared" si="3"/>
        <v>1</v>
      </c>
      <c r="AB38" s="1652">
        <f t="shared" si="4"/>
        <v>1</v>
      </c>
      <c r="AC38" s="1652">
        <f t="shared" si="5"/>
        <v>1</v>
      </c>
    </row>
    <row r="39" spans="1:29" ht="15">
      <c r="A39" s="1741"/>
      <c r="B39" s="1664" t="s">
        <v>2332</v>
      </c>
      <c r="C39" s="1721" t="s">
        <v>3050</v>
      </c>
      <c r="D39" s="1680">
        <v>100</v>
      </c>
      <c r="E39" s="1721" t="s">
        <v>3050</v>
      </c>
      <c r="F39" s="1723">
        <f>SUMIF(115:115,E39,116:116)-SUMIF(115:115,C39,116:116)+100</f>
        <v>100</v>
      </c>
      <c r="G39" s="1721" t="s">
        <v>3050</v>
      </c>
      <c r="H39" s="1680">
        <f>SUMIF(115:115,G39,116:116)-SUMIF(115:115,C39,116:116)+100</f>
        <v>100</v>
      </c>
      <c r="I39" s="1721" t="s">
        <v>3050</v>
      </c>
      <c r="J39" s="1680">
        <f>SUMIF(115:115,I39,116:116)-SUMIF(115:115,C39,116:116)+100</f>
        <v>100</v>
      </c>
      <c r="K39" s="1961">
        <v>2</v>
      </c>
      <c r="L39" s="2969"/>
      <c r="M39" s="2965"/>
      <c r="N39" s="2965"/>
      <c r="O39" s="2965"/>
      <c r="P39" s="3567" t="s">
        <v>2216</v>
      </c>
      <c r="Q39" s="2883" t="str">
        <f t="shared" si="11"/>
        <v>物业管理</v>
      </c>
      <c r="R39" s="1694" t="s">
        <v>25</v>
      </c>
      <c r="S39" s="1695">
        <f t="shared" si="12"/>
        <v>100</v>
      </c>
      <c r="T39" s="1694" t="s">
        <v>25</v>
      </c>
      <c r="U39" s="1695">
        <f t="shared" si="13"/>
        <v>100</v>
      </c>
      <c r="V39" s="1694" t="s">
        <v>25</v>
      </c>
      <c r="W39" s="1695">
        <f t="shared" si="14"/>
        <v>100</v>
      </c>
      <c r="X39" s="2043"/>
      <c r="Y39" s="3567" t="s">
        <v>2216</v>
      </c>
      <c r="Z39" s="2047" t="str">
        <f t="shared" si="15"/>
        <v>物业管理</v>
      </c>
      <c r="AA39" s="2038">
        <f t="shared" si="3"/>
        <v>1</v>
      </c>
      <c r="AB39" s="2038">
        <f t="shared" si="4"/>
        <v>1</v>
      </c>
      <c r="AC39" s="2038">
        <f t="shared" si="5"/>
        <v>1</v>
      </c>
    </row>
    <row r="40" spans="1:29" ht="15">
      <c r="A40" s="1741"/>
      <c r="B40" s="1664" t="s">
        <v>2305</v>
      </c>
      <c r="C40" s="1721" t="s">
        <v>3052</v>
      </c>
      <c r="D40" s="1680">
        <v>100</v>
      </c>
      <c r="E40" s="1721" t="s">
        <v>3052</v>
      </c>
      <c r="F40" s="1723">
        <f>SUMIF(117:117,E40,118:118)-SUMIF(117:117,C40,118:118)+100</f>
        <v>100</v>
      </c>
      <c r="G40" s="1721" t="s">
        <v>3052</v>
      </c>
      <c r="H40" s="1680">
        <f>SUMIF(117:117,G40,118:118)-SUMIF(117:117,C40,118:118)+100</f>
        <v>100</v>
      </c>
      <c r="I40" s="1721" t="s">
        <v>3052</v>
      </c>
      <c r="J40" s="1680">
        <f>SUMIF(117:117,I40,118:118)-SUMIF(117:117,C40,118:118)+100</f>
        <v>100</v>
      </c>
      <c r="K40" s="1961"/>
      <c r="L40" s="2969"/>
      <c r="M40" s="2965"/>
      <c r="N40" s="2965"/>
      <c r="O40" s="2965"/>
      <c r="P40" s="3567"/>
      <c r="Q40" s="2883" t="str">
        <f t="shared" si="11"/>
        <v>市政基础设施</v>
      </c>
      <c r="R40" s="1694" t="s">
        <v>25</v>
      </c>
      <c r="S40" s="1695">
        <f t="shared" si="12"/>
        <v>100</v>
      </c>
      <c r="T40" s="1694" t="s">
        <v>25</v>
      </c>
      <c r="U40" s="1695">
        <f t="shared" si="13"/>
        <v>100</v>
      </c>
      <c r="V40" s="1694" t="s">
        <v>25</v>
      </c>
      <c r="W40" s="1695">
        <f t="shared" si="14"/>
        <v>100</v>
      </c>
      <c r="X40" s="2043"/>
      <c r="Y40" s="3567"/>
      <c r="Z40" s="2047" t="str">
        <f t="shared" si="15"/>
        <v>市政基础设施</v>
      </c>
      <c r="AA40" s="2038">
        <f t="shared" si="3"/>
        <v>1</v>
      </c>
      <c r="AB40" s="2038">
        <f t="shared" si="4"/>
        <v>1</v>
      </c>
      <c r="AC40" s="2038">
        <f t="shared" si="5"/>
        <v>1</v>
      </c>
    </row>
    <row r="41" spans="1:29" ht="15">
      <c r="A41" s="1741"/>
      <c r="B41" s="1664" t="s">
        <v>2307</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567"/>
      <c r="Q41" s="2883" t="str">
        <f t="shared" si="11"/>
        <v>层高</v>
      </c>
      <c r="R41" s="1694" t="s">
        <v>25</v>
      </c>
      <c r="S41" s="1695">
        <f t="shared" si="12"/>
        <v>100</v>
      </c>
      <c r="T41" s="1694" t="s">
        <v>25</v>
      </c>
      <c r="U41" s="1695">
        <f t="shared" si="13"/>
        <v>100</v>
      </c>
      <c r="V41" s="1694" t="s">
        <v>25</v>
      </c>
      <c r="W41" s="1695">
        <f t="shared" si="14"/>
        <v>100</v>
      </c>
      <c r="X41" s="2043"/>
      <c r="Y41" s="3567"/>
      <c r="Z41" s="2047" t="str">
        <f t="shared" si="15"/>
        <v>层高</v>
      </c>
      <c r="AA41" s="2038">
        <f t="shared" si="3"/>
        <v>1</v>
      </c>
      <c r="AB41" s="2038">
        <f t="shared" si="4"/>
        <v>1</v>
      </c>
      <c r="AC41" s="2038">
        <f t="shared" si="5"/>
        <v>1</v>
      </c>
    </row>
    <row r="42" spans="1:29" s="1740" customFormat="1" ht="15">
      <c r="A42" s="1733"/>
      <c r="B42" s="2039" t="s">
        <v>2333</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567"/>
      <c r="Q42" s="1735" t="str">
        <f t="shared" si="11"/>
        <v>单套建筑面积</v>
      </c>
      <c r="R42" s="1736" t="s">
        <v>25</v>
      </c>
      <c r="S42" s="1737">
        <f t="shared" si="12"/>
        <v>100</v>
      </c>
      <c r="T42" s="1736" t="s">
        <v>25</v>
      </c>
      <c r="U42" s="1737">
        <f t="shared" si="13"/>
        <v>100</v>
      </c>
      <c r="V42" s="1736" t="s">
        <v>25</v>
      </c>
      <c r="W42" s="1737">
        <f t="shared" si="14"/>
        <v>100</v>
      </c>
      <c r="X42" s="1738"/>
      <c r="Y42" s="3567"/>
      <c r="Z42" s="1739" t="str">
        <f t="shared" si="15"/>
        <v>单套建筑面积</v>
      </c>
      <c r="AA42" s="2038">
        <f t="shared" si="3"/>
        <v>1</v>
      </c>
      <c r="AB42" s="2038">
        <f t="shared" si="4"/>
        <v>1</v>
      </c>
      <c r="AC42" s="2038">
        <f t="shared" si="5"/>
        <v>1</v>
      </c>
    </row>
    <row r="43" spans="1:29" ht="15">
      <c r="A43" s="1741"/>
      <c r="B43" s="1664" t="s">
        <v>2310</v>
      </c>
      <c r="C43" s="1721" t="s">
        <v>3013</v>
      </c>
      <c r="D43" s="1680">
        <v>100</v>
      </c>
      <c r="E43" s="1721" t="s">
        <v>3013</v>
      </c>
      <c r="F43" s="1723">
        <f>SUMIF(123:123,E43,124:124)-SUMIF(123:123,C43,124:124)+100</f>
        <v>100</v>
      </c>
      <c r="G43" s="1721" t="s">
        <v>3013</v>
      </c>
      <c r="H43" s="1680">
        <f>SUMIF(123:123,G43,124:124)-SUMIF(123:123,C43,124:124)+100</f>
        <v>100</v>
      </c>
      <c r="I43" s="1721" t="s">
        <v>3013</v>
      </c>
      <c r="J43" s="1680">
        <f>SUMIF(123:123,I43,124:124)-SUMIF(123:123,C43,124:124)+100</f>
        <v>100</v>
      </c>
      <c r="K43" s="1961">
        <v>2</v>
      </c>
      <c r="L43" s="2969"/>
      <c r="M43" s="2965"/>
      <c r="N43" s="2965"/>
      <c r="O43" s="2965"/>
      <c r="P43" s="3567"/>
      <c r="Q43" s="2883" t="str">
        <f t="shared" si="11"/>
        <v>内部装修</v>
      </c>
      <c r="R43" s="1694" t="s">
        <v>25</v>
      </c>
      <c r="S43" s="1695">
        <f t="shared" si="12"/>
        <v>100</v>
      </c>
      <c r="T43" s="1694" t="s">
        <v>25</v>
      </c>
      <c r="U43" s="1695">
        <f t="shared" si="13"/>
        <v>100</v>
      </c>
      <c r="V43" s="1694" t="s">
        <v>25</v>
      </c>
      <c r="W43" s="1695">
        <f t="shared" si="14"/>
        <v>100</v>
      </c>
      <c r="X43" s="2043"/>
      <c r="Y43" s="3567"/>
      <c r="Z43" s="2047" t="str">
        <f t="shared" si="15"/>
        <v>内部装修</v>
      </c>
      <c r="AA43" s="2038">
        <f t="shared" si="3"/>
        <v>1</v>
      </c>
      <c r="AB43" s="2038">
        <f t="shared" si="4"/>
        <v>1</v>
      </c>
      <c r="AC43" s="2038">
        <f t="shared" si="5"/>
        <v>1</v>
      </c>
    </row>
    <row r="44" spans="1:29" ht="15.75" thickBot="1">
      <c r="A44" s="1741"/>
      <c r="B44" s="1664" t="s">
        <v>2227</v>
      </c>
      <c r="C44" s="1721" t="s">
        <v>30</v>
      </c>
      <c r="D44" s="1680">
        <v>100</v>
      </c>
      <c r="E44" s="1721" t="s">
        <v>30</v>
      </c>
      <c r="F44" s="1723">
        <f>SUMIF(125:125,E44,126:126)-SUMIF(125:125,C44,126:126)+100</f>
        <v>100</v>
      </c>
      <c r="G44" s="1721" t="s">
        <v>30</v>
      </c>
      <c r="H44" s="1680">
        <f>SUMIF(125:125,G44,126:126)-SUMIF(125:125,C44,126:126)+100</f>
        <v>100</v>
      </c>
      <c r="I44" s="1721" t="s">
        <v>30</v>
      </c>
      <c r="J44" s="1680">
        <f>SUMIF(125:125,I44,126:126)-SUMIF(125:125,C44,126:126)+100</f>
        <v>100</v>
      </c>
      <c r="K44" s="1961">
        <v>1</v>
      </c>
      <c r="L44" s="2969"/>
      <c r="M44" s="2965"/>
      <c r="N44" s="2965"/>
      <c r="O44" s="2965"/>
      <c r="P44" s="3567"/>
      <c r="Q44" s="2883" t="str">
        <f t="shared" si="11"/>
        <v>内部装修维护情况</v>
      </c>
      <c r="R44" s="1694" t="s">
        <v>25</v>
      </c>
      <c r="S44" s="1695">
        <f t="shared" si="12"/>
        <v>100</v>
      </c>
      <c r="T44" s="1694" t="s">
        <v>25</v>
      </c>
      <c r="U44" s="1695">
        <f t="shared" si="13"/>
        <v>100</v>
      </c>
      <c r="V44" s="1694" t="s">
        <v>25</v>
      </c>
      <c r="W44" s="1695">
        <f t="shared" si="14"/>
        <v>100</v>
      </c>
      <c r="X44" s="2043"/>
      <c r="Y44" s="3567"/>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567"/>
      <c r="Q45" s="2882">
        <f t="shared" si="11"/>
        <v>111</v>
      </c>
      <c r="R45" s="1649" t="s">
        <v>25</v>
      </c>
      <c r="S45" s="1650">
        <f t="shared" si="12"/>
        <v>100</v>
      </c>
      <c r="T45" s="1649" t="s">
        <v>25</v>
      </c>
      <c r="U45" s="1650">
        <f t="shared" si="13"/>
        <v>100</v>
      </c>
      <c r="V45" s="1649" t="s">
        <v>25</v>
      </c>
      <c r="W45" s="1650">
        <f t="shared" si="14"/>
        <v>100</v>
      </c>
      <c r="X45" s="1651"/>
      <c r="Y45" s="3567"/>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567"/>
      <c r="Q46" s="2883">
        <f t="shared" si="11"/>
        <v>111</v>
      </c>
      <c r="R46" s="1694" t="s">
        <v>25</v>
      </c>
      <c r="S46" s="1695">
        <f t="shared" si="12"/>
        <v>100</v>
      </c>
      <c r="T46" s="1694" t="s">
        <v>25</v>
      </c>
      <c r="U46" s="1695">
        <f t="shared" si="13"/>
        <v>100</v>
      </c>
      <c r="V46" s="1694" t="s">
        <v>25</v>
      </c>
      <c r="W46" s="1695">
        <f t="shared" si="14"/>
        <v>100</v>
      </c>
      <c r="X46" s="2043"/>
      <c r="Y46" s="3567"/>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568"/>
      <c r="Q47" s="2883">
        <f t="shared" si="11"/>
        <v>111</v>
      </c>
      <c r="R47" s="1694" t="s">
        <v>25</v>
      </c>
      <c r="S47" s="1695">
        <f t="shared" si="12"/>
        <v>100</v>
      </c>
      <c r="T47" s="1694" t="s">
        <v>25</v>
      </c>
      <c r="U47" s="1695">
        <f t="shared" si="13"/>
        <v>100</v>
      </c>
      <c r="V47" s="1694" t="s">
        <v>25</v>
      </c>
      <c r="W47" s="1695">
        <f t="shared" si="14"/>
        <v>100</v>
      </c>
      <c r="X47" s="2043"/>
      <c r="Y47" s="3568"/>
      <c r="Z47" s="2047">
        <f t="shared" si="15"/>
        <v>111</v>
      </c>
      <c r="AA47" s="2038">
        <f t="shared" si="3"/>
        <v>1</v>
      </c>
      <c r="AB47" s="2038">
        <f t="shared" si="4"/>
        <v>1</v>
      </c>
      <c r="AC47" s="2038">
        <f t="shared" si="5"/>
        <v>1</v>
      </c>
    </row>
    <row r="48" spans="1:29" ht="15">
      <c r="A48" s="1750" t="s">
        <v>2228</v>
      </c>
      <c r="B48" s="1751"/>
      <c r="C48" s="1752" t="s">
        <v>1</v>
      </c>
      <c r="D48" s="1753"/>
      <c r="E48" s="1754">
        <f>ROUND(案例!J44*L49,0)</f>
        <v>28704</v>
      </c>
      <c r="F48" s="1755"/>
      <c r="G48" s="1754">
        <f>ROUND(案例!J45*L49,0)</f>
        <v>24768</v>
      </c>
      <c r="H48" s="1757"/>
      <c r="I48" s="1754">
        <f>ROUND(案例!J46*L49,0)</f>
        <v>24960</v>
      </c>
      <c r="J48" s="1757"/>
      <c r="K48" s="1982"/>
      <c r="L48" s="2970"/>
      <c r="M48" s="2965"/>
      <c r="N48" s="2965"/>
      <c r="O48" s="2965"/>
      <c r="P48" s="3561" t="str">
        <f>A48</f>
        <v>成交单价（元/平方米）</v>
      </c>
      <c r="Q48" s="3561"/>
      <c r="R48" s="3562">
        <f>E48</f>
        <v>28704</v>
      </c>
      <c r="S48" s="3562"/>
      <c r="T48" s="3562">
        <f>G48</f>
        <v>24768</v>
      </c>
      <c r="U48" s="3562"/>
      <c r="V48" s="3562">
        <f>I48</f>
        <v>24960</v>
      </c>
      <c r="W48" s="3562"/>
      <c r="X48" s="1760"/>
      <c r="Y48" s="2042"/>
      <c r="Z48" s="1760"/>
      <c r="AA48" s="1760"/>
      <c r="AB48" s="1760"/>
      <c r="AC48" s="1760"/>
    </row>
    <row r="49" spans="1:29" ht="15.75" thickBot="1">
      <c r="A49" s="1762" t="s">
        <v>2311</v>
      </c>
      <c r="B49" s="1763"/>
      <c r="C49" s="1764">
        <f>R50</f>
        <v>25504</v>
      </c>
      <c r="D49" s="1765" t="s">
        <v>2683</v>
      </c>
      <c r="E49" s="1766">
        <f>R49</f>
        <v>28715</v>
      </c>
      <c r="F49" s="1767"/>
      <c r="G49" s="1764">
        <f>T49</f>
        <v>23806</v>
      </c>
      <c r="H49" s="1767"/>
      <c r="I49" s="1766">
        <f>V49</f>
        <v>23991</v>
      </c>
      <c r="J49" s="1767"/>
      <c r="K49" s="2479">
        <f>F49+H49+J49</f>
        <v>0</v>
      </c>
      <c r="L49" s="2970">
        <v>0.96</v>
      </c>
      <c r="M49" s="2965"/>
      <c r="N49" s="2965"/>
      <c r="O49" s="2965"/>
      <c r="P49" s="3561" t="str">
        <f>A49</f>
        <v>比较价值（元/平方米）</v>
      </c>
      <c r="Q49" s="3561"/>
      <c r="R49" s="3562">
        <f>IF(E1="售价",ROUND(PRODUCT(R48,AA7:AA47),0),ROUND(PRODUCT(R48,AA7:AA47),1))</f>
        <v>28715</v>
      </c>
      <c r="S49" s="3562"/>
      <c r="T49" s="3562">
        <f>IF(E1="售价",ROUND(PRODUCT(T48,AB7:AB47),0),ROUND(PRODUCT(T48,AB7:AB47),1))</f>
        <v>23806</v>
      </c>
      <c r="U49" s="3562"/>
      <c r="V49" s="3562">
        <f>IF(E1="售价",ROUND(PRODUCT(V48,AC7:AC47),0),ROUND(PRODUCT(V48,AC7:AC47),1))</f>
        <v>23991</v>
      </c>
      <c r="W49" s="3562"/>
      <c r="X49" s="1760"/>
      <c r="Y49" s="1760"/>
      <c r="Z49" s="1760"/>
      <c r="AA49" s="1760"/>
      <c r="AB49" s="1760"/>
      <c r="AC49" s="1760"/>
    </row>
    <row r="50" spans="1:29" ht="15.75" thickBot="1">
      <c r="A50" s="1768" t="s">
        <v>2334</v>
      </c>
      <c r="B50" s="1769"/>
      <c r="C50" s="1771">
        <f>R50</f>
        <v>25504</v>
      </c>
      <c r="D50" s="1771"/>
      <c r="E50" s="1771"/>
      <c r="F50" s="1771"/>
      <c r="G50" s="1771"/>
      <c r="H50" s="1771"/>
      <c r="I50" s="1771"/>
      <c r="J50" s="1771"/>
      <c r="K50" s="1987"/>
      <c r="L50" s="2970"/>
      <c r="M50" s="2965"/>
      <c r="N50" s="2965"/>
      <c r="O50" s="2965"/>
      <c r="P50" s="3563" t="str">
        <f>A50</f>
        <v>估价对象XX用房的比较价值（楼面单价，元/平方米）</v>
      </c>
      <c r="Q50" s="3564"/>
      <c r="R50" s="3565">
        <f>IF(E1="售价",ROUND(IF(D49="简单平均",AVERAGE(R49:V49),R49*F49+T49*H49+V49*J49),0),ROUND(IF(D49="简单平均",AVERAGE(R49:V49),R49*F49+T49*H49+V49*J49),1))</f>
        <v>25504</v>
      </c>
      <c r="S50" s="3565"/>
      <c r="T50" s="3565"/>
      <c r="U50" s="3565"/>
      <c r="V50" s="3565"/>
      <c r="W50" s="3565"/>
      <c r="X50" s="1760"/>
      <c r="Y50" s="1760"/>
      <c r="Z50" s="1760"/>
      <c r="AA50" s="1760"/>
      <c r="AB50" s="1760"/>
      <c r="AC50" s="1760"/>
    </row>
    <row r="51" spans="1:29">
      <c r="G51" s="2974"/>
    </row>
    <row r="53" spans="1:29" ht="13.5" customHeight="1">
      <c r="C53" s="383" t="s">
        <v>2313</v>
      </c>
      <c r="D53" s="1776"/>
      <c r="E53" s="1777">
        <f>IF(E48&lt;E49,E49/E48-1,E48/E49-1)</f>
        <v>3.8322185061323566E-4</v>
      </c>
      <c r="F53" s="1778" t="str">
        <f>IF(OR(E53&gt;=0.3,E53&lt;=-0.3),"超过30%","")</f>
        <v/>
      </c>
      <c r="G53" s="1777">
        <f>IF(G48&lt;G49,G49/G48-1,G48/G49-1)</f>
        <v>4.04099806771403E-2</v>
      </c>
      <c r="H53" s="1778" t="str">
        <f>IF(OR(G53&gt;=0.3,G53&lt;=-0.3),"超过30%","")</f>
        <v/>
      </c>
      <c r="I53" s="1777">
        <f>IF(I48&lt;I49,I49/I48-1,I48/I49-1)</f>
        <v>4.0390146304864372E-2</v>
      </c>
      <c r="J53" s="1778" t="str">
        <f>IF(OR(I53&gt;=0.3,I53&lt;=-0.3),"超过30%","")</f>
        <v/>
      </c>
    </row>
    <row r="54" spans="1:29" ht="13.5" customHeight="1">
      <c r="C54" s="383" t="s">
        <v>2314</v>
      </c>
      <c r="D54" s="1779"/>
      <c r="E54" s="1777">
        <f>IF(E49&lt;G49,G49/E49-1,E49/G49-1)</f>
        <v>0.20620851886079139</v>
      </c>
      <c r="F54" s="1778" t="str">
        <f>IF(OR(E54&gt;=0.2,E54&lt;=-0.2),"超过20%","")</f>
        <v>超过20%</v>
      </c>
      <c r="G54" s="1777">
        <f>IF(G49&lt;I49,I49/G49-1,G49/I49-1)</f>
        <v>7.7711501302193398E-3</v>
      </c>
      <c r="H54" s="1778" t="str">
        <f>IF(OR(G54&gt;=0.2,G54&lt;=-0.2),"超过20%","")</f>
        <v/>
      </c>
      <c r="I54" s="1777">
        <f>IF(I49&lt;E49,E49/I49-1,I49/E49-1)</f>
        <v>0.1969071735234047</v>
      </c>
      <c r="J54" s="1778" t="str">
        <f>IF(OR(I54&gt;=0.2,I54&lt;=-0.2),"超过20%","")</f>
        <v/>
      </c>
    </row>
    <row r="55" spans="1:29" s="1782" customFormat="1" ht="13.5" customHeight="1">
      <c r="C55" s="383" t="s">
        <v>2315</v>
      </c>
      <c r="D55" s="1779"/>
      <c r="E55" s="1777">
        <f>IF(E48&lt;G48,G48/E48-1,E48/G48-1)</f>
        <v>0.1589147286821706</v>
      </c>
      <c r="F55" s="1778" t="str">
        <f>IF(OR(E55&gt;=0.3,E55&lt;=-0.3),"超过30%","")</f>
        <v/>
      </c>
      <c r="G55" s="1777">
        <f>IF(G48&lt;I48,I48/G48-1,G48/I48-1)</f>
        <v>7.7519379844961378E-3</v>
      </c>
      <c r="H55" s="1778" t="str">
        <f>IF(OR(G55&gt;=0.3,G55&lt;=-0.3),"超过30%","")</f>
        <v/>
      </c>
      <c r="I55" s="1777">
        <f>IF(I48&lt;E48,E48/I48-1,I48/E48-1)</f>
        <v>0.14999999999999991</v>
      </c>
      <c r="J55" s="1778" t="str">
        <f>IF(OR(I55&gt;=0.3,I55&lt;=-0.3),"超过30%","")</f>
        <v/>
      </c>
      <c r="K55" s="2977"/>
      <c r="L55" s="2971"/>
    </row>
    <row r="56" spans="1:29" s="1782" customFormat="1">
      <c r="B56" s="2975"/>
      <c r="C56" s="2976"/>
      <c r="K56" s="2977"/>
      <c r="L56" s="2971"/>
    </row>
    <row r="57" spans="1:29">
      <c r="B57" s="2975"/>
      <c r="C57" s="2976"/>
    </row>
    <row r="58" spans="1:29" ht="21.75" thickBot="1">
      <c r="A58" s="1785" t="s">
        <v>2316</v>
      </c>
      <c r="B58" s="1760"/>
      <c r="C58" s="1786"/>
      <c r="D58" s="1786"/>
      <c r="E58" s="1786"/>
      <c r="F58" s="1786"/>
      <c r="G58" s="1786"/>
      <c r="H58" s="1786"/>
      <c r="I58" s="1786"/>
      <c r="J58" s="1786"/>
      <c r="K58" s="1787"/>
      <c r="L58" s="1788"/>
      <c r="M58" s="1786"/>
      <c r="N58" s="2973"/>
      <c r="O58" s="2973"/>
      <c r="P58" s="2014"/>
      <c r="Q58" s="1790"/>
    </row>
    <row r="59" spans="1:29" s="1796" customFormat="1" ht="15">
      <c r="A59" s="1791" t="s">
        <v>2198</v>
      </c>
      <c r="B59" s="1792"/>
      <c r="C59" s="1793" t="str">
        <f>YEAR(C7)&amp;"-"&amp;MONTH(C7)</f>
        <v>2022-4</v>
      </c>
      <c r="D59" s="1794">
        <f>EDATE(C59,-1)</f>
        <v>44621</v>
      </c>
      <c r="E59" s="1794">
        <f t="shared" ref="E59:O59" si="16">EDATE(D59,-1)</f>
        <v>44593</v>
      </c>
      <c r="F59" s="1794">
        <f t="shared" si="16"/>
        <v>44562</v>
      </c>
      <c r="G59" s="1794">
        <f t="shared" si="16"/>
        <v>44531</v>
      </c>
      <c r="H59" s="1794">
        <f t="shared" si="16"/>
        <v>44501</v>
      </c>
      <c r="I59" s="1794">
        <f t="shared" si="16"/>
        <v>44470</v>
      </c>
      <c r="J59" s="1794">
        <f t="shared" si="16"/>
        <v>44440</v>
      </c>
      <c r="K59" s="1794">
        <f t="shared" si="16"/>
        <v>44409</v>
      </c>
      <c r="L59" s="1794">
        <f t="shared" si="16"/>
        <v>44378</v>
      </c>
      <c r="M59" s="1794">
        <f t="shared" si="16"/>
        <v>44348</v>
      </c>
      <c r="N59" s="1794">
        <f t="shared" si="16"/>
        <v>44317</v>
      </c>
      <c r="O59" s="1794">
        <f t="shared" si="16"/>
        <v>44287</v>
      </c>
      <c r="P59" s="2472"/>
    </row>
    <row r="60" spans="1:29" s="1653" customFormat="1" ht="15">
      <c r="A60" s="1797"/>
      <c r="B60" s="1798"/>
      <c r="C60" s="1799">
        <v>100</v>
      </c>
      <c r="D60" s="1800">
        <v>100</v>
      </c>
      <c r="E60" s="1800">
        <v>100</v>
      </c>
      <c r="F60" s="1800">
        <v>100</v>
      </c>
      <c r="G60" s="1800"/>
      <c r="H60" s="1800"/>
      <c r="I60" s="1800"/>
      <c r="J60" s="1800"/>
      <c r="K60" s="1800"/>
      <c r="L60" s="1800"/>
      <c r="M60" s="1801"/>
      <c r="N60" s="1800"/>
      <c r="O60" s="1814"/>
      <c r="P60" s="1790"/>
    </row>
    <row r="61" spans="1:29" s="1653" customFormat="1" ht="15.75" thickBot="1">
      <c r="A61" s="1803" t="s">
        <v>2236</v>
      </c>
      <c r="B61" s="1804"/>
      <c r="C61" s="1805"/>
      <c r="D61" s="1806"/>
      <c r="E61" s="1806"/>
      <c r="F61" s="1806"/>
      <c r="G61" s="1806"/>
      <c r="H61" s="1806"/>
      <c r="I61" s="1806"/>
      <c r="J61" s="1806"/>
      <c r="K61" s="1806"/>
      <c r="L61" s="1806"/>
      <c r="M61" s="1807"/>
      <c r="N61" s="1806"/>
      <c r="O61" s="2473"/>
      <c r="P61" s="1790"/>
      <c r="Q61" s="1790"/>
    </row>
    <row r="62" spans="1:29" s="1653" customFormat="1" ht="15">
      <c r="A62" s="1808" t="s">
        <v>2200</v>
      </c>
      <c r="B62" s="1798"/>
      <c r="C62" s="1809" t="s">
        <v>2201</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2239</v>
      </c>
      <c r="B64" s="1816" t="s">
        <v>2204</v>
      </c>
      <c r="C64" s="1817" t="str">
        <f>C9</f>
        <v>办公</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2207</v>
      </c>
      <c r="C66" s="1828" t="s">
        <v>2240</v>
      </c>
      <c r="D66" s="1828" t="s">
        <v>2241</v>
      </c>
      <c r="E66" s="1828" t="s">
        <v>2242</v>
      </c>
      <c r="F66" s="1828" t="s">
        <v>2243</v>
      </c>
      <c r="G66" s="1828" t="s">
        <v>2244</v>
      </c>
      <c r="H66" s="1828" t="s">
        <v>2245</v>
      </c>
      <c r="I66" s="1828" t="s">
        <v>2246</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2208</v>
      </c>
      <c r="C68" s="1834" t="str">
        <f>C69&amp;"（含）"&amp;"-"&amp;D69</f>
        <v>0（含）-1</v>
      </c>
      <c r="D68" s="1834" t="str">
        <f t="shared" ref="D68:L68" si="17">D69&amp;"（含）"&amp;"-"&amp;E69</f>
        <v>1（含）-2</v>
      </c>
      <c r="E68" s="1834" t="str">
        <f t="shared" si="17"/>
        <v>2（含）-3</v>
      </c>
      <c r="F68" s="1834" t="str">
        <f t="shared" si="17"/>
        <v>3（含）-4</v>
      </c>
      <c r="G68" s="1834" t="str">
        <f t="shared" si="17"/>
        <v>4（含）-5</v>
      </c>
      <c r="H68" s="1834" t="str">
        <f t="shared" si="17"/>
        <v>5（含）-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v>3</v>
      </c>
      <c r="G69" s="1836">
        <v>4</v>
      </c>
      <c r="H69" s="1836">
        <v>5</v>
      </c>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2209</v>
      </c>
      <c r="B77" s="1816" t="s">
        <v>2335</v>
      </c>
      <c r="C77" s="1854" t="s">
        <v>2248</v>
      </c>
      <c r="D77" s="1854" t="s">
        <v>2249</v>
      </c>
      <c r="E77" s="1854" t="s">
        <v>2250</v>
      </c>
      <c r="F77" s="1854" t="s">
        <v>2251</v>
      </c>
      <c r="G77" s="1854" t="s">
        <v>2252</v>
      </c>
      <c r="H77" s="1817"/>
      <c r="I77" s="1817"/>
      <c r="J77" s="1817"/>
      <c r="K77" s="463"/>
      <c r="L77" s="463"/>
      <c r="M77" s="1855"/>
      <c r="N77" s="2983"/>
      <c r="O77" s="2983"/>
      <c r="P77" s="2026"/>
      <c r="Q77" s="1790"/>
    </row>
    <row r="78" spans="1:17" ht="15.75" thickBot="1">
      <c r="A78" s="1822"/>
      <c r="B78" s="1830"/>
      <c r="C78" s="1831">
        <v>100</v>
      </c>
      <c r="D78" s="1831">
        <f>C78-$K15</f>
        <v>98</v>
      </c>
      <c r="E78" s="1831">
        <f>D78-$K15</f>
        <v>96</v>
      </c>
      <c r="F78" s="1831">
        <f>E78-$K15</f>
        <v>94</v>
      </c>
      <c r="G78" s="1831">
        <f>F78-$K15</f>
        <v>92</v>
      </c>
      <c r="H78" s="1831"/>
      <c r="I78" s="1831"/>
      <c r="J78" s="1831"/>
      <c r="K78" s="1831"/>
      <c r="L78" s="1831"/>
      <c r="M78" s="1832"/>
      <c r="N78" s="2984"/>
      <c r="O78" s="2984"/>
      <c r="P78" s="2026"/>
      <c r="Q78" s="1790"/>
    </row>
    <row r="79" spans="1:17" ht="15.75" thickTop="1">
      <c r="A79" s="1822"/>
      <c r="B79" s="1827" t="s">
        <v>2253</v>
      </c>
      <c r="C79" s="579" t="s">
        <v>2248</v>
      </c>
      <c r="D79" s="579" t="s">
        <v>2249</v>
      </c>
      <c r="E79" s="579" t="s">
        <v>2250</v>
      </c>
      <c r="F79" s="579" t="s">
        <v>2251</v>
      </c>
      <c r="G79" s="579" t="s">
        <v>2252</v>
      </c>
      <c r="H79" s="1828"/>
      <c r="I79" s="1828"/>
      <c r="J79" s="1828"/>
      <c r="K79" s="428"/>
      <c r="L79" s="428"/>
      <c r="M79" s="1829"/>
      <c r="N79" s="2983"/>
      <c r="O79" s="2983"/>
      <c r="P79" s="2026"/>
      <c r="Q79" s="1790"/>
    </row>
    <row r="80" spans="1:17" ht="15.75" thickBot="1">
      <c r="A80" s="1822"/>
      <c r="B80" s="1830"/>
      <c r="C80" s="1831">
        <v>100</v>
      </c>
      <c r="D80" s="1831">
        <f>C80-$K17</f>
        <v>98</v>
      </c>
      <c r="E80" s="1831">
        <f>D80-$K17</f>
        <v>96</v>
      </c>
      <c r="F80" s="1831">
        <f>E80-$K17</f>
        <v>94</v>
      </c>
      <c r="G80" s="1831">
        <f>F80-$K17</f>
        <v>92</v>
      </c>
      <c r="H80" s="1831"/>
      <c r="I80" s="1831"/>
      <c r="J80" s="1831"/>
      <c r="K80" s="1831"/>
      <c r="L80" s="1831"/>
      <c r="M80" s="1832"/>
      <c r="N80" s="2984"/>
      <c r="O80" s="2984"/>
      <c r="P80" s="2026"/>
      <c r="Q80" s="1790"/>
    </row>
    <row r="81" spans="1:17" ht="15.75" thickTop="1">
      <c r="A81" s="1822"/>
      <c r="B81" s="1827" t="s">
        <v>2254</v>
      </c>
      <c r="C81" s="579" t="s">
        <v>2248</v>
      </c>
      <c r="D81" s="579" t="s">
        <v>2249</v>
      </c>
      <c r="E81" s="579" t="s">
        <v>2250</v>
      </c>
      <c r="F81" s="579" t="s">
        <v>2251</v>
      </c>
      <c r="G81" s="579" t="s">
        <v>2252</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2297</v>
      </c>
      <c r="C83" s="1828" t="s">
        <v>2255</v>
      </c>
      <c r="D83" s="1828" t="s">
        <v>2256</v>
      </c>
      <c r="E83" s="1828" t="s">
        <v>2257</v>
      </c>
      <c r="F83" s="1828" t="s">
        <v>2258</v>
      </c>
      <c r="G83" s="1828" t="s">
        <v>2259</v>
      </c>
      <c r="H83" s="1828"/>
      <c r="I83" s="1828"/>
      <c r="J83" s="1828"/>
      <c r="K83" s="1828"/>
      <c r="L83" s="1828"/>
      <c r="M83" s="1856"/>
      <c r="N83" s="2984"/>
      <c r="O83" s="2984"/>
      <c r="P83" s="2026"/>
      <c r="Q83" s="1790"/>
    </row>
    <row r="84" spans="1:17" ht="15.75" thickBot="1">
      <c r="A84" s="1822"/>
      <c r="B84" s="1833"/>
      <c r="C84" s="1831">
        <v>100</v>
      </c>
      <c r="D84" s="1831">
        <f>C84-$K21</f>
        <v>99</v>
      </c>
      <c r="E84" s="1831">
        <f>D84-$K21</f>
        <v>98</v>
      </c>
      <c r="F84" s="1831">
        <f>E84-$K21</f>
        <v>97</v>
      </c>
      <c r="G84" s="1831">
        <f>F84-$K21</f>
        <v>96</v>
      </c>
      <c r="H84" s="1857"/>
      <c r="I84" s="1857"/>
      <c r="J84" s="1857"/>
      <c r="K84" s="1857"/>
      <c r="L84" s="1857"/>
      <c r="M84" s="1704"/>
      <c r="N84" s="2984"/>
      <c r="O84" s="2984"/>
      <c r="P84" s="2026"/>
      <c r="Q84" s="1790"/>
    </row>
    <row r="85" spans="1:17" ht="15.75" thickTop="1">
      <c r="A85" s="1822"/>
      <c r="B85" s="1827" t="s">
        <v>2336</v>
      </c>
      <c r="C85" s="579" t="s">
        <v>2248</v>
      </c>
      <c r="D85" s="579" t="s">
        <v>2249</v>
      </c>
      <c r="E85" s="579" t="s">
        <v>2250</v>
      </c>
      <c r="F85" s="579" t="s">
        <v>2251</v>
      </c>
      <c r="G85" s="579" t="s">
        <v>2252</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2337</v>
      </c>
      <c r="C87" s="3319" t="s">
        <v>2997</v>
      </c>
      <c r="D87" s="3319" t="s">
        <v>2998</v>
      </c>
      <c r="E87" s="3319" t="s">
        <v>2999</v>
      </c>
      <c r="F87" s="3319" t="s">
        <v>3000</v>
      </c>
      <c r="G87" s="3319" t="s">
        <v>3001</v>
      </c>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3319" t="s">
        <v>3003</v>
      </c>
      <c r="D89" s="3319" t="s">
        <v>3005</v>
      </c>
      <c r="E89" s="3319" t="s">
        <v>3006</v>
      </c>
      <c r="F89" s="1861"/>
      <c r="G89" s="468"/>
      <c r="H89" s="468"/>
      <c r="I89" s="468"/>
      <c r="J89" s="468"/>
      <c r="K89" s="468"/>
      <c r="L89" s="468"/>
      <c r="M89" s="1859"/>
      <c r="N89" s="2982"/>
      <c r="O89" s="2982"/>
      <c r="P89" s="2026"/>
      <c r="Q89" s="1790"/>
    </row>
    <row r="90" spans="1:17" s="1653" customFormat="1" ht="15.75" thickBot="1">
      <c r="A90" s="1858"/>
      <c r="B90" s="1830"/>
      <c r="C90" s="1860">
        <v>100</v>
      </c>
      <c r="D90" s="1831">
        <f>C90-$K27</f>
        <v>98</v>
      </c>
      <c r="E90" s="1831">
        <f t="shared" ref="E90:M90" si="20">D90-$K27</f>
        <v>96</v>
      </c>
      <c r="F90" s="1831">
        <f t="shared" si="20"/>
        <v>94</v>
      </c>
      <c r="G90" s="1831">
        <f t="shared" si="20"/>
        <v>92</v>
      </c>
      <c r="H90" s="1831">
        <f t="shared" si="20"/>
        <v>90</v>
      </c>
      <c r="I90" s="1831">
        <f t="shared" si="20"/>
        <v>88</v>
      </c>
      <c r="J90" s="1831">
        <f t="shared" si="20"/>
        <v>86</v>
      </c>
      <c r="K90" s="1831">
        <f t="shared" si="20"/>
        <v>84</v>
      </c>
      <c r="L90" s="1831">
        <f t="shared" si="20"/>
        <v>82</v>
      </c>
      <c r="M90" s="1831">
        <f t="shared" si="20"/>
        <v>80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f>B29</f>
        <v>111</v>
      </c>
      <c r="C93" s="468"/>
      <c r="D93" s="468"/>
      <c r="E93" s="468"/>
      <c r="F93" s="468"/>
      <c r="G93" s="468"/>
      <c r="H93" s="468"/>
      <c r="I93" s="468"/>
      <c r="J93" s="468"/>
      <c r="K93" s="468"/>
      <c r="L93" s="468"/>
      <c r="M93" s="1859"/>
      <c r="N93" s="2983"/>
      <c r="O93" s="2983"/>
      <c r="P93" s="2026"/>
      <c r="Q93" s="1790"/>
    </row>
    <row r="94" spans="1:17" ht="15.75" thickBot="1">
      <c r="A94" s="1822"/>
      <c r="B94" s="1830"/>
      <c r="C94" s="1843"/>
      <c r="D94" s="1824"/>
      <c r="E94" s="1824"/>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2214</v>
      </c>
      <c r="B101" s="1816" t="s">
        <v>2263</v>
      </c>
      <c r="C101" s="3320" t="s">
        <v>3008</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98</v>
      </c>
      <c r="E102" s="1831">
        <f t="shared" si="22"/>
        <v>96</v>
      </c>
      <c r="F102" s="1831">
        <f t="shared" si="22"/>
        <v>94</v>
      </c>
      <c r="G102" s="1831">
        <f t="shared" si="22"/>
        <v>92</v>
      </c>
      <c r="H102" s="1831">
        <f t="shared" si="22"/>
        <v>90</v>
      </c>
      <c r="I102" s="1831">
        <f t="shared" si="22"/>
        <v>88</v>
      </c>
      <c r="J102" s="1831">
        <f t="shared" si="22"/>
        <v>86</v>
      </c>
      <c r="K102" s="1831">
        <f t="shared" si="22"/>
        <v>84</v>
      </c>
      <c r="L102" s="1831">
        <f t="shared" si="22"/>
        <v>82</v>
      </c>
      <c r="M102" s="1832">
        <f t="shared" si="22"/>
        <v>80</v>
      </c>
      <c r="N102" s="2984"/>
      <c r="O102" s="2984"/>
      <c r="P102" s="2026"/>
      <c r="Q102" s="1790"/>
    </row>
    <row r="103" spans="1:17" ht="29.25" thickTop="1">
      <c r="A103" s="1822"/>
      <c r="B103" s="1827" t="s">
        <v>2264</v>
      </c>
      <c r="C103" s="579" t="str">
        <f>C104&amp;"(含)"&amp;"-"&amp;D104</f>
        <v>0(含)-100</v>
      </c>
      <c r="D103" s="579" t="str">
        <f t="shared" ref="D103:L103" si="23">D104&amp;"(含)"&amp;"-"&amp;E104</f>
        <v>100(含)-300</v>
      </c>
      <c r="E103" s="579" t="str">
        <f t="shared" si="23"/>
        <v>300(含)-500</v>
      </c>
      <c r="F103" s="579" t="str">
        <f t="shared" si="23"/>
        <v>500(含)-700</v>
      </c>
      <c r="G103" s="579" t="str">
        <f t="shared" si="23"/>
        <v>700(含)-1000</v>
      </c>
      <c r="H103" s="579" t="str">
        <f t="shared" si="23"/>
        <v>1000(含)-2000</v>
      </c>
      <c r="I103" s="579" t="str">
        <f t="shared" si="23"/>
        <v>2000(含)-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100</v>
      </c>
      <c r="E104" s="1870">
        <v>300</v>
      </c>
      <c r="F104" s="1870">
        <v>500</v>
      </c>
      <c r="G104" s="1870">
        <v>700</v>
      </c>
      <c r="H104" s="1870">
        <v>1000</v>
      </c>
      <c r="I104" s="1870">
        <v>2000</v>
      </c>
      <c r="J104" s="485"/>
      <c r="K104" s="485"/>
      <c r="L104" s="485"/>
      <c r="M104" s="1871"/>
      <c r="N104" s="2985"/>
      <c r="O104" s="2985"/>
      <c r="P104" s="2027"/>
      <c r="Q104" s="1842"/>
    </row>
    <row r="105" spans="1:17" s="1740" customFormat="1" ht="15.75" thickBot="1">
      <c r="A105" s="1838"/>
      <c r="B105" s="1830"/>
      <c r="C105" s="1824">
        <f>D105-2</f>
        <v>96</v>
      </c>
      <c r="D105" s="1824">
        <f>E105-2</f>
        <v>98</v>
      </c>
      <c r="E105" s="1824">
        <v>100</v>
      </c>
      <c r="F105" s="1824">
        <f>E105-2</f>
        <v>98</v>
      </c>
      <c r="G105" s="1824">
        <f>F105-2</f>
        <v>96</v>
      </c>
      <c r="H105" s="1824">
        <f>G105-2</f>
        <v>94</v>
      </c>
      <c r="I105" s="1824"/>
      <c r="J105" s="1824"/>
      <c r="K105" s="1824"/>
      <c r="L105" s="1824"/>
      <c r="M105" s="1825"/>
      <c r="N105" s="2984"/>
      <c r="O105" s="2984"/>
      <c r="P105" s="2027"/>
      <c r="Q105" s="1842"/>
    </row>
    <row r="106" spans="1:17" ht="15" thickTop="1">
      <c r="A106" s="1872"/>
      <c r="B106" s="1827" t="s">
        <v>2265</v>
      </c>
      <c r="C106" s="3319" t="s">
        <v>3010</v>
      </c>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98</v>
      </c>
      <c r="E107" s="1831">
        <f t="shared" si="24"/>
        <v>96</v>
      </c>
      <c r="F107" s="1831">
        <f t="shared" si="24"/>
        <v>94</v>
      </c>
      <c r="G107" s="1831">
        <f t="shared" si="24"/>
        <v>92</v>
      </c>
      <c r="H107" s="1831">
        <f t="shared" si="24"/>
        <v>90</v>
      </c>
      <c r="I107" s="1831">
        <f t="shared" si="24"/>
        <v>88</v>
      </c>
      <c r="J107" s="1831">
        <f t="shared" si="24"/>
        <v>86</v>
      </c>
      <c r="K107" s="1831">
        <f t="shared" si="24"/>
        <v>84</v>
      </c>
      <c r="L107" s="1831">
        <f t="shared" si="24"/>
        <v>82</v>
      </c>
      <c r="M107" s="1832">
        <f t="shared" si="24"/>
        <v>80</v>
      </c>
      <c r="N107" s="2984"/>
      <c r="O107" s="2984"/>
      <c r="P107" s="2026"/>
      <c r="Q107" s="1790"/>
    </row>
    <row r="108" spans="1:17" ht="15" thickTop="1">
      <c r="A108" s="1872"/>
      <c r="B108" s="1827" t="s">
        <v>2267</v>
      </c>
      <c r="C108" s="3319" t="s">
        <v>3012</v>
      </c>
      <c r="D108" s="3319" t="s">
        <v>3014</v>
      </c>
      <c r="E108" s="3319" t="s">
        <v>3015</v>
      </c>
      <c r="F108" s="3321" t="s">
        <v>3016</v>
      </c>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98</v>
      </c>
      <c r="E109" s="1831">
        <f t="shared" si="25"/>
        <v>96</v>
      </c>
      <c r="F109" s="1831">
        <f t="shared" si="25"/>
        <v>94</v>
      </c>
      <c r="G109" s="1831">
        <f t="shared" si="25"/>
        <v>92</v>
      </c>
      <c r="H109" s="1831">
        <f t="shared" si="25"/>
        <v>90</v>
      </c>
      <c r="I109" s="1831">
        <f t="shared" si="25"/>
        <v>88</v>
      </c>
      <c r="J109" s="1831">
        <f t="shared" si="25"/>
        <v>86</v>
      </c>
      <c r="K109" s="1831">
        <f t="shared" si="25"/>
        <v>84</v>
      </c>
      <c r="L109" s="1831">
        <f t="shared" si="25"/>
        <v>82</v>
      </c>
      <c r="M109" s="1832">
        <f t="shared" si="25"/>
        <v>80</v>
      </c>
      <c r="N109" s="2984"/>
      <c r="O109" s="2984"/>
      <c r="P109" s="2026"/>
      <c r="Q109" s="1790"/>
    </row>
    <row r="110" spans="1:17" ht="15" thickTop="1">
      <c r="A110" s="1872"/>
      <c r="B110" s="1827" t="s">
        <v>2268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101</v>
      </c>
      <c r="E112" s="1831">
        <f t="shared" ref="E112:M112" si="26">D112+$K37</f>
        <v>102</v>
      </c>
      <c r="F112" s="1831">
        <f t="shared" si="26"/>
        <v>103</v>
      </c>
      <c r="G112" s="1831">
        <f t="shared" si="26"/>
        <v>104</v>
      </c>
      <c r="H112" s="1831">
        <f t="shared" si="26"/>
        <v>105</v>
      </c>
      <c r="I112" s="1831">
        <f t="shared" si="26"/>
        <v>106</v>
      </c>
      <c r="J112" s="1831">
        <f t="shared" si="26"/>
        <v>107</v>
      </c>
      <c r="K112" s="1831">
        <f t="shared" si="26"/>
        <v>108</v>
      </c>
      <c r="L112" s="1831">
        <f t="shared" si="26"/>
        <v>109</v>
      </c>
      <c r="M112" s="1831">
        <f t="shared" si="26"/>
        <v>110</v>
      </c>
      <c r="N112" s="2984"/>
      <c r="O112" s="2984"/>
      <c r="P112" s="2026"/>
      <c r="Q112" s="1790"/>
    </row>
    <row r="113" spans="1:17" s="1740" customFormat="1" ht="15" thickTop="1">
      <c r="A113" s="1868"/>
      <c r="B113" s="1827" t="s">
        <v>2338</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2269</v>
      </c>
      <c r="C115" s="3319" t="s">
        <v>3051</v>
      </c>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98</v>
      </c>
      <c r="E116" s="1831">
        <f t="shared" si="28"/>
        <v>96</v>
      </c>
      <c r="F116" s="1831">
        <f t="shared" si="28"/>
        <v>94</v>
      </c>
      <c r="G116" s="1831">
        <f t="shared" si="28"/>
        <v>92</v>
      </c>
      <c r="H116" s="1831">
        <f t="shared" si="28"/>
        <v>90</v>
      </c>
      <c r="I116" s="1831">
        <f t="shared" si="28"/>
        <v>88</v>
      </c>
      <c r="J116" s="1831">
        <f t="shared" si="28"/>
        <v>86</v>
      </c>
      <c r="K116" s="1831">
        <f t="shared" si="28"/>
        <v>84</v>
      </c>
      <c r="L116" s="1831">
        <f t="shared" si="28"/>
        <v>82</v>
      </c>
      <c r="M116" s="1832">
        <f t="shared" si="28"/>
        <v>80</v>
      </c>
      <c r="N116" s="2984"/>
      <c r="O116" s="2984"/>
      <c r="P116" s="2026"/>
      <c r="Q116" s="1790"/>
    </row>
    <row r="117" spans="1:17" ht="15" thickTop="1">
      <c r="A117" s="1872"/>
      <c r="B117" s="1827" t="s">
        <v>2270</v>
      </c>
      <c r="C117" s="468" t="str">
        <f>C83</f>
        <v>七通</v>
      </c>
      <c r="D117" s="468" t="str">
        <f>D83</f>
        <v>六通</v>
      </c>
      <c r="E117" s="468" t="str">
        <f>E83</f>
        <v>五通</v>
      </c>
      <c r="F117" s="468" t="str">
        <f>F83</f>
        <v>四通</v>
      </c>
      <c r="G117" s="468" t="str">
        <f>G83</f>
        <v>三通</v>
      </c>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2339</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2321</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2272</v>
      </c>
      <c r="C123" s="468" t="str">
        <f>C108</f>
        <v>精装修</v>
      </c>
      <c r="D123" s="468" t="str">
        <f>D108</f>
        <v>普通装修</v>
      </c>
      <c r="E123" s="468" t="str">
        <f>E108</f>
        <v>简单装修</v>
      </c>
      <c r="F123" s="468" t="str">
        <f>F108</f>
        <v>毛坯</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2273</v>
      </c>
      <c r="C125" s="579" t="s">
        <v>2248</v>
      </c>
      <c r="D125" s="579" t="s">
        <v>2249</v>
      </c>
      <c r="E125" s="579" t="s">
        <v>2250</v>
      </c>
      <c r="F125" s="579" t="s">
        <v>2251</v>
      </c>
      <c r="G125" s="579" t="s">
        <v>2252</v>
      </c>
      <c r="H125" s="1828"/>
      <c r="I125" s="1828"/>
      <c r="J125" s="1828"/>
      <c r="K125" s="428"/>
      <c r="L125" s="428"/>
      <c r="M125" s="1829"/>
      <c r="N125" s="2983"/>
      <c r="O125" s="2983"/>
      <c r="P125" s="2027"/>
      <c r="Q125" s="1790"/>
    </row>
    <row r="126" spans="1:17" ht="15.75" thickBot="1">
      <c r="A126" s="1822"/>
      <c r="B126" s="1830"/>
      <c r="C126" s="1831">
        <v>100</v>
      </c>
      <c r="D126" s="1831">
        <f>C126-$K44</f>
        <v>99</v>
      </c>
      <c r="E126" s="1831">
        <f>D126-$K44</f>
        <v>98</v>
      </c>
      <c r="F126" s="1831">
        <f>E126-$K44</f>
        <v>97</v>
      </c>
      <c r="G126" s="1831">
        <f>F126-$K44</f>
        <v>96</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3" t="s">
        <v>3039</v>
      </c>
      <c r="E1" s="1594" t="s">
        <v>1183</v>
      </c>
      <c r="F1" s="1595"/>
      <c r="G1" s="1596"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183</v>
      </c>
      <c r="C2" s="1487"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25291</v>
      </c>
      <c r="C3" s="1487"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95226</v>
      </c>
      <c r="D5" s="1601" t="s">
        <v>2664</v>
      </c>
      <c r="E5" s="927"/>
      <c r="F5" s="1056"/>
      <c r="G5" s="951"/>
      <c r="H5" s="232">
        <v>1</v>
      </c>
      <c r="I5" s="233" t="s">
        <v>1954</v>
      </c>
      <c r="J5" s="234">
        <f ca="1">J6+J10+J12</f>
        <v>0</v>
      </c>
      <c r="K5" s="1488" t="s">
        <v>1955</v>
      </c>
      <c r="L5" s="927"/>
      <c r="M5" s="1056"/>
    </row>
    <row r="6" spans="1:37" ht="18" customHeight="1">
      <c r="A6" s="1057" t="s">
        <v>1956</v>
      </c>
      <c r="B6" s="1410" t="s">
        <v>1957</v>
      </c>
      <c r="C6" s="234">
        <f>ROUND(F6*F8*F7*(1-F9),0)</f>
        <v>95107</v>
      </c>
      <c r="D6" s="36" t="s">
        <v>2641</v>
      </c>
      <c r="E6" s="235" t="s">
        <v>1958</v>
      </c>
      <c r="F6" s="236">
        <f>'数据-取费表'!B30</f>
        <v>4</v>
      </c>
      <c r="G6" s="951"/>
      <c r="H6" s="1057" t="s">
        <v>1956</v>
      </c>
      <c r="I6" s="1410" t="s">
        <v>1957</v>
      </c>
      <c r="J6" s="234">
        <f>ROUND(M6*M8*M7*(1-M9),0)</f>
        <v>0</v>
      </c>
      <c r="K6" s="36" t="s">
        <v>2641</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72.38</v>
      </c>
      <c r="G7" s="951"/>
      <c r="H7" s="237"/>
      <c r="I7" s="238"/>
      <c r="J7" s="239"/>
      <c r="K7" s="240"/>
      <c r="L7" s="235" t="s">
        <v>1959</v>
      </c>
      <c r="M7" s="236">
        <f>IF('数据-取费表'!B42="",IF(D1="仅计算典型户型",'数据-取费表'!E5,'数据-取费表'!B5),'数据-取费表'!B42)</f>
        <v>72.38</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89" t="s">
        <v>1964</v>
      </c>
      <c r="C10" s="1058">
        <f ca="1">ROUND(IF(F10="押一",C6/12*F11,IF(F10="押二",C6/12*2*F11,IF(F10="押三",C6/12*3*F11,C11*F11))),0)</f>
        <v>119</v>
      </c>
      <c r="D10" s="1490" t="s">
        <v>2647</v>
      </c>
      <c r="E10" s="246" t="s">
        <v>1965</v>
      </c>
      <c r="F10" s="1491" t="s">
        <v>1966</v>
      </c>
      <c r="G10" s="951"/>
      <c r="H10" s="1057" t="s">
        <v>1963</v>
      </c>
      <c r="I10" s="1489" t="s">
        <v>1964</v>
      </c>
      <c r="J10" s="1058">
        <f ca="1">ROUND(IF(M10="押一",J6/12*M11,IF(M10="押二",J6/12*2*M11,IF(M10="押三",J6/12*3*M11,J11*M11))),0)</f>
        <v>0</v>
      </c>
      <c r="K10" s="36" t="s">
        <v>2647</v>
      </c>
      <c r="L10" s="246" t="s">
        <v>1965</v>
      </c>
      <c r="M10" s="1491"/>
    </row>
    <row r="11" spans="1:37" s="257" customFormat="1" ht="18" customHeight="1">
      <c r="A11" s="263"/>
      <c r="B11" s="1492" t="s">
        <v>1967</v>
      </c>
      <c r="C11" s="1062"/>
      <c r="D11" s="240"/>
      <c r="E11" s="246" t="s">
        <v>1968</v>
      </c>
      <c r="F11" s="247">
        <f ca="1">'数据-取费表'!B31</f>
        <v>1.4999999999999999E-2</v>
      </c>
      <c r="G11" s="952"/>
      <c r="H11" s="241"/>
      <c r="I11" s="1492"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3" t="s">
        <v>1971</v>
      </c>
      <c r="C12" s="1068"/>
      <c r="D12" s="1494"/>
      <c r="E12" s="1074"/>
      <c r="F12" s="1069"/>
      <c r="G12" s="951"/>
      <c r="H12" s="1067" t="s">
        <v>1970</v>
      </c>
      <c r="I12" s="1493" t="s">
        <v>1971</v>
      </c>
      <c r="J12" s="1068"/>
      <c r="K12" s="1084"/>
      <c r="L12" s="1074"/>
      <c r="M12" s="1085"/>
    </row>
    <row r="13" spans="1:37" s="257" customFormat="1" ht="18" customHeight="1" thickTop="1">
      <c r="A13" s="1063">
        <v>2</v>
      </c>
      <c r="B13" s="1064" t="s">
        <v>1972</v>
      </c>
      <c r="C13" s="243">
        <f ca="1">ROUND(C29*F13,0)</f>
        <v>329789</v>
      </c>
      <c r="D13" s="1065" t="s">
        <v>1973</v>
      </c>
      <c r="E13" s="1065" t="s">
        <v>1974</v>
      </c>
      <c r="F13" s="1066">
        <f>'数据-取费表'!E20</f>
        <v>0.83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275044</v>
      </c>
      <c r="D14" s="1298" t="s">
        <v>1977</v>
      </c>
      <c r="E14" s="1299"/>
      <c r="F14" s="799"/>
      <c r="G14" s="952"/>
      <c r="H14" s="253" t="s">
        <v>1956</v>
      </c>
      <c r="I14" s="235" t="s">
        <v>1978</v>
      </c>
      <c r="J14" s="13">
        <f ca="1">C29</f>
        <v>397336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8251</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5960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14476</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4126</v>
      </c>
      <c r="D18" s="235" t="s">
        <v>1981</v>
      </c>
      <c r="E18" s="235" t="s">
        <v>1982</v>
      </c>
      <c r="F18" s="258">
        <f>'数据-取费表'!E24</f>
        <v>1.4999999999999999E-2</v>
      </c>
      <c r="G18" s="951"/>
      <c r="H18" s="253" t="s">
        <v>1999</v>
      </c>
      <c r="I18" s="235" t="s">
        <v>2000</v>
      </c>
      <c r="J18" s="13" t="str">
        <f>IF(项目基本情况!B7="自然人","——",ROUND(J6*M18/(1+'数据-取费表'!F30),0))</f>
        <v>——</v>
      </c>
      <c r="K18" s="1301" t="s">
        <v>2666</v>
      </c>
      <c r="L18" s="235" t="s">
        <v>1982</v>
      </c>
      <c r="M18" s="258">
        <f>'数据-取费表'!E29</f>
        <v>5.5000000000000007E-2</v>
      </c>
    </row>
    <row r="19" spans="1:37" s="257" customFormat="1" ht="18" customHeight="1">
      <c r="A19" s="253" t="s">
        <v>1993</v>
      </c>
      <c r="B19" s="235" t="s">
        <v>2001</v>
      </c>
      <c r="C19" s="13">
        <f>SUM(C14:C18)</f>
        <v>301897</v>
      </c>
      <c r="D19" s="33" t="s">
        <v>2002</v>
      </c>
      <c r="E19" s="1303"/>
      <c r="F19" s="15"/>
      <c r="G19" s="952"/>
      <c r="H19" s="253" t="s">
        <v>1979</v>
      </c>
      <c r="I19" s="235" t="s">
        <v>2003</v>
      </c>
      <c r="J19" s="13" t="str">
        <f>IF(项目基本情况!B7="自然人","——",IF(K19="按租金收入计税",ROUND(J6*M19/(1+'数据-取费表'!F30),0),ROUND(C29*M19*0.7,0)))</f>
        <v>——</v>
      </c>
      <c r="K19" s="1405"/>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6038</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5960</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12934</v>
      </c>
      <c r="D23" s="1401"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2E-3</v>
      </c>
    </row>
    <row r="24" spans="1:37" s="257" customFormat="1" ht="18" customHeight="1" thickBot="1">
      <c r="A24" s="253" t="s">
        <v>2025</v>
      </c>
      <c r="B24" s="235" t="s">
        <v>2026</v>
      </c>
      <c r="C24" s="13">
        <f ca="1">ROUND(IF('数据-取费表'!B24&lt;=1,F21*F24*F23/2,F21*(POWER((1+F24),F23/2)-1)),4)</f>
        <v>8.0000000000000004E-4</v>
      </c>
      <c r="D24" s="1401"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-5960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46190</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397336</v>
      </c>
      <c r="D29" s="1076"/>
      <c r="E29" s="1074"/>
      <c r="F29" s="1077"/>
      <c r="G29" s="652"/>
      <c r="H29" s="271" t="s">
        <v>24</v>
      </c>
      <c r="I29" s="272" t="s">
        <v>2051</v>
      </c>
      <c r="J29" s="273">
        <f ca="1">ROUND(J26/(1+F40)^F41,0)</f>
        <v>0</v>
      </c>
      <c r="K29" s="274" t="s">
        <v>2052</v>
      </c>
      <c r="L29" s="275"/>
      <c r="M29" s="276">
        <f>IF(D1="仅计算典型户型",'数据-取费表'!E5,'数据-取费表'!B5)</f>
        <v>72.38</v>
      </c>
    </row>
    <row r="30" spans="1:37" ht="18" customHeight="1" thickTop="1">
      <c r="A30" s="1063" t="s">
        <v>14</v>
      </c>
      <c r="B30" s="1064" t="s">
        <v>2053</v>
      </c>
      <c r="C30" s="243">
        <f ca="1">ROUND(C31+C36+C37+C38,0)</f>
        <v>13912</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6340</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2665</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5" t="s">
        <v>2823</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2754</v>
      </c>
      <c r="H35" s="931"/>
      <c r="I35" s="282" t="s">
        <v>2061</v>
      </c>
      <c r="J35" s="283">
        <f>'数据-取费表'!B18</f>
        <v>0</v>
      </c>
      <c r="K35" s="944"/>
      <c r="L35" s="943"/>
      <c r="M35" s="943"/>
    </row>
    <row r="36" spans="1:18" ht="18" customHeight="1">
      <c r="A36" s="1060" t="s">
        <v>1963</v>
      </c>
      <c r="B36" s="235" t="s">
        <v>2062</v>
      </c>
      <c r="C36" s="13">
        <f ca="1">ROUND(C29*F36,0)</f>
        <v>5960</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660</v>
      </c>
      <c r="D37" s="1301" t="s">
        <v>2023</v>
      </c>
      <c r="E37" s="235" t="s">
        <v>2024</v>
      </c>
      <c r="F37" s="266">
        <f>'数据-取费表'!B46</f>
        <v>2E-3</v>
      </c>
      <c r="G37" s="652"/>
      <c r="H37" s="943"/>
      <c r="I37" s="132" t="s">
        <v>2065</v>
      </c>
      <c r="J37" s="286"/>
      <c r="K37" s="947"/>
      <c r="L37" s="943"/>
      <c r="M37" s="943"/>
    </row>
    <row r="38" spans="1:18" ht="18" customHeight="1" thickBot="1">
      <c r="A38" s="1073" t="s">
        <v>2016</v>
      </c>
      <c r="B38" s="1074" t="s">
        <v>2005</v>
      </c>
      <c r="C38" s="1075">
        <f ca="1">ROUND(C5*F38,0)</f>
        <v>952</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81314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1830576</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2650</v>
      </c>
      <c r="F41" s="270">
        <f>IF('数据-取费表'!B29="租赁期内按合同租金",'数据-取费表'!B35,IF(E41="收益年期(n)",'数据-取费表'!B34,'数据-取费表'!B13))</f>
        <v>39</v>
      </c>
      <c r="H41" s="950"/>
      <c r="I41" s="135" t="s">
        <v>1944</v>
      </c>
      <c r="J41" s="136">
        <f ca="1">ROUND(C13/C40,3)</f>
        <v>0.18</v>
      </c>
      <c r="K41" s="947"/>
      <c r="L41" s="950"/>
      <c r="M41" s="950"/>
      <c r="Q41" s="656"/>
    </row>
    <row r="42" spans="1:18" s="652" customFormat="1" ht="18" customHeight="1">
      <c r="A42" s="241"/>
      <c r="B42" s="242"/>
      <c r="C42" s="243"/>
      <c r="D42" s="264"/>
      <c r="E42" s="235" t="s">
        <v>2048</v>
      </c>
      <c r="F42" s="245">
        <f>'数据-取费表'!B32</f>
        <v>2.5000000000000001E-2</v>
      </c>
      <c r="H42" s="950"/>
      <c r="I42" s="135" t="s">
        <v>1945</v>
      </c>
      <c r="J42" s="137">
        <f ca="1">1-J41</f>
        <v>0.82000000000000006</v>
      </c>
      <c r="K42" s="947"/>
      <c r="L42" s="950"/>
      <c r="M42" s="950"/>
      <c r="Q42" s="656"/>
    </row>
    <row r="43" spans="1:18" s="652" customFormat="1" ht="18" customHeight="1" thickBot="1">
      <c r="A43" s="271" t="s">
        <v>24</v>
      </c>
      <c r="B43" s="272" t="s">
        <v>2073</v>
      </c>
      <c r="C43" s="273">
        <f ca="1">ROUND(C40/F43,0)</f>
        <v>25291</v>
      </c>
      <c r="D43" s="274" t="s">
        <v>2074</v>
      </c>
      <c r="E43" s="275" t="s">
        <v>2075</v>
      </c>
      <c r="F43" s="276">
        <f>IF(D1="仅计算典型户型",'数据-取费表'!E5,'数据-取费表'!B5)</f>
        <v>72.38</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1830576</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5" t="s">
        <v>2085</v>
      </c>
      <c r="C47" s="992">
        <f ca="1">IF(C2="元",C69-C40,ROUND((C69-C40)/10000,0))</f>
        <v>-194</v>
      </c>
      <c r="D47" s="1496" t="str">
        <f>C2</f>
        <v>万元</v>
      </c>
      <c r="E47" s="649"/>
      <c r="F47" s="649"/>
      <c r="I47" s="1497" t="s">
        <v>2086</v>
      </c>
      <c r="J47" s="1023"/>
      <c r="K47" s="1024"/>
      <c r="L47" s="1037" t="str">
        <f>IF(M48="住宅",0,IF(L49&gt;J52,L61,J61))</f>
        <v>0</v>
      </c>
      <c r="O47" s="1051" t="s">
        <v>951</v>
      </c>
      <c r="P47" s="1048" t="s">
        <v>2087</v>
      </c>
      <c r="Q47" s="1049">
        <f ca="1">C29</f>
        <v>397336</v>
      </c>
      <c r="R47" s="1050" t="s">
        <v>2082</v>
      </c>
    </row>
    <row r="48" spans="1:18" s="652" customFormat="1" ht="15.75" thickBot="1">
      <c r="A48" s="228" t="s">
        <v>2088</v>
      </c>
      <c r="B48" s="229" t="s">
        <v>2089</v>
      </c>
      <c r="C48" s="229" t="s">
        <v>2090</v>
      </c>
      <c r="D48" s="229" t="s">
        <v>2091</v>
      </c>
      <c r="E48" s="986" t="s">
        <v>2092</v>
      </c>
      <c r="F48" s="987"/>
      <c r="I48" s="1498" t="s">
        <v>2093</v>
      </c>
      <c r="J48" s="1499" t="s">
        <v>3009</v>
      </c>
      <c r="K48" s="1500"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1" t="s">
        <v>2097</v>
      </c>
      <c r="J49" s="1502" t="s">
        <v>3017</v>
      </c>
      <c r="K49" s="1503" t="s">
        <v>2098</v>
      </c>
      <c r="L49" s="863">
        <f>'数据-取费表'!B13</f>
        <v>39</v>
      </c>
      <c r="O49" s="1051" t="s">
        <v>953</v>
      </c>
      <c r="P49" s="1048" t="s">
        <v>2099</v>
      </c>
      <c r="Q49" s="1052">
        <f>J53</f>
        <v>0</v>
      </c>
      <c r="R49" s="1050"/>
    </row>
    <row r="50" spans="1:18" s="652" customFormat="1" ht="15.75" thickBot="1">
      <c r="A50" s="260" t="s">
        <v>1956</v>
      </c>
      <c r="B50" s="1410" t="s">
        <v>2100</v>
      </c>
      <c r="C50" s="234">
        <f>ROUND(F50*F52*F51*(1-F53),0)</f>
        <v>0</v>
      </c>
      <c r="D50" s="42" t="s">
        <v>2642</v>
      </c>
      <c r="E50" s="1504" t="s">
        <v>2101</v>
      </c>
      <c r="F50" s="988"/>
      <c r="I50" s="1501" t="s">
        <v>2102</v>
      </c>
      <c r="J50" s="863">
        <f>'数据-取费表'!B27</f>
        <v>2012</v>
      </c>
      <c r="K50" s="1505" t="s">
        <v>2103</v>
      </c>
      <c r="L50" s="1026"/>
      <c r="O50" s="1051" t="s">
        <v>954</v>
      </c>
      <c r="P50" s="1048" t="s">
        <v>2104</v>
      </c>
      <c r="Q50" s="1049">
        <f>J54</f>
        <v>39</v>
      </c>
      <c r="R50" s="1050" t="s">
        <v>2105</v>
      </c>
    </row>
    <row r="51" spans="1:18" s="652" customFormat="1" ht="15.75" thickBot="1">
      <c r="A51" s="237"/>
      <c r="B51" s="238"/>
      <c r="C51" s="239"/>
      <c r="D51" s="240"/>
      <c r="E51" s="255" t="s">
        <v>1959</v>
      </c>
      <c r="F51" s="985">
        <f>F7</f>
        <v>72.38</v>
      </c>
      <c r="I51" s="1501" t="s">
        <v>2106</v>
      </c>
      <c r="J51" s="1027">
        <f>SUMPRODUCT((I64:I66=J48)*(J63:L63=J49)*(J64:L66))</f>
        <v>60</v>
      </c>
      <c r="K51" s="1505" t="s">
        <v>2107</v>
      </c>
      <c r="L51" s="1026"/>
      <c r="O51" s="1047" t="s">
        <v>955</v>
      </c>
      <c r="P51" s="1048" t="str">
        <f>IF(C2="元","收益价值(元)","收益价值(万元)")</f>
        <v>收益价值(万元)</v>
      </c>
      <c r="Q51" s="1049">
        <f ca="1">ROUND(IF(C2="元",Q45+Q46,(Q45+Q46)/10000),0)</f>
        <v>183</v>
      </c>
      <c r="R51" s="1050" t="s">
        <v>956</v>
      </c>
    </row>
    <row r="52" spans="1:18" s="652" customFormat="1" ht="16.5" thickBot="1">
      <c r="A52" s="237"/>
      <c r="B52" s="238"/>
      <c r="C52" s="239"/>
      <c r="D52" s="240"/>
      <c r="E52" s="235" t="s">
        <v>1961</v>
      </c>
      <c r="F52" s="236">
        <f>F8</f>
        <v>365</v>
      </c>
      <c r="I52" s="1506" t="s">
        <v>2108</v>
      </c>
      <c r="J52" s="1028">
        <f>IF(J50="",J51,J50+J51-YEAR('数据-取费表'!B2))</f>
        <v>50</v>
      </c>
      <c r="K52" s="1507" t="s">
        <v>2109</v>
      </c>
      <c r="L52" s="1029">
        <f ca="1">ROUND(-PV('数据-取费表'!B15,J52,(C40-C13*J35)),0)</f>
        <v>33418859</v>
      </c>
      <c r="O52" s="1041" t="s">
        <v>2110</v>
      </c>
      <c r="P52" s="1042"/>
      <c r="Q52" s="1038"/>
      <c r="R52" s="1042"/>
    </row>
    <row r="53" spans="1:18" s="652" customFormat="1" ht="15.75" thickBot="1">
      <c r="A53" s="241"/>
      <c r="B53" s="242"/>
      <c r="C53" s="243"/>
      <c r="D53" s="244"/>
      <c r="E53" s="235" t="s">
        <v>1962</v>
      </c>
      <c r="F53" s="1036"/>
      <c r="I53" s="1508" t="s">
        <v>2111</v>
      </c>
      <c r="J53" s="1030"/>
      <c r="K53" s="1508" t="s">
        <v>2112</v>
      </c>
      <c r="L53" s="1030"/>
      <c r="O53" s="1043" t="s">
        <v>2077</v>
      </c>
      <c r="P53" s="1044" t="s">
        <v>2078</v>
      </c>
      <c r="Q53" s="1045" t="s">
        <v>2079</v>
      </c>
      <c r="R53" s="1046" t="s">
        <v>2080</v>
      </c>
    </row>
    <row r="54" spans="1:18" s="652" customFormat="1" ht="29.25" customHeight="1" thickBot="1">
      <c r="A54" s="1057" t="s">
        <v>1963</v>
      </c>
      <c r="B54" s="1489" t="s">
        <v>1964</v>
      </c>
      <c r="C54" s="1058">
        <f ca="1">ROUND(IF(F54="押一",C50/12*F11,IF(F54="押二",C50/12*2*F11,IF(F54="押三",C50/12*3*F11,C55*F11))),0)</f>
        <v>0</v>
      </c>
      <c r="D54" s="1490" t="s">
        <v>2648</v>
      </c>
      <c r="E54" s="246" t="s">
        <v>1965</v>
      </c>
      <c r="F54" s="1491"/>
      <c r="I54" s="1597" t="s">
        <v>2651</v>
      </c>
      <c r="J54" s="1031">
        <f>IF(M48="住宅",IF(E1="——",MAX(J52,L49),MAX(J52,L49-'数据-取费表'!B26)),IF(E1="——",MIN(J52,L49),MIN(J52,L49-'数据-取费表'!B26)))</f>
        <v>39</v>
      </c>
      <c r="K54" s="3602" t="s">
        <v>2640</v>
      </c>
      <c r="L54" s="3603"/>
      <c r="O54" s="1047" t="s">
        <v>949</v>
      </c>
      <c r="P54" s="1048" t="s">
        <v>2081</v>
      </c>
      <c r="Q54" s="1049">
        <f ca="1">C40+J29</f>
        <v>1830576</v>
      </c>
      <c r="R54" s="1050" t="s">
        <v>2082</v>
      </c>
    </row>
    <row r="55" spans="1:18" s="652" customFormat="1" ht="20.25" thickBot="1">
      <c r="A55" s="1057"/>
      <c r="B55" s="1509" t="s">
        <v>1969</v>
      </c>
      <c r="C55" s="1062"/>
      <c r="D55" s="42"/>
      <c r="E55" s="151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7" t="s">
        <v>950</v>
      </c>
      <c r="P55" s="1048" t="s">
        <v>2113</v>
      </c>
      <c r="Q55" s="1049">
        <f>L61</f>
        <v>0</v>
      </c>
      <c r="R55" s="1050" t="s">
        <v>2114</v>
      </c>
    </row>
    <row r="56" spans="1:18" s="652" customFormat="1" ht="20.25" thickBot="1">
      <c r="A56" s="1067" t="s">
        <v>1970</v>
      </c>
      <c r="B56" s="1493" t="s">
        <v>1971</v>
      </c>
      <c r="C56" s="1068"/>
      <c r="D56" s="1084"/>
      <c r="E56" s="1512"/>
      <c r="F56" s="1123"/>
      <c r="I56" s="1513" t="s">
        <v>2115</v>
      </c>
      <c r="J56" s="1290" t="e">
        <f>ROUND(IF(J48="钢混",J58/J51,1-(1-2%)*(J51-J58)/J51),3)</f>
        <v>#VALUE!</v>
      </c>
      <c r="K56" s="1514"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329789</v>
      </c>
      <c r="D57" s="983"/>
      <c r="E57" s="984"/>
      <c r="F57" s="991"/>
      <c r="I57" s="1515" t="s">
        <v>2118</v>
      </c>
      <c r="J57" s="1035" t="s">
        <v>2991</v>
      </c>
      <c r="K57" s="1501" t="s">
        <v>2119</v>
      </c>
      <c r="L57" s="863" t="str">
        <f>IF(L49&lt;J52,"——",L49-J52)</f>
        <v>——</v>
      </c>
      <c r="O57" s="1051" t="s">
        <v>952</v>
      </c>
      <c r="P57" s="1048" t="s">
        <v>2120</v>
      </c>
      <c r="Q57" s="1052">
        <f>L53</f>
        <v>0</v>
      </c>
      <c r="R57" s="1050"/>
    </row>
    <row r="58" spans="1:18" s="652" customFormat="1" ht="29.25" thickBot="1">
      <c r="A58" s="990"/>
      <c r="B58" s="235" t="s">
        <v>2050</v>
      </c>
      <c r="C58" s="104">
        <f ca="1">C29</f>
        <v>397336</v>
      </c>
      <c r="D58" s="983"/>
      <c r="E58" s="984"/>
      <c r="F58" s="991"/>
      <c r="I58" s="1516" t="s">
        <v>2121</v>
      </c>
      <c r="J58" s="1034" t="str">
        <f>IF(OR(M48="住宅",J52&lt;L49,J57="是"),"——",J52-L49)</f>
        <v>——</v>
      </c>
      <c r="K58" s="1501"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6620</v>
      </c>
      <c r="D59" s="12" t="s">
        <v>2054</v>
      </c>
      <c r="E59" s="1303"/>
      <c r="F59" s="15"/>
      <c r="I59" s="1516" t="s">
        <v>2125</v>
      </c>
      <c r="J59" s="1289" t="e">
        <f>IF(J56&lt;0.4,0.4,J56)</f>
        <v>#VALUE!</v>
      </c>
      <c r="K59" s="1507"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6" t="s">
        <v>2128</v>
      </c>
      <c r="J60" s="1034"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183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7" t="s">
        <v>2129</v>
      </c>
      <c r="J61" s="1033" t="str">
        <f>IF(OR(M48="住宅",J52&lt;L49,J57="是"),"0",ROUND(J60/(1+J53)^J54,0))</f>
        <v>0</v>
      </c>
      <c r="K61" s="1518"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5"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19" t="s">
        <v>2136</v>
      </c>
      <c r="J63" s="1293" t="s">
        <v>2137</v>
      </c>
      <c r="K63" s="1293" t="s">
        <v>2138</v>
      </c>
      <c r="L63" s="1293" t="s">
        <v>2139</v>
      </c>
      <c r="M63" s="1292" t="s">
        <v>2140</v>
      </c>
      <c r="O63" s="1047" t="s">
        <v>949</v>
      </c>
      <c r="P63" s="1048" t="s">
        <v>2081</v>
      </c>
      <c r="Q63" s="1049">
        <f ca="1">C40+J29</f>
        <v>1830576</v>
      </c>
      <c r="R63" s="1050" t="s">
        <v>2082</v>
      </c>
    </row>
    <row r="64" spans="1:18" s="652" customFormat="1" ht="20.25" thickBot="1">
      <c r="A64" s="263"/>
      <c r="B64" s="244"/>
      <c r="C64" s="17"/>
      <c r="D64" s="264"/>
      <c r="E64" s="235" t="s">
        <v>2141</v>
      </c>
      <c r="F64" s="236">
        <f t="shared" si="0"/>
        <v>0</v>
      </c>
      <c r="I64" s="1519"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5960</v>
      </c>
      <c r="D65" s="1301" t="s">
        <v>2063</v>
      </c>
      <c r="E65" s="235" t="s">
        <v>2007</v>
      </c>
      <c r="F65" s="265">
        <f t="shared" si="0"/>
        <v>1.4999999999999999E-2</v>
      </c>
      <c r="I65" s="1519" t="s">
        <v>2143</v>
      </c>
      <c r="J65" s="1293">
        <v>50</v>
      </c>
      <c r="K65" s="1293">
        <v>35</v>
      </c>
      <c r="L65" s="1293">
        <v>60</v>
      </c>
      <c r="M65" s="1292">
        <v>0</v>
      </c>
      <c r="O65" s="1051" t="s">
        <v>951</v>
      </c>
      <c r="P65" s="1048" t="s">
        <v>2117</v>
      </c>
      <c r="Q65" s="1053">
        <f ca="1">L52</f>
        <v>33418859</v>
      </c>
      <c r="R65" s="1054" t="s">
        <v>2144</v>
      </c>
    </row>
    <row r="66" spans="1:18" s="652" customFormat="1" ht="20.25" thickBot="1">
      <c r="A66" s="253" t="s">
        <v>20</v>
      </c>
      <c r="B66" s="235" t="s">
        <v>2022</v>
      </c>
      <c r="C66" s="13">
        <f ca="1">ROUND(C57*F66,0)</f>
        <v>660</v>
      </c>
      <c r="D66" s="1301" t="s">
        <v>2023</v>
      </c>
      <c r="E66" s="235" t="s">
        <v>2024</v>
      </c>
      <c r="F66" s="266">
        <f t="shared" si="0"/>
        <v>2E-3</v>
      </c>
      <c r="I66" s="1519" t="s">
        <v>2145</v>
      </c>
      <c r="J66" s="1293">
        <v>40</v>
      </c>
      <c r="K66" s="1293">
        <v>30</v>
      </c>
      <c r="L66" s="1293">
        <v>50</v>
      </c>
      <c r="M66" s="1291">
        <v>0.02</v>
      </c>
      <c r="O66" s="1051" t="s">
        <v>952</v>
      </c>
      <c r="P66" s="1055" t="s">
        <v>2146</v>
      </c>
      <c r="Q66" s="1049">
        <f ca="1">ROUND(Q67-Q68*Q69,0)</f>
        <v>81314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81314</v>
      </c>
      <c r="R67" s="1050" t="s">
        <v>2082</v>
      </c>
    </row>
    <row r="68" spans="1:18" ht="15.75" thickBot="1">
      <c r="A68" s="248" t="s">
        <v>22</v>
      </c>
      <c r="B68" s="41" t="s">
        <v>2032</v>
      </c>
      <c r="C68" s="250">
        <f ca="1">C49-C59</f>
        <v>-6620</v>
      </c>
      <c r="D68" s="1298" t="s">
        <v>2033</v>
      </c>
      <c r="E68" s="1300"/>
      <c r="F68" s="268"/>
      <c r="H68" s="652"/>
      <c r="I68" s="652"/>
      <c r="J68" s="652"/>
      <c r="K68" s="652"/>
      <c r="L68" s="652"/>
      <c r="M68" s="652"/>
      <c r="O68" s="1051" t="s">
        <v>958</v>
      </c>
      <c r="P68" s="1055" t="s">
        <v>2148</v>
      </c>
      <c r="Q68" s="1049">
        <f ca="1">C13</f>
        <v>329789</v>
      </c>
      <c r="R68" s="1050" t="s">
        <v>2082</v>
      </c>
    </row>
    <row r="69" spans="1:18" ht="15.75" thickBot="1">
      <c r="A69" s="232" t="s">
        <v>23</v>
      </c>
      <c r="B69" s="233" t="s">
        <v>2070</v>
      </c>
      <c r="C69" s="234">
        <f ca="1">ROUND(C68*(1-((1+F71)/(1+F69))^F70)/(F69-F71),0)</f>
        <v>-105448</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-1457</v>
      </c>
      <c r="D72" s="274" t="s">
        <v>2074</v>
      </c>
      <c r="E72" s="275" t="s">
        <v>2075</v>
      </c>
      <c r="F72" s="276">
        <f>F43</f>
        <v>72.38</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183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2973</v>
      </c>
      <c r="B1" s="3132"/>
      <c r="C1" s="3138"/>
      <c r="D1" s="3138"/>
      <c r="E1" s="3133"/>
      <c r="F1" s="3134"/>
      <c r="G1" s="3227"/>
      <c r="J1" s="3230" t="s">
        <v>2829</v>
      </c>
      <c r="K1" s="3231"/>
      <c r="L1" s="3231"/>
      <c r="M1" s="3231"/>
      <c r="N1" s="3231"/>
      <c r="O1" s="3231"/>
      <c r="P1" s="3231"/>
      <c r="Q1" s="3231"/>
      <c r="R1" s="3232"/>
      <c r="S1" s="3233"/>
      <c r="T1" s="3233"/>
      <c r="U1" s="3233"/>
    </row>
    <row r="2" spans="1:23" s="3141" customFormat="1" ht="13.15" customHeight="1">
      <c r="A2" s="3136" t="s">
        <v>2830</v>
      </c>
      <c r="B2" s="3137" t="e">
        <f>C40</f>
        <v>#DIV/0!</v>
      </c>
      <c r="C2" s="3138" t="s">
        <v>2831</v>
      </c>
      <c r="D2" s="3138"/>
      <c r="E2" s="3139"/>
      <c r="F2" s="3140"/>
      <c r="G2" s="3234"/>
      <c r="H2" s="3235"/>
      <c r="I2" s="3236"/>
      <c r="J2" s="3604" t="s">
        <v>2832</v>
      </c>
      <c r="K2" s="3605"/>
      <c r="L2" s="3237" t="s">
        <v>2833</v>
      </c>
      <c r="M2" s="3237" t="s">
        <v>2834</v>
      </c>
      <c r="N2" s="3237" t="s">
        <v>2835</v>
      </c>
      <c r="O2" s="3237" t="s">
        <v>2836</v>
      </c>
      <c r="P2" s="3237" t="s">
        <v>2837</v>
      </c>
      <c r="Q2" s="3238" t="s">
        <v>2838</v>
      </c>
      <c r="R2" s="3239" t="s">
        <v>2839</v>
      </c>
      <c r="S2" s="3233"/>
      <c r="T2" s="3233"/>
      <c r="U2" s="3233"/>
      <c r="V2" s="3236"/>
      <c r="W2" s="3235"/>
    </row>
    <row r="3" spans="1:23" s="3141" customFormat="1" ht="13.15" customHeight="1">
      <c r="A3" s="3143" t="s">
        <v>2840</v>
      </c>
      <c r="B3" s="3144" t="e">
        <f>ROUND(B2*10000/B4,0)</f>
        <v>#DIV/0!</v>
      </c>
      <c r="C3" s="3138" t="s">
        <v>2841</v>
      </c>
      <c r="D3" s="3138"/>
      <c r="E3" s="3139"/>
      <c r="F3" s="3140"/>
      <c r="G3" s="3234"/>
      <c r="H3" s="3235"/>
      <c r="I3" s="3236"/>
      <c r="J3" s="3606" t="s">
        <v>2842</v>
      </c>
      <c r="K3" s="3607"/>
      <c r="L3" s="3240"/>
      <c r="M3" s="3240"/>
      <c r="N3" s="3240"/>
      <c r="O3" s="3240"/>
      <c r="P3" s="3240"/>
      <c r="Q3" s="3241"/>
      <c r="R3" s="3242">
        <f>SUM(L3:Q3)</f>
        <v>0</v>
      </c>
      <c r="S3" s="3233"/>
      <c r="T3" s="3233"/>
      <c r="U3" s="3233"/>
      <c r="V3" s="3236"/>
      <c r="W3" s="3235"/>
    </row>
    <row r="4" spans="1:23" s="3141" customFormat="1" ht="13.15" customHeight="1">
      <c r="A4" s="3145" t="s">
        <v>2843</v>
      </c>
      <c r="B4" s="3202"/>
      <c r="C4" s="3138"/>
      <c r="D4" s="3138"/>
      <c r="E4" s="3139"/>
      <c r="F4" s="3140"/>
      <c r="G4" s="3234"/>
      <c r="H4" s="3235"/>
      <c r="I4" s="3236"/>
      <c r="J4" s="3606" t="s">
        <v>2844</v>
      </c>
      <c r="K4" s="3607"/>
      <c r="L4" s="3243"/>
      <c r="M4" s="3243"/>
      <c r="N4" s="3243"/>
      <c r="O4" s="3243"/>
      <c r="P4" s="3243"/>
      <c r="Q4" s="3244"/>
      <c r="R4" s="3245">
        <f>SUM(L4:Q4)</f>
        <v>0</v>
      </c>
      <c r="S4" s="3233"/>
      <c r="T4" s="3233"/>
      <c r="U4" s="3233"/>
      <c r="V4" s="3236"/>
      <c r="W4" s="3235"/>
    </row>
    <row r="5" spans="1:23" s="3141" customFormat="1" ht="13.15" customHeight="1" thickBot="1">
      <c r="A5" s="3146" t="s">
        <v>2845</v>
      </c>
      <c r="B5" s="3203"/>
      <c r="C5" s="3138"/>
      <c r="D5" s="3147"/>
      <c r="E5" s="3140"/>
      <c r="F5" s="3140"/>
      <c r="G5" s="3234"/>
      <c r="H5" s="3235"/>
      <c r="I5" s="3236"/>
      <c r="J5" s="3246" t="s">
        <v>2846</v>
      </c>
      <c r="K5" s="3247"/>
      <c r="L5" s="3247"/>
      <c r="M5" s="3248"/>
      <c r="N5" s="3248"/>
      <c r="O5" s="3248"/>
      <c r="P5" s="3248"/>
      <c r="Q5" s="3248"/>
      <c r="R5" s="3239">
        <f>SUM(R14,R19,R24,R25,R27,R28)</f>
        <v>0</v>
      </c>
      <c r="S5" s="3233"/>
      <c r="T5" s="3233" t="s">
        <v>2847</v>
      </c>
      <c r="U5" s="3233" t="e">
        <f>ROUND(R5*10000/365/R3,1)</f>
        <v>#DIV/0!</v>
      </c>
      <c r="V5" s="3236"/>
      <c r="W5" s="3235"/>
    </row>
    <row r="6" spans="1:23" s="3141" customFormat="1" ht="13.15" customHeight="1" thickBot="1">
      <c r="A6" s="3608" t="s">
        <v>2848</v>
      </c>
      <c r="B6" s="3609"/>
      <c r="C6" s="3610"/>
      <c r="D6" s="3204"/>
      <c r="E6" s="3148"/>
      <c r="F6" s="3149"/>
      <c r="G6" s="3249"/>
      <c r="H6" s="3235"/>
      <c r="I6" s="3236"/>
      <c r="J6" s="3611">
        <v>1</v>
      </c>
      <c r="K6" s="3612" t="s">
        <v>2849</v>
      </c>
      <c r="L6" s="3250" t="s">
        <v>2850</v>
      </c>
      <c r="M6" s="3251" t="s">
        <v>2851</v>
      </c>
      <c r="N6" s="3251" t="s">
        <v>2852</v>
      </c>
      <c r="O6" s="3251" t="s">
        <v>2853</v>
      </c>
      <c r="P6" s="3251" t="s">
        <v>2854</v>
      </c>
      <c r="Q6" s="3251" t="s">
        <v>2855</v>
      </c>
      <c r="R6" s="3242" t="s">
        <v>2856</v>
      </c>
      <c r="S6" s="3233"/>
      <c r="T6" s="3233" t="s">
        <v>2857</v>
      </c>
      <c r="U6" s="3233"/>
      <c r="V6" s="3236"/>
      <c r="W6" s="3235"/>
    </row>
    <row r="7" spans="1:23" s="3141" customFormat="1" ht="13.15" customHeight="1">
      <c r="A7" s="3151" t="s">
        <v>2858</v>
      </c>
      <c r="B7" s="3152"/>
      <c r="C7" s="3153"/>
      <c r="D7" s="3154">
        <f>SUM(D9,D10,D11,D17,0)</f>
        <v>0</v>
      </c>
      <c r="E7" s="3155" t="e">
        <f>E9+E10+E11+E17</f>
        <v>#DIV/0!</v>
      </c>
      <c r="F7" s="3156"/>
      <c r="G7" s="3252"/>
      <c r="H7" s="3235"/>
      <c r="I7" s="3236"/>
      <c r="J7" s="3611"/>
      <c r="K7" s="3613"/>
      <c r="L7" s="3253" t="s">
        <v>2958</v>
      </c>
      <c r="M7" s="3254"/>
      <c r="N7" s="3254"/>
      <c r="O7" s="3255"/>
      <c r="P7" s="3255"/>
      <c r="Q7" s="3256">
        <v>365</v>
      </c>
      <c r="R7" s="3257">
        <f>ROUND(M7*N7*O7*P7*Q7/10000,0)</f>
        <v>0</v>
      </c>
      <c r="S7" s="3233"/>
      <c r="T7" s="3233" t="s">
        <v>2859</v>
      </c>
      <c r="U7" s="3233"/>
      <c r="V7" s="3236"/>
      <c r="W7" s="3235"/>
    </row>
    <row r="8" spans="1:23" s="3141" customFormat="1" ht="13.15" customHeight="1">
      <c r="A8" s="3157" t="s">
        <v>2860</v>
      </c>
      <c r="B8" s="3615" t="s">
        <v>2861</v>
      </c>
      <c r="C8" s="3616"/>
      <c r="D8" s="3158" t="s">
        <v>2862</v>
      </c>
      <c r="E8" s="3159" t="s">
        <v>2863</v>
      </c>
      <c r="F8" s="3142" t="s">
        <v>2864</v>
      </c>
      <c r="G8" s="3312" t="s">
        <v>2972</v>
      </c>
      <c r="H8" s="3235"/>
      <c r="I8" s="3236"/>
      <c r="J8" s="3611"/>
      <c r="K8" s="3613"/>
      <c r="L8" s="3253" t="s">
        <v>2959</v>
      </c>
      <c r="M8" s="3254"/>
      <c r="N8" s="3254"/>
      <c r="O8" s="3255"/>
      <c r="P8" s="3255"/>
      <c r="Q8" s="3256">
        <v>365</v>
      </c>
      <c r="R8" s="3257">
        <f t="shared" ref="R8:R13" si="0">ROUND(M8*N8*O8*P8*Q8/10000,0)</f>
        <v>0</v>
      </c>
      <c r="S8" s="3233"/>
      <c r="T8" s="3233" t="s">
        <v>2865</v>
      </c>
      <c r="U8" s="3233"/>
      <c r="V8" s="3236"/>
      <c r="W8" s="3235"/>
    </row>
    <row r="9" spans="1:23" s="3141" customFormat="1" ht="13.15" customHeight="1">
      <c r="A9" s="3157">
        <v>1</v>
      </c>
      <c r="B9" s="3615" t="s">
        <v>2866</v>
      </c>
      <c r="C9" s="3616"/>
      <c r="D9" s="3158">
        <f>ROUND(D6*E9,0)</f>
        <v>0</v>
      </c>
      <c r="E9" s="3205"/>
      <c r="F9" s="3160" t="s">
        <v>2867</v>
      </c>
      <c r="G9" s="3258" t="s">
        <v>2970</v>
      </c>
      <c r="H9" s="3235"/>
      <c r="I9" s="3236"/>
      <c r="J9" s="3611"/>
      <c r="K9" s="3613"/>
      <c r="L9" s="3253" t="s">
        <v>2960</v>
      </c>
      <c r="M9" s="3254"/>
      <c r="N9" s="3254"/>
      <c r="O9" s="3255"/>
      <c r="P9" s="3255"/>
      <c r="Q9" s="3256">
        <v>365</v>
      </c>
      <c r="R9" s="3257">
        <f t="shared" si="0"/>
        <v>0</v>
      </c>
      <c r="S9" s="3233"/>
      <c r="T9" s="3233"/>
      <c r="U9" s="3233"/>
      <c r="V9" s="3236"/>
      <c r="W9" s="3235"/>
    </row>
    <row r="10" spans="1:23" s="3141" customFormat="1" ht="13.15" customHeight="1">
      <c r="A10" s="3157">
        <v>2</v>
      </c>
      <c r="B10" s="3615" t="s">
        <v>2868</v>
      </c>
      <c r="C10" s="3616"/>
      <c r="D10" s="3158">
        <f>ROUND(D6*E10,0)</f>
        <v>0</v>
      </c>
      <c r="E10" s="3205"/>
      <c r="F10" s="3160" t="s">
        <v>2869</v>
      </c>
      <c r="G10" s="3258" t="s">
        <v>2971</v>
      </c>
      <c r="H10" s="3235"/>
      <c r="I10" s="3236"/>
      <c r="J10" s="3611"/>
      <c r="K10" s="3613"/>
      <c r="L10" s="3253" t="s">
        <v>2961</v>
      </c>
      <c r="M10" s="3254"/>
      <c r="N10" s="3254"/>
      <c r="O10" s="3255"/>
      <c r="P10" s="3255"/>
      <c r="Q10" s="3256">
        <v>365</v>
      </c>
      <c r="R10" s="3257">
        <f t="shared" si="0"/>
        <v>0</v>
      </c>
      <c r="S10" s="3233"/>
      <c r="T10" s="3233"/>
      <c r="U10" s="3233"/>
      <c r="V10" s="3236"/>
      <c r="W10" s="3235"/>
    </row>
    <row r="11" spans="1:23" s="3141" customFormat="1" ht="13.15" customHeight="1">
      <c r="A11" s="3157">
        <v>3</v>
      </c>
      <c r="B11" s="3615" t="s">
        <v>2870</v>
      </c>
      <c r="C11" s="3616"/>
      <c r="D11" s="3158">
        <f>D12+D14+D15+D16</f>
        <v>0</v>
      </c>
      <c r="E11" s="3161" t="e">
        <f>D11/D6</f>
        <v>#DIV/0!</v>
      </c>
      <c r="F11" s="3142"/>
      <c r="G11" s="3258"/>
      <c r="H11" s="3235"/>
      <c r="I11" s="3236"/>
      <c r="J11" s="3611"/>
      <c r="K11" s="3613"/>
      <c r="L11" s="3253" t="s">
        <v>2962</v>
      </c>
      <c r="M11" s="3254"/>
      <c r="N11" s="3254"/>
      <c r="O11" s="3255"/>
      <c r="P11" s="3255"/>
      <c r="Q11" s="3256">
        <v>365</v>
      </c>
      <c r="R11" s="3257">
        <f t="shared" si="0"/>
        <v>0</v>
      </c>
      <c r="S11" s="3233"/>
      <c r="T11" s="3233"/>
      <c r="U11" s="3233"/>
      <c r="V11" s="3236"/>
      <c r="W11" s="3235"/>
    </row>
    <row r="12" spans="1:23" s="3141" customFormat="1" ht="13.15" customHeight="1">
      <c r="A12" s="3162" t="s">
        <v>2871</v>
      </c>
      <c r="B12" s="3617" t="s">
        <v>2872</v>
      </c>
      <c r="C12" s="3618"/>
      <c r="D12" s="3163">
        <f>ROUND(D13*1.2%*(1-30%),0)</f>
        <v>0</v>
      </c>
      <c r="E12" s="3164">
        <v>1.2E-2</v>
      </c>
      <c r="F12" s="3142" t="s">
        <v>2873</v>
      </c>
      <c r="G12" s="3258"/>
      <c r="H12" s="3235"/>
      <c r="I12" s="3236"/>
      <c r="J12" s="3611"/>
      <c r="K12" s="3613"/>
      <c r="L12" s="3253" t="s">
        <v>2963</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2874</v>
      </c>
      <c r="D13" s="3206"/>
      <c r="E13" s="3167"/>
      <c r="F13" s="3142"/>
      <c r="G13" s="3258"/>
      <c r="H13" s="3235"/>
      <c r="I13" s="3236"/>
      <c r="J13" s="3611"/>
      <c r="K13" s="3613"/>
      <c r="L13" s="3253" t="s">
        <v>2964</v>
      </c>
      <c r="M13" s="3254"/>
      <c r="N13" s="3254"/>
      <c r="O13" s="3255"/>
      <c r="P13" s="3255"/>
      <c r="Q13" s="3256">
        <v>365</v>
      </c>
      <c r="R13" s="3257">
        <f t="shared" si="0"/>
        <v>0</v>
      </c>
      <c r="S13" s="3233"/>
      <c r="T13" s="3233"/>
      <c r="U13" s="3233"/>
      <c r="V13" s="3236"/>
      <c r="W13" s="3235"/>
    </row>
    <row r="14" spans="1:23" s="3141" customFormat="1" ht="13.15" customHeight="1">
      <c r="A14" s="3162" t="s">
        <v>2875</v>
      </c>
      <c r="B14" s="3617" t="s">
        <v>2876</v>
      </c>
      <c r="C14" s="3618"/>
      <c r="D14" s="3163">
        <f>ROUND(E14*B5/10000,0)</f>
        <v>0</v>
      </c>
      <c r="E14" s="3207"/>
      <c r="F14" s="3142" t="s">
        <v>2877</v>
      </c>
      <c r="G14" s="3258"/>
      <c r="H14" s="3235"/>
      <c r="I14" s="3236"/>
      <c r="J14" s="3611"/>
      <c r="K14" s="3614"/>
      <c r="L14" s="3259" t="s">
        <v>2878</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2879</v>
      </c>
      <c r="B15" s="3617" t="s">
        <v>2880</v>
      </c>
      <c r="C15" s="3618"/>
      <c r="D15" s="3163">
        <f>ROUND(D6*E15,0)</f>
        <v>0</v>
      </c>
      <c r="E15" s="3164">
        <v>5.5E-2</v>
      </c>
      <c r="F15" s="3142" t="s">
        <v>2881</v>
      </c>
      <c r="G15" s="3258"/>
      <c r="H15" s="3235"/>
      <c r="I15" s="3236"/>
      <c r="J15" s="3611">
        <v>2</v>
      </c>
      <c r="K15" s="3612" t="s">
        <v>2882</v>
      </c>
      <c r="L15" s="3263" t="s">
        <v>2883</v>
      </c>
      <c r="M15" s="3264" t="s">
        <v>2884</v>
      </c>
      <c r="N15" s="3264" t="s">
        <v>2885</v>
      </c>
      <c r="O15" s="3265" t="s">
        <v>2886</v>
      </c>
      <c r="P15" s="3265" t="s">
        <v>2887</v>
      </c>
      <c r="Q15" s="3202" t="s">
        <v>2888</v>
      </c>
      <c r="R15" s="3266" t="s">
        <v>2889</v>
      </c>
      <c r="S15" s="3233"/>
      <c r="T15" s="3233"/>
      <c r="U15" s="3233"/>
      <c r="V15" s="3236"/>
      <c r="W15" s="3235"/>
    </row>
    <row r="16" spans="1:23" s="3141" customFormat="1" ht="13.15" customHeight="1">
      <c r="A16" s="3162" t="s">
        <v>2890</v>
      </c>
      <c r="B16" s="3617" t="s">
        <v>2891</v>
      </c>
      <c r="C16" s="3618"/>
      <c r="D16" s="3208">
        <f>D6*E16</f>
        <v>0</v>
      </c>
      <c r="E16" s="3209"/>
      <c r="F16" s="3160" t="s">
        <v>2892</v>
      </c>
      <c r="G16" s="3258"/>
      <c r="H16" s="3235"/>
      <c r="I16" s="3236"/>
      <c r="J16" s="3611"/>
      <c r="K16" s="3613"/>
      <c r="L16" s="3253" t="s">
        <v>2965</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619" t="s">
        <v>2893</v>
      </c>
      <c r="C17" s="3620"/>
      <c r="D17" s="3169">
        <f>ROUND(D6*E17,0)</f>
        <v>0</v>
      </c>
      <c r="E17" s="3210"/>
      <c r="F17" s="3170" t="s">
        <v>2894</v>
      </c>
      <c r="G17" s="3311">
        <v>0.1</v>
      </c>
      <c r="H17" s="3235"/>
      <c r="I17" s="3236"/>
      <c r="J17" s="3611"/>
      <c r="K17" s="3613"/>
      <c r="L17" s="3253" t="s">
        <v>2966</v>
      </c>
      <c r="M17" s="3254"/>
      <c r="N17" s="3254"/>
      <c r="O17" s="3255"/>
      <c r="P17" s="3256">
        <v>365</v>
      </c>
      <c r="Q17" s="3254"/>
      <c r="R17" s="3267">
        <f>ROUND(M17*N17*O17*P17/10000,0)</f>
        <v>0</v>
      </c>
      <c r="S17" s="3233"/>
      <c r="T17" s="3233"/>
      <c r="U17" s="3233"/>
      <c r="V17" s="3236"/>
      <c r="W17" s="3235"/>
    </row>
    <row r="18" spans="1:23" s="3141" customFormat="1" ht="13.15" customHeight="1" thickBot="1">
      <c r="A18" s="3151" t="s">
        <v>2895</v>
      </c>
      <c r="B18" s="3152"/>
      <c r="C18" s="3152"/>
      <c r="D18" s="3171">
        <f>ROUND(D6*E18,0)</f>
        <v>0</v>
      </c>
      <c r="E18" s="3211"/>
      <c r="F18" s="3172" t="s">
        <v>2896</v>
      </c>
      <c r="G18" s="3311">
        <v>0.05</v>
      </c>
      <c r="H18" s="3235"/>
      <c r="I18" s="3236"/>
      <c r="J18" s="3611"/>
      <c r="K18" s="3613"/>
      <c r="L18" s="3253" t="s">
        <v>2967</v>
      </c>
      <c r="M18" s="3254"/>
      <c r="N18" s="3254"/>
      <c r="O18" s="3255"/>
      <c r="P18" s="3256">
        <v>365</v>
      </c>
      <c r="Q18" s="3254"/>
      <c r="R18" s="3267">
        <f>ROUND(M18*N18*O18*P18/10000,0)</f>
        <v>0</v>
      </c>
      <c r="S18" s="3233"/>
      <c r="T18" s="3233"/>
      <c r="U18" s="3233"/>
      <c r="V18" s="3236"/>
      <c r="W18" s="3235"/>
    </row>
    <row r="19" spans="1:23" s="3141" customFormat="1" ht="13.15" customHeight="1" thickBot="1">
      <c r="A19" s="3173" t="s">
        <v>2897</v>
      </c>
      <c r="B19" s="3148"/>
      <c r="C19" s="3148"/>
      <c r="D19" s="3148"/>
      <c r="E19" s="3148"/>
      <c r="F19" s="3149"/>
      <c r="G19" s="3258"/>
      <c r="H19" s="3235"/>
      <c r="I19" s="3236"/>
      <c r="J19" s="3611"/>
      <c r="K19" s="3614"/>
      <c r="L19" s="3259" t="s">
        <v>2878</v>
      </c>
      <c r="M19" s="3260"/>
      <c r="N19" s="3260">
        <f>SUM(N16:N18)</f>
        <v>0</v>
      </c>
      <c r="O19" s="3261"/>
      <c r="P19" s="3268" t="s">
        <v>2968</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611">
        <v>3</v>
      </c>
      <c r="K20" s="3612" t="s">
        <v>2898</v>
      </c>
      <c r="L20" s="3263" t="s">
        <v>2899</v>
      </c>
      <c r="M20" s="3264" t="s">
        <v>2900</v>
      </c>
      <c r="N20" s="3270" t="s">
        <v>2901</v>
      </c>
      <c r="O20" s="3265" t="s">
        <v>2902</v>
      </c>
      <c r="P20" s="3207" t="s">
        <v>2887</v>
      </c>
      <c r="Q20" s="3202" t="s">
        <v>2888</v>
      </c>
      <c r="R20" s="3266" t="s">
        <v>2889</v>
      </c>
      <c r="S20" s="3271"/>
      <c r="T20" s="3271"/>
      <c r="U20" s="3271"/>
      <c r="V20" s="3236"/>
      <c r="W20" s="3235"/>
    </row>
    <row r="21" spans="1:23" s="3141" customFormat="1" ht="13.15" customHeight="1">
      <c r="A21" s="3151"/>
      <c r="B21" s="3152"/>
      <c r="C21" s="3175" t="s">
        <v>2903</v>
      </c>
      <c r="D21" s="3176" t="s">
        <v>2904</v>
      </c>
      <c r="E21" s="3177" t="s">
        <v>2905</v>
      </c>
      <c r="F21" s="3174"/>
      <c r="G21" s="3258"/>
      <c r="H21" s="3235"/>
      <c r="I21" s="3236"/>
      <c r="J21" s="3611"/>
      <c r="K21" s="3613"/>
      <c r="L21" s="3263" t="s">
        <v>2906</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2907</v>
      </c>
      <c r="D22" s="3213" t="s">
        <v>2908</v>
      </c>
      <c r="E22" s="3214" t="s">
        <v>2909</v>
      </c>
      <c r="F22" s="3174"/>
      <c r="G22" s="3273"/>
      <c r="H22" s="3235"/>
      <c r="I22" s="3236"/>
      <c r="J22" s="3611"/>
      <c r="K22" s="3613"/>
      <c r="L22" s="3263" t="s">
        <v>2910</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2911</v>
      </c>
      <c r="C23" s="3179">
        <f>D6</f>
        <v>0</v>
      </c>
      <c r="D23" s="3180">
        <f>C23*(1+D24)</f>
        <v>0</v>
      </c>
      <c r="E23" s="3181">
        <f>D23*(1+E24)</f>
        <v>0</v>
      </c>
      <c r="F23" s="3182"/>
      <c r="G23" s="3274"/>
      <c r="H23" s="3235"/>
      <c r="I23" s="3236"/>
      <c r="J23" s="3611"/>
      <c r="K23" s="3613"/>
      <c r="L23" s="3263" t="s">
        <v>2912</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2913</v>
      </c>
      <c r="C24" s="3185"/>
      <c r="D24" s="3215"/>
      <c r="E24" s="3216"/>
      <c r="F24" s="3186"/>
      <c r="G24" s="3274"/>
      <c r="H24" s="3235"/>
      <c r="I24" s="3236"/>
      <c r="J24" s="3611"/>
      <c r="K24" s="3614"/>
      <c r="L24" s="3259" t="s">
        <v>2878</v>
      </c>
      <c r="M24" s="3260">
        <f>SUM(M21:M23)</f>
        <v>0</v>
      </c>
      <c r="N24" s="3260"/>
      <c r="O24" s="3261"/>
      <c r="P24" s="3268" t="s">
        <v>2968</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2914</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2915</v>
      </c>
      <c r="C26" s="3179">
        <f>D7</f>
        <v>0</v>
      </c>
      <c r="D26" s="3180">
        <f>D23*D27</f>
        <v>0</v>
      </c>
      <c r="E26" s="3181">
        <f>E23*E27</f>
        <v>0</v>
      </c>
      <c r="F26" s="3182"/>
      <c r="G26" s="3274"/>
      <c r="H26" s="3235"/>
      <c r="I26" s="3236"/>
      <c r="J26" s="3621">
        <v>5</v>
      </c>
      <c r="K26" s="3282" t="s">
        <v>2916</v>
      </c>
      <c r="L26" s="3283"/>
      <c r="M26" s="3284"/>
      <c r="N26" s="3285" t="s">
        <v>2917</v>
      </c>
      <c r="O26" s="3285" t="s">
        <v>2918</v>
      </c>
      <c r="P26" s="3286" t="s">
        <v>2919</v>
      </c>
      <c r="Q26" s="3286" t="s">
        <v>2920</v>
      </c>
      <c r="R26" s="3242" t="s">
        <v>2889</v>
      </c>
      <c r="S26" s="3287"/>
      <c r="T26" s="3287"/>
      <c r="U26" s="3287"/>
      <c r="V26" s="3280"/>
      <c r="W26" s="3281"/>
    </row>
    <row r="27" spans="1:23" s="3141" customFormat="1" ht="13.15" customHeight="1">
      <c r="A27" s="3183"/>
      <c r="B27" s="3184" t="s">
        <v>2921</v>
      </c>
      <c r="C27" s="3188" t="e">
        <f>E7</f>
        <v>#DIV/0!</v>
      </c>
      <c r="D27" s="3215"/>
      <c r="E27" s="3216"/>
      <c r="F27" s="3186"/>
      <c r="G27" s="3274"/>
      <c r="H27" s="3281"/>
      <c r="I27" s="3280"/>
      <c r="J27" s="3622"/>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2922</v>
      </c>
      <c r="F28" s="3186"/>
      <c r="G28" s="3273"/>
      <c r="H28" s="3281"/>
      <c r="I28" s="3280"/>
      <c r="J28" s="3293">
        <v>6</v>
      </c>
      <c r="K28" s="3294" t="s">
        <v>2923</v>
      </c>
      <c r="L28" s="3295" t="s">
        <v>2924</v>
      </c>
      <c r="M28" s="3296"/>
      <c r="N28" s="3295" t="s">
        <v>2925</v>
      </c>
      <c r="O28" s="3297"/>
      <c r="P28" s="3295" t="s">
        <v>2926</v>
      </c>
      <c r="Q28" s="3298">
        <v>1.4999999999999999E-2</v>
      </c>
      <c r="R28" s="3299"/>
      <c r="S28" s="3271"/>
      <c r="T28" s="3271"/>
      <c r="U28" s="3271"/>
      <c r="V28" s="3280"/>
      <c r="W28" s="3281"/>
    </row>
    <row r="29" spans="1:23" s="3187" customFormat="1" ht="13.15" customHeight="1">
      <c r="A29" s="3178">
        <v>3</v>
      </c>
      <c r="B29" s="3150" t="s">
        <v>2927</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2921</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2928</v>
      </c>
      <c r="K31" s="3231"/>
      <c r="L31" s="3231"/>
      <c r="M31" s="3231"/>
      <c r="N31" s="3231"/>
      <c r="O31" s="3231"/>
      <c r="P31" s="3231"/>
      <c r="Q31" s="3231"/>
      <c r="R31" s="3232"/>
      <c r="S31" s="3271"/>
      <c r="T31" s="3233"/>
      <c r="U31" s="3233"/>
      <c r="V31" s="3280"/>
      <c r="W31" s="3281"/>
    </row>
    <row r="32" spans="1:23" s="3187" customFormat="1" ht="13.15" customHeight="1">
      <c r="A32" s="3178">
        <v>4</v>
      </c>
      <c r="B32" s="3150" t="s">
        <v>2929</v>
      </c>
      <c r="C32" s="3179">
        <f>C23-C26-C29</f>
        <v>0</v>
      </c>
      <c r="D32" s="3180">
        <f>D23-D26-D29</f>
        <v>0</v>
      </c>
      <c r="E32" s="3181">
        <f>E23-E26-E29</f>
        <v>0</v>
      </c>
      <c r="F32" s="3182"/>
      <c r="G32" s="3273"/>
      <c r="H32" s="3235"/>
      <c r="I32" s="3236"/>
      <c r="J32" s="3604" t="s">
        <v>2930</v>
      </c>
      <c r="K32" s="3605"/>
      <c r="L32" s="3237" t="s">
        <v>2931</v>
      </c>
      <c r="M32" s="3237" t="s">
        <v>2834</v>
      </c>
      <c r="N32" s="3237" t="s">
        <v>2835</v>
      </c>
      <c r="O32" s="3237" t="s">
        <v>2836</v>
      </c>
      <c r="P32" s="3237" t="s">
        <v>2837</v>
      </c>
      <c r="Q32" s="3238" t="s">
        <v>2932</v>
      </c>
      <c r="R32" s="3300" t="s">
        <v>2933</v>
      </c>
      <c r="S32" s="3271"/>
      <c r="T32" s="3233"/>
      <c r="U32" s="3233"/>
      <c r="V32" s="3280"/>
      <c r="W32" s="3281"/>
    </row>
    <row r="33" spans="1:23" s="3141" customFormat="1" ht="13.15" customHeight="1">
      <c r="A33" s="3178"/>
      <c r="B33" s="3150"/>
      <c r="C33" s="3179"/>
      <c r="D33" s="3190"/>
      <c r="E33" s="3191"/>
      <c r="F33" s="3182"/>
      <c r="G33" s="3273"/>
      <c r="H33" s="3281"/>
      <c r="I33" s="3280"/>
      <c r="J33" s="3606" t="s">
        <v>2934</v>
      </c>
      <c r="K33" s="3607"/>
      <c r="L33" s="3240"/>
      <c r="M33" s="3240"/>
      <c r="N33" s="3240"/>
      <c r="O33" s="3240"/>
      <c r="P33" s="3240"/>
      <c r="Q33" s="3241"/>
      <c r="R33" s="3301">
        <f>SUM(L33:Q33)</f>
        <v>0</v>
      </c>
      <c r="S33" s="3271"/>
      <c r="T33" s="3233"/>
      <c r="U33" s="3233"/>
      <c r="V33" s="3236"/>
      <c r="W33" s="3235"/>
    </row>
    <row r="34" spans="1:23" s="3141" customFormat="1" ht="13.15" customHeight="1">
      <c r="A34" s="3178">
        <v>5</v>
      </c>
      <c r="B34" s="3150" t="s">
        <v>2935</v>
      </c>
      <c r="C34" s="3218"/>
      <c r="D34" s="3219"/>
      <c r="E34" s="3220"/>
      <c r="F34" s="3182"/>
      <c r="G34" s="3273"/>
      <c r="H34" s="3281"/>
      <c r="I34" s="3280"/>
      <c r="J34" s="3606" t="s">
        <v>2936</v>
      </c>
      <c r="K34" s="3607"/>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2937</v>
      </c>
      <c r="C35" s="3221"/>
      <c r="D35" s="3222"/>
      <c r="E35" s="3223"/>
      <c r="F35" s="3182"/>
      <c r="G35" s="3303"/>
      <c r="H35" s="3235"/>
      <c r="I35" s="3280"/>
      <c r="J35" s="3246" t="s">
        <v>2938</v>
      </c>
      <c r="K35" s="3247"/>
      <c r="L35" s="3247"/>
      <c r="M35" s="3248"/>
      <c r="N35" s="3248"/>
      <c r="O35" s="3248"/>
      <c r="P35" s="3248"/>
      <c r="Q35" s="3248"/>
      <c r="R35" s="3304">
        <f>R40+R41+R43</f>
        <v>0</v>
      </c>
      <c r="S35" s="3271"/>
      <c r="T35" s="3233" t="s">
        <v>2939</v>
      </c>
      <c r="U35" s="3233"/>
      <c r="V35" s="3236"/>
      <c r="W35" s="3235"/>
    </row>
    <row r="36" spans="1:23" s="3141" customFormat="1" ht="13.15" customHeight="1" thickBot="1">
      <c r="A36" s="3178">
        <v>7</v>
      </c>
      <c r="B36" s="3192" t="s">
        <v>2940</v>
      </c>
      <c r="C36" s="3224"/>
      <c r="D36" s="3225"/>
      <c r="E36" s="3226"/>
      <c r="F36" s="3193">
        <f>C36+D36+E36</f>
        <v>0</v>
      </c>
      <c r="G36" s="3273"/>
      <c r="H36" s="3235"/>
      <c r="I36" s="3236"/>
      <c r="J36" s="3611">
        <v>1</v>
      </c>
      <c r="K36" s="3612" t="s">
        <v>2941</v>
      </c>
      <c r="L36" s="3250"/>
      <c r="M36" s="3251"/>
      <c r="N36" s="3251"/>
      <c r="O36" s="3251"/>
      <c r="P36" s="3251"/>
      <c r="Q36" s="3251"/>
      <c r="R36" s="3242" t="s">
        <v>2889</v>
      </c>
      <c r="S36" s="3271"/>
      <c r="T36" s="3233" t="s">
        <v>2942</v>
      </c>
      <c r="U36" s="3233"/>
      <c r="V36" s="3236"/>
      <c r="W36" s="3235"/>
    </row>
    <row r="37" spans="1:23" s="3141" customFormat="1" ht="13.15" customHeight="1">
      <c r="A37" s="3178"/>
      <c r="B37" s="3150"/>
      <c r="C37" s="3150"/>
      <c r="D37" s="3150"/>
      <c r="E37" s="3150"/>
      <c r="F37" s="3182"/>
      <c r="G37" s="3273"/>
      <c r="H37" s="3235"/>
      <c r="I37" s="3236"/>
      <c r="J37" s="3611"/>
      <c r="K37" s="3613"/>
      <c r="L37" s="3263"/>
      <c r="M37" s="3264"/>
      <c r="N37" s="3202"/>
      <c r="O37" s="3265"/>
      <c r="P37" s="3265"/>
      <c r="Q37" s="3207"/>
      <c r="R37" s="3305"/>
      <c r="S37" s="3271"/>
      <c r="T37" s="3233" t="s">
        <v>2943</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611"/>
      <c r="K38" s="3613"/>
      <c r="L38" s="3263"/>
      <c r="M38" s="3264"/>
      <c r="N38" s="3202"/>
      <c r="O38" s="3265"/>
      <c r="P38" s="3265"/>
      <c r="Q38" s="3207"/>
      <c r="R38" s="3305"/>
      <c r="S38" s="3271"/>
      <c r="T38" s="3233" t="s">
        <v>2865</v>
      </c>
      <c r="U38" s="3233"/>
      <c r="V38" s="3236"/>
      <c r="W38" s="3235"/>
    </row>
    <row r="39" spans="1:23" s="3141" customFormat="1" ht="13.15" customHeight="1">
      <c r="A39" s="3178">
        <v>9</v>
      </c>
      <c r="B39" s="3150" t="s">
        <v>2944</v>
      </c>
      <c r="C39" s="3163" t="e">
        <f>C38</f>
        <v>#DIV/0!</v>
      </c>
      <c r="D39" s="3150">
        <f>D38/(1+D34)^C36</f>
        <v>0</v>
      </c>
      <c r="E39" s="3150">
        <f>E38/(1+E34)^(C36+D36)</f>
        <v>0</v>
      </c>
      <c r="F39" s="3182"/>
      <c r="G39" s="3306"/>
      <c r="H39" s="3235"/>
      <c r="I39" s="3236"/>
      <c r="J39" s="3611"/>
      <c r="K39" s="3613"/>
      <c r="L39" s="3263"/>
      <c r="M39" s="3264"/>
      <c r="N39" s="3202"/>
      <c r="O39" s="3265"/>
      <c r="P39" s="3265"/>
      <c r="Q39" s="3207"/>
      <c r="R39" s="3305"/>
      <c r="S39" s="3271"/>
      <c r="T39" s="3233"/>
      <c r="U39" s="3233"/>
      <c r="V39" s="3236"/>
      <c r="W39" s="3235"/>
    </row>
    <row r="40" spans="1:23" s="3141" customFormat="1" ht="13.15" customHeight="1">
      <c r="A40" s="3194">
        <v>10</v>
      </c>
      <c r="B40" s="3150" t="s">
        <v>2945</v>
      </c>
      <c r="C40" s="3195" t="e">
        <f>C39+D39+E39</f>
        <v>#DIV/0!</v>
      </c>
      <c r="D40" s="3196"/>
      <c r="E40" s="3196"/>
      <c r="F40" s="3197"/>
      <c r="G40" s="3273"/>
      <c r="H40" s="3235"/>
      <c r="I40" s="3236"/>
      <c r="J40" s="3611"/>
      <c r="K40" s="3614"/>
      <c r="L40" s="3259" t="s">
        <v>2946</v>
      </c>
      <c r="M40" s="3260"/>
      <c r="N40" s="3260"/>
      <c r="O40" s="3261"/>
      <c r="P40" s="3261"/>
      <c r="Q40" s="3262"/>
      <c r="R40" s="3239">
        <f>SUM(R37:R39)</f>
        <v>0</v>
      </c>
      <c r="S40" s="3271"/>
      <c r="T40" s="3233"/>
      <c r="U40" s="3233"/>
      <c r="V40" s="3236"/>
      <c r="W40" s="3235"/>
    </row>
    <row r="41" spans="1:23" s="3141" customFormat="1" ht="13.15" customHeight="1" thickBot="1">
      <c r="A41" s="3198">
        <v>11</v>
      </c>
      <c r="B41" s="3199" t="s">
        <v>2947</v>
      </c>
      <c r="C41" s="3199" t="e">
        <f>ROUND(C40*10000/B4,0)</f>
        <v>#DIV/0!</v>
      </c>
      <c r="D41" s="3200"/>
      <c r="E41" s="3200"/>
      <c r="F41" s="3201"/>
      <c r="G41" s="3307"/>
      <c r="H41" s="3235"/>
      <c r="I41" s="3236"/>
      <c r="J41" s="3275">
        <v>2</v>
      </c>
      <c r="K41" s="3276" t="s">
        <v>2948</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621">
        <v>3</v>
      </c>
      <c r="K42" s="3282" t="s">
        <v>2949</v>
      </c>
      <c r="L42" s="3283"/>
      <c r="M42" s="3284"/>
      <c r="N42" s="3285" t="s">
        <v>2950</v>
      </c>
      <c r="O42" s="3285" t="s">
        <v>2951</v>
      </c>
      <c r="P42" s="3286" t="s">
        <v>2952</v>
      </c>
      <c r="Q42" s="3286" t="s">
        <v>2953</v>
      </c>
      <c r="R42" s="3242" t="s">
        <v>2856</v>
      </c>
      <c r="S42" s="3287"/>
      <c r="T42" s="3287"/>
      <c r="U42" s="3233"/>
      <c r="V42" s="3236"/>
      <c r="W42" s="3235"/>
    </row>
    <row r="43" spans="1:23" ht="13.15" customHeight="1">
      <c r="A43" s="3141"/>
      <c r="B43" s="3141"/>
      <c r="C43" s="3141"/>
      <c r="D43" s="3141"/>
      <c r="E43" s="3141"/>
      <c r="F43" s="3141"/>
      <c r="I43" s="3228"/>
      <c r="J43" s="3622"/>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2954</v>
      </c>
      <c r="L44" s="3310" t="s">
        <v>2955</v>
      </c>
      <c r="M44" s="3296"/>
      <c r="N44" s="3310" t="s">
        <v>2956</v>
      </c>
      <c r="O44" s="3296"/>
      <c r="P44" s="3310" t="s">
        <v>2957</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L23" sqref="L23"/>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2182</v>
      </c>
      <c r="C1" s="1607"/>
      <c r="D1" s="1608"/>
      <c r="E1" s="1609" t="s">
        <v>1167</v>
      </c>
      <c r="F1" s="1610" t="s">
        <v>2183</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2184</v>
      </c>
      <c r="D3" s="1628">
        <f>IF(C1="仅计算典型户型",'数据-取费表'!E5,'数据-取费表'!B5)</f>
        <v>718.89</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2185</v>
      </c>
      <c r="B4" s="1632"/>
      <c r="C4" s="3583" t="s">
        <v>2186</v>
      </c>
      <c r="D4" s="3584"/>
      <c r="E4" s="3585" t="s">
        <v>2187</v>
      </c>
      <c r="F4" s="3586"/>
      <c r="G4" s="3583" t="s">
        <v>2188</v>
      </c>
      <c r="H4" s="3584"/>
      <c r="I4" s="3583" t="s">
        <v>2189</v>
      </c>
      <c r="J4" s="3584"/>
      <c r="K4" s="1633" t="s">
        <v>2190</v>
      </c>
      <c r="L4" s="2964"/>
      <c r="M4" s="2965"/>
      <c r="N4" s="2965"/>
      <c r="O4" s="2965"/>
      <c r="P4" s="3587" t="s">
        <v>2191</v>
      </c>
      <c r="Q4" s="3588"/>
      <c r="R4" s="3571" t="s">
        <v>2187</v>
      </c>
      <c r="S4" s="3572"/>
      <c r="T4" s="3571" t="s">
        <v>2188</v>
      </c>
      <c r="U4" s="3572"/>
      <c r="V4" s="3593" t="s">
        <v>2189</v>
      </c>
      <c r="W4" s="3593"/>
      <c r="X4" s="1634"/>
      <c r="Y4" s="3571" t="s">
        <v>2191</v>
      </c>
      <c r="Z4" s="3572"/>
      <c r="AA4" s="3580" t="s">
        <v>2187</v>
      </c>
      <c r="AB4" s="3580" t="s">
        <v>2188</v>
      </c>
      <c r="AC4" s="3580" t="s">
        <v>2189</v>
      </c>
    </row>
    <row r="5" spans="1:29" ht="15">
      <c r="A5" s="1636"/>
      <c r="B5" s="1637"/>
      <c r="C5" s="3596" t="s">
        <v>2192</v>
      </c>
      <c r="D5" s="3597"/>
      <c r="E5" s="3594" t="s">
        <v>2193</v>
      </c>
      <c r="F5" s="3595"/>
      <c r="G5" s="3596" t="s">
        <v>2194</v>
      </c>
      <c r="H5" s="3597"/>
      <c r="I5" s="3596" t="s">
        <v>2195</v>
      </c>
      <c r="J5" s="3597"/>
      <c r="K5" s="1638"/>
      <c r="L5" s="2964"/>
      <c r="M5" s="2965"/>
      <c r="N5" s="2965"/>
      <c r="O5" s="2965"/>
      <c r="P5" s="3589"/>
      <c r="Q5" s="3590"/>
      <c r="R5" s="3573"/>
      <c r="S5" s="3574"/>
      <c r="T5" s="3573"/>
      <c r="U5" s="3574"/>
      <c r="V5" s="3593"/>
      <c r="W5" s="3593"/>
      <c r="X5" s="1634"/>
      <c r="Y5" s="3573"/>
      <c r="Z5" s="3574"/>
      <c r="AA5" s="3581"/>
      <c r="AB5" s="3581"/>
      <c r="AC5" s="3581"/>
    </row>
    <row r="6" spans="1:29" ht="15.75" thickBot="1">
      <c r="A6" s="1639"/>
      <c r="B6" s="1640"/>
      <c r="C6" s="3598" t="s">
        <v>2196</v>
      </c>
      <c r="D6" s="3599"/>
      <c r="E6" s="3600" t="s">
        <v>2196</v>
      </c>
      <c r="F6" s="3601"/>
      <c r="G6" s="3598" t="s">
        <v>2196</v>
      </c>
      <c r="H6" s="3599"/>
      <c r="I6" s="3598" t="s">
        <v>2196</v>
      </c>
      <c r="J6" s="3599"/>
      <c r="K6" s="1638" t="s">
        <v>2197</v>
      </c>
      <c r="L6" s="2964"/>
      <c r="M6" s="2965"/>
      <c r="N6" s="2965"/>
      <c r="O6" s="2965"/>
      <c r="P6" s="3591"/>
      <c r="Q6" s="3592"/>
      <c r="R6" s="3573"/>
      <c r="S6" s="3574"/>
      <c r="T6" s="3575"/>
      <c r="U6" s="3576"/>
      <c r="V6" s="3593"/>
      <c r="W6" s="3593"/>
      <c r="X6" s="1634"/>
      <c r="Y6" s="3575"/>
      <c r="Z6" s="3576"/>
      <c r="AA6" s="3582"/>
      <c r="AB6" s="3582"/>
      <c r="AC6" s="3582"/>
    </row>
    <row r="7" spans="1:29" s="1653" customFormat="1" ht="15.75" thickBot="1">
      <c r="A7" s="1641" t="s">
        <v>2198</v>
      </c>
      <c r="B7" s="1642"/>
      <c r="C7" s="1643">
        <f>'数据-取费表'!B2</f>
        <v>44664</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569" t="s">
        <v>2199</v>
      </c>
      <c r="Q7" s="3577"/>
      <c r="R7" s="1649" t="s">
        <v>34</v>
      </c>
      <c r="S7" s="1650">
        <f t="shared" ref="S7:S15" si="0">F7</f>
        <v>0</v>
      </c>
      <c r="T7" s="1649" t="s">
        <v>34</v>
      </c>
      <c r="U7" s="1650">
        <f t="shared" ref="U7:U15" si="1">H7</f>
        <v>0</v>
      </c>
      <c r="V7" s="1649" t="s">
        <v>34</v>
      </c>
      <c r="W7" s="1650">
        <f t="shared" ref="W7:W15" si="2">J7</f>
        <v>0</v>
      </c>
      <c r="X7" s="1651"/>
      <c r="Y7" s="3569" t="s">
        <v>2199</v>
      </c>
      <c r="Z7" s="3570"/>
      <c r="AA7" s="1652" t="e">
        <f>D7/F7</f>
        <v>#DIV/0!</v>
      </c>
      <c r="AB7" s="1652" t="e">
        <f>D7/H7</f>
        <v>#DIV/0!</v>
      </c>
      <c r="AC7" s="1652" t="e">
        <f>D7/J7</f>
        <v>#DIV/0!</v>
      </c>
    </row>
    <row r="8" spans="1:29" s="1653" customFormat="1" ht="15.75" thickBot="1">
      <c r="A8" s="1641" t="s">
        <v>2200</v>
      </c>
      <c r="B8" s="1642"/>
      <c r="C8" s="1654" t="s">
        <v>2201</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569" t="s">
        <v>2202</v>
      </c>
      <c r="Q8" s="3570"/>
      <c r="R8" s="1649" t="s">
        <v>34</v>
      </c>
      <c r="S8" s="1650">
        <f t="shared" si="0"/>
        <v>0</v>
      </c>
      <c r="T8" s="1649" t="s">
        <v>34</v>
      </c>
      <c r="U8" s="1650">
        <f t="shared" si="1"/>
        <v>0</v>
      </c>
      <c r="V8" s="1649" t="s">
        <v>34</v>
      </c>
      <c r="W8" s="1650">
        <f t="shared" si="2"/>
        <v>0</v>
      </c>
      <c r="X8" s="1651"/>
      <c r="Y8" s="3569" t="s">
        <v>2202</v>
      </c>
      <c r="Z8" s="3570"/>
      <c r="AA8" s="1652" t="e">
        <f t="shared" ref="AA8:AA46" si="3">D8/F8</f>
        <v>#DIV/0!</v>
      </c>
      <c r="AB8" s="1652" t="e">
        <f t="shared" ref="AB8:AB46" si="4">D8/H8</f>
        <v>#DIV/0!</v>
      </c>
      <c r="AC8" s="1652" t="e">
        <f t="shared" ref="AC8:AC46" si="5">D8/J8</f>
        <v>#DIV/0!</v>
      </c>
    </row>
    <row r="9" spans="1:29" s="1653" customFormat="1">
      <c r="A9" s="1604" t="s">
        <v>2203</v>
      </c>
      <c r="B9" s="1656" t="s">
        <v>2204</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30" t="s">
        <v>2205</v>
      </c>
      <c r="Q9" s="1603" t="str">
        <f t="shared" ref="Q9:Q15" si="6">B9</f>
        <v>用途</v>
      </c>
      <c r="R9" s="1649" t="s">
        <v>25</v>
      </c>
      <c r="S9" s="1650">
        <f t="shared" si="0"/>
        <v>100</v>
      </c>
      <c r="T9" s="1649" t="s">
        <v>25</v>
      </c>
      <c r="U9" s="1650">
        <f t="shared" si="1"/>
        <v>100</v>
      </c>
      <c r="V9" s="1649" t="s">
        <v>25</v>
      </c>
      <c r="W9" s="1650">
        <f t="shared" si="2"/>
        <v>100</v>
      </c>
      <c r="X9" s="1651"/>
      <c r="Y9" s="3454"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30"/>
      <c r="Q10" s="1603"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2208</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30"/>
      <c r="Q11" s="1603" t="str">
        <f t="shared" si="6"/>
        <v>容积率</v>
      </c>
      <c r="R11" s="1649" t="s">
        <v>28</v>
      </c>
      <c r="S11" s="1650" t="e">
        <f t="shared" si="0"/>
        <v>#N/A</v>
      </c>
      <c r="T11" s="1649" t="s">
        <v>28</v>
      </c>
      <c r="U11" s="1650" t="e">
        <f t="shared" si="1"/>
        <v>#N/A</v>
      </c>
      <c r="V11" s="1649" t="s">
        <v>28</v>
      </c>
      <c r="W11" s="1650" t="e">
        <f t="shared" si="2"/>
        <v>#N/A</v>
      </c>
      <c r="X11" s="1651"/>
      <c r="Y11" s="3454"/>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30"/>
      <c r="Q12" s="1603">
        <f t="shared" si="6"/>
        <v>111</v>
      </c>
      <c r="R12" s="1649" t="s">
        <v>28</v>
      </c>
      <c r="S12" s="1650">
        <f t="shared" si="0"/>
        <v>100</v>
      </c>
      <c r="T12" s="1649" t="s">
        <v>28</v>
      </c>
      <c r="U12" s="1650">
        <f t="shared" si="1"/>
        <v>100</v>
      </c>
      <c r="V12" s="1649" t="s">
        <v>28</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30"/>
      <c r="Q13" s="1603">
        <f t="shared" si="6"/>
        <v>111</v>
      </c>
      <c r="R13" s="1649" t="s">
        <v>28</v>
      </c>
      <c r="S13" s="1650">
        <f t="shared" si="0"/>
        <v>100</v>
      </c>
      <c r="T13" s="1649" t="s">
        <v>28</v>
      </c>
      <c r="U13" s="1650">
        <f t="shared" si="1"/>
        <v>100</v>
      </c>
      <c r="V13" s="1649" t="s">
        <v>28</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30"/>
      <c r="Q14" s="1603">
        <f t="shared" si="6"/>
        <v>111</v>
      </c>
      <c r="R14" s="1649" t="s">
        <v>28</v>
      </c>
      <c r="S14" s="1650">
        <f t="shared" si="0"/>
        <v>100</v>
      </c>
      <c r="T14" s="1649" t="s">
        <v>28</v>
      </c>
      <c r="U14" s="1650">
        <f t="shared" si="1"/>
        <v>100</v>
      </c>
      <c r="V14" s="1649" t="s">
        <v>28</v>
      </c>
      <c r="W14" s="1650">
        <f t="shared" si="2"/>
        <v>100</v>
      </c>
      <c r="X14" s="1651"/>
      <c r="Y14" s="3454"/>
      <c r="Z14" s="1662">
        <f t="shared" si="7"/>
        <v>111</v>
      </c>
      <c r="AA14" s="1652">
        <f t="shared" si="3"/>
        <v>1</v>
      </c>
      <c r="AB14" s="1652">
        <f t="shared" si="4"/>
        <v>1</v>
      </c>
      <c r="AC14" s="1652">
        <f t="shared" si="5"/>
        <v>1</v>
      </c>
    </row>
    <row r="15" spans="1:29" ht="15">
      <c r="A15" s="1686" t="s">
        <v>2209</v>
      </c>
      <c r="B15" s="1687" t="s">
        <v>1646</v>
      </c>
      <c r="C15" s="1688">
        <f>估价对象房地状况!C3</f>
        <v>0</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25" t="s">
        <v>2210</v>
      </c>
      <c r="Q15" s="1584" t="str">
        <f t="shared" si="6"/>
        <v>居住社区成熟度</v>
      </c>
      <c r="R15" s="1694" t="s">
        <v>28</v>
      </c>
      <c r="S15" s="1695">
        <f t="shared" si="0"/>
        <v>100</v>
      </c>
      <c r="T15" s="1694" t="s">
        <v>28</v>
      </c>
      <c r="U15" s="1695">
        <f t="shared" si="1"/>
        <v>100</v>
      </c>
      <c r="V15" s="1694" t="s">
        <v>28</v>
      </c>
      <c r="W15" s="1695">
        <f t="shared" si="2"/>
        <v>100</v>
      </c>
      <c r="X15" s="1634"/>
      <c r="Y15" s="3578" t="s">
        <v>2210</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26"/>
      <c r="Q16" s="1584"/>
      <c r="R16" s="1694"/>
      <c r="S16" s="1695"/>
      <c r="T16" s="1694"/>
      <c r="U16" s="1695"/>
      <c r="V16" s="1694"/>
      <c r="W16" s="1695"/>
      <c r="X16" s="1634"/>
      <c r="Y16" s="3579"/>
      <c r="Z16" s="1696"/>
      <c r="AA16" s="1697">
        <v>1</v>
      </c>
      <c r="AB16" s="1697">
        <v>1</v>
      </c>
      <c r="AC16" s="1697">
        <v>1</v>
      </c>
    </row>
    <row r="17" spans="1:29" ht="15">
      <c r="A17" s="1671"/>
      <c r="B17" s="1706" t="s">
        <v>1648</v>
      </c>
      <c r="C17" s="1707" t="str">
        <f>估价对象房地状况!C6</f>
        <v>一般</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26"/>
      <c r="Q17" s="1584" t="str">
        <f>B17</f>
        <v>交通便捷度</v>
      </c>
      <c r="R17" s="1694" t="s">
        <v>28</v>
      </c>
      <c r="S17" s="1695">
        <f>F17</f>
        <v>100</v>
      </c>
      <c r="T17" s="1694" t="s">
        <v>28</v>
      </c>
      <c r="U17" s="1695">
        <f>H17</f>
        <v>100</v>
      </c>
      <c r="V17" s="1694" t="s">
        <v>28</v>
      </c>
      <c r="W17" s="1695">
        <f>J17</f>
        <v>100</v>
      </c>
      <c r="X17" s="1634"/>
      <c r="Y17" s="3579"/>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26"/>
      <c r="Q18" s="1584"/>
      <c r="R18" s="1694"/>
      <c r="S18" s="1695"/>
      <c r="T18" s="1694"/>
      <c r="U18" s="1695"/>
      <c r="V18" s="1694"/>
      <c r="W18" s="1695"/>
      <c r="X18" s="1634"/>
      <c r="Y18" s="3579"/>
      <c r="Z18" s="1696"/>
      <c r="AA18" s="1697">
        <v>1</v>
      </c>
      <c r="AB18" s="1697">
        <v>1</v>
      </c>
      <c r="AC18" s="1697">
        <v>1</v>
      </c>
    </row>
    <row r="19" spans="1:29" ht="15">
      <c r="A19" s="1671"/>
      <c r="B19" s="1706" t="s">
        <v>1647</v>
      </c>
      <c r="C19" s="1707" t="str">
        <f>估价对象房地状况!C7</f>
        <v>较好</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26"/>
      <c r="Q19" s="1584" t="str">
        <f>B19</f>
        <v>公共配套设施</v>
      </c>
      <c r="R19" s="1694" t="s">
        <v>28</v>
      </c>
      <c r="S19" s="1695">
        <f>F19</f>
        <v>100</v>
      </c>
      <c r="T19" s="1694" t="s">
        <v>28</v>
      </c>
      <c r="U19" s="1695">
        <f>H19</f>
        <v>100</v>
      </c>
      <c r="V19" s="1694" t="s">
        <v>28</v>
      </c>
      <c r="W19" s="1695">
        <f>J19</f>
        <v>100</v>
      </c>
      <c r="X19" s="1634"/>
      <c r="Y19" s="3579"/>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26"/>
      <c r="Q20" s="1584"/>
      <c r="R20" s="1694"/>
      <c r="S20" s="1695"/>
      <c r="T20" s="1694"/>
      <c r="U20" s="1695"/>
      <c r="V20" s="1694"/>
      <c r="W20" s="1695"/>
      <c r="X20" s="1634"/>
      <c r="Y20" s="3579"/>
      <c r="Z20" s="1696"/>
      <c r="AA20" s="1697">
        <v>1</v>
      </c>
      <c r="AB20" s="1697">
        <v>1</v>
      </c>
      <c r="AC20" s="1697">
        <v>1</v>
      </c>
    </row>
    <row r="21" spans="1:29" ht="15">
      <c r="A21" s="1671"/>
      <c r="B21" s="1719" t="s">
        <v>1649</v>
      </c>
      <c r="C21" s="1707" t="str">
        <f>估价对象房地状况!C8</f>
        <v>七通</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26"/>
      <c r="Q21" s="1584" t="str">
        <f>B21</f>
        <v>基础设施水平</v>
      </c>
      <c r="R21" s="1694" t="s">
        <v>28</v>
      </c>
      <c r="S21" s="1695">
        <f>F21</f>
        <v>100</v>
      </c>
      <c r="T21" s="1694" t="s">
        <v>28</v>
      </c>
      <c r="U21" s="1695">
        <f>H21</f>
        <v>100</v>
      </c>
      <c r="V21" s="1694" t="s">
        <v>28</v>
      </c>
      <c r="W21" s="1695">
        <f>J21</f>
        <v>100</v>
      </c>
      <c r="X21" s="1634"/>
      <c r="Y21" s="3579"/>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26"/>
      <c r="Q22" s="1584"/>
      <c r="R22" s="1694"/>
      <c r="S22" s="1695"/>
      <c r="T22" s="1694"/>
      <c r="U22" s="1695"/>
      <c r="V22" s="1694"/>
      <c r="W22" s="1695"/>
      <c r="X22" s="1634"/>
      <c r="Y22" s="3579"/>
      <c r="Z22" s="1696"/>
      <c r="AA22" s="1697">
        <v>1</v>
      </c>
      <c r="AB22" s="1697">
        <v>1</v>
      </c>
      <c r="AC22" s="1697">
        <v>1</v>
      </c>
    </row>
    <row r="23" spans="1:29" ht="15">
      <c r="A23" s="1671"/>
      <c r="B23" s="1706" t="s">
        <v>1650</v>
      </c>
      <c r="C23" s="1707" t="str">
        <f>估价对象房地状况!C9</f>
        <v>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26"/>
      <c r="Q23" s="1584" t="str">
        <f>B23</f>
        <v>自然及人文环境</v>
      </c>
      <c r="R23" s="1694" t="s">
        <v>28</v>
      </c>
      <c r="S23" s="1695">
        <f>F23</f>
        <v>100</v>
      </c>
      <c r="T23" s="1694" t="s">
        <v>28</v>
      </c>
      <c r="U23" s="1695">
        <f>H23</f>
        <v>100</v>
      </c>
      <c r="V23" s="1694" t="s">
        <v>28</v>
      </c>
      <c r="W23" s="1695">
        <f>J23</f>
        <v>100</v>
      </c>
      <c r="X23" s="1634"/>
      <c r="Y23" s="3579"/>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26"/>
      <c r="Q24" s="1584"/>
      <c r="R24" s="1694"/>
      <c r="S24" s="1695"/>
      <c r="T24" s="1694"/>
      <c r="U24" s="1695"/>
      <c r="V24" s="1694"/>
      <c r="W24" s="1695"/>
      <c r="X24" s="1634"/>
      <c r="Y24" s="3579"/>
      <c r="Z24" s="1696"/>
      <c r="AA24" s="1697">
        <v>1</v>
      </c>
      <c r="AB24" s="1697">
        <v>1</v>
      </c>
      <c r="AC24" s="1697">
        <v>1</v>
      </c>
    </row>
    <row r="25" spans="1:29" ht="15">
      <c r="A25" s="1671"/>
      <c r="B25" s="1664" t="s">
        <v>2211</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26"/>
      <c r="Q25" s="1584" t="str">
        <f t="shared" ref="Q25:Q46" si="11">B25</f>
        <v>楼层-1</v>
      </c>
      <c r="R25" s="1694" t="s">
        <v>28</v>
      </c>
      <c r="S25" s="1695">
        <f>F25</f>
        <v>100</v>
      </c>
      <c r="T25" s="1694" t="s">
        <v>28</v>
      </c>
      <c r="U25" s="1695">
        <f>H25</f>
        <v>100</v>
      </c>
      <c r="V25" s="1694" t="s">
        <v>28</v>
      </c>
      <c r="W25" s="1695">
        <f>J25</f>
        <v>100</v>
      </c>
      <c r="X25" s="1634"/>
      <c r="Y25" s="3579"/>
      <c r="Z25" s="1696" t="str">
        <f>Q25</f>
        <v>楼层-1</v>
      </c>
      <c r="AA25" s="1697">
        <f t="shared" si="3"/>
        <v>1</v>
      </c>
      <c r="AB25" s="1697">
        <f t="shared" si="4"/>
        <v>1</v>
      </c>
      <c r="AC25" s="1697">
        <f t="shared" si="5"/>
        <v>1</v>
      </c>
    </row>
    <row r="26" spans="1:29" ht="15">
      <c r="A26" s="1671"/>
      <c r="B26" s="1664" t="s">
        <v>2212</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26"/>
      <c r="Q26" s="1584" t="str">
        <f t="shared" si="11"/>
        <v>朝向</v>
      </c>
      <c r="R26" s="1694" t="s">
        <v>28</v>
      </c>
      <c r="S26" s="1695">
        <f>F26</f>
        <v>100</v>
      </c>
      <c r="T26" s="1694" t="s">
        <v>28</v>
      </c>
      <c r="U26" s="1695">
        <f>H26</f>
        <v>100</v>
      </c>
      <c r="V26" s="1694" t="s">
        <v>28</v>
      </c>
      <c r="W26" s="1695">
        <f>J26</f>
        <v>100</v>
      </c>
      <c r="X26" s="1634"/>
      <c r="Y26" s="3579"/>
      <c r="Z26" s="1696" t="str">
        <f>Q26</f>
        <v>朝向</v>
      </c>
      <c r="AA26" s="1697">
        <f t="shared" si="3"/>
        <v>1</v>
      </c>
      <c r="AB26" s="1697">
        <f t="shared" si="4"/>
        <v>1</v>
      </c>
      <c r="AC26" s="1697">
        <f t="shared" si="5"/>
        <v>1</v>
      </c>
    </row>
    <row r="27" spans="1:29" s="1653" customFormat="1" ht="15">
      <c r="A27" s="1674"/>
      <c r="B27" s="1675" t="s">
        <v>2213</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26"/>
      <c r="Q27" s="1603" t="str">
        <f t="shared" si="11"/>
        <v>道路级别</v>
      </c>
      <c r="R27" s="1649" t="s">
        <v>28</v>
      </c>
      <c r="S27" s="1650">
        <f>F27</f>
        <v>100</v>
      </c>
      <c r="T27" s="1649" t="s">
        <v>28</v>
      </c>
      <c r="U27" s="1650">
        <f>H27</f>
        <v>100</v>
      </c>
      <c r="V27" s="1649" t="s">
        <v>28</v>
      </c>
      <c r="W27" s="1650">
        <f>J27</f>
        <v>100</v>
      </c>
      <c r="X27" s="1651"/>
      <c r="Y27" s="3579"/>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26"/>
      <c r="Q28" s="1584">
        <f t="shared" si="11"/>
        <v>111</v>
      </c>
      <c r="R28" s="1694" t="s">
        <v>28</v>
      </c>
      <c r="S28" s="1695">
        <f t="shared" ref="S28:S46" si="12">F28</f>
        <v>100</v>
      </c>
      <c r="T28" s="1694" t="s">
        <v>28</v>
      </c>
      <c r="U28" s="1695">
        <f t="shared" ref="U28:U46" si="13">H28</f>
        <v>100</v>
      </c>
      <c r="V28" s="1694" t="s">
        <v>28</v>
      </c>
      <c r="W28" s="1695">
        <f t="shared" ref="W28:W46" si="14">J28</f>
        <v>100</v>
      </c>
      <c r="X28" s="1634"/>
      <c r="Y28" s="3579"/>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26"/>
      <c r="Q29" s="1584">
        <f t="shared" si="11"/>
        <v>111</v>
      </c>
      <c r="R29" s="1694" t="s">
        <v>28</v>
      </c>
      <c r="S29" s="1695">
        <f t="shared" si="12"/>
        <v>100</v>
      </c>
      <c r="T29" s="1694" t="s">
        <v>28</v>
      </c>
      <c r="U29" s="1695">
        <f t="shared" si="13"/>
        <v>100</v>
      </c>
      <c r="V29" s="1694" t="s">
        <v>28</v>
      </c>
      <c r="W29" s="1695">
        <f t="shared" si="14"/>
        <v>100</v>
      </c>
      <c r="X29" s="1634"/>
      <c r="Y29" s="3579"/>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26"/>
      <c r="Q30" s="1584">
        <f t="shared" si="11"/>
        <v>111</v>
      </c>
      <c r="R30" s="1694" t="s">
        <v>28</v>
      </c>
      <c r="S30" s="1695">
        <f t="shared" si="12"/>
        <v>100</v>
      </c>
      <c r="T30" s="1694" t="s">
        <v>28</v>
      </c>
      <c r="U30" s="1695">
        <f t="shared" si="13"/>
        <v>100</v>
      </c>
      <c r="V30" s="1694" t="s">
        <v>28</v>
      </c>
      <c r="W30" s="1695">
        <f t="shared" si="14"/>
        <v>100</v>
      </c>
      <c r="X30" s="1634"/>
      <c r="Y30" s="3579"/>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26"/>
      <c r="Q31" s="1584">
        <f t="shared" si="11"/>
        <v>111</v>
      </c>
      <c r="R31" s="1694" t="s">
        <v>28</v>
      </c>
      <c r="S31" s="1695">
        <f t="shared" si="12"/>
        <v>100</v>
      </c>
      <c r="T31" s="1694" t="s">
        <v>28</v>
      </c>
      <c r="U31" s="1695">
        <f t="shared" si="13"/>
        <v>100</v>
      </c>
      <c r="V31" s="1694" t="s">
        <v>28</v>
      </c>
      <c r="W31" s="1695">
        <f t="shared" si="14"/>
        <v>100</v>
      </c>
      <c r="X31" s="1634"/>
      <c r="Y31" s="3579"/>
      <c r="Z31" s="1696">
        <f t="shared" si="15"/>
        <v>111</v>
      </c>
      <c r="AA31" s="1697">
        <f t="shared" si="3"/>
        <v>1</v>
      </c>
      <c r="AB31" s="1697">
        <f t="shared" si="4"/>
        <v>1</v>
      </c>
      <c r="AC31" s="1697">
        <f t="shared" si="5"/>
        <v>1</v>
      </c>
    </row>
    <row r="32" spans="1:29" ht="15">
      <c r="A32" s="1686" t="s">
        <v>2214</v>
      </c>
      <c r="B32" s="1656" t="s">
        <v>2215</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27" t="s">
        <v>2216</v>
      </c>
      <c r="Q32" s="1584" t="str">
        <f t="shared" si="11"/>
        <v>建筑类型</v>
      </c>
      <c r="R32" s="1694" t="s">
        <v>28</v>
      </c>
      <c r="S32" s="1695">
        <f t="shared" si="12"/>
        <v>100</v>
      </c>
      <c r="T32" s="1694" t="s">
        <v>28</v>
      </c>
      <c r="U32" s="1695">
        <f t="shared" si="13"/>
        <v>100</v>
      </c>
      <c r="V32" s="1694" t="s">
        <v>28</v>
      </c>
      <c r="W32" s="1695">
        <f t="shared" si="14"/>
        <v>100</v>
      </c>
      <c r="X32" s="1634"/>
      <c r="Y32" s="3567" t="s">
        <v>2216</v>
      </c>
      <c r="Z32" s="1696" t="str">
        <f t="shared" si="15"/>
        <v>建筑类型</v>
      </c>
      <c r="AA32" s="1697">
        <f t="shared" si="3"/>
        <v>1</v>
      </c>
      <c r="AB32" s="1697">
        <f t="shared" si="4"/>
        <v>1</v>
      </c>
      <c r="AC32" s="1697">
        <f t="shared" si="5"/>
        <v>1</v>
      </c>
    </row>
    <row r="33" spans="1:29" s="1740" customFormat="1" ht="15">
      <c r="A33" s="1733"/>
      <c r="B33" s="1664" t="s">
        <v>2217</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28"/>
      <c r="Q33" s="1735" t="str">
        <f t="shared" si="11"/>
        <v>项目建筑规模</v>
      </c>
      <c r="R33" s="1736" t="s">
        <v>28</v>
      </c>
      <c r="S33" s="1737" t="e">
        <f t="shared" si="12"/>
        <v>#N/A</v>
      </c>
      <c r="T33" s="1736" t="s">
        <v>28</v>
      </c>
      <c r="U33" s="1737" t="e">
        <f t="shared" si="13"/>
        <v>#N/A</v>
      </c>
      <c r="V33" s="1736" t="s">
        <v>28</v>
      </c>
      <c r="W33" s="1737" t="e">
        <f t="shared" si="14"/>
        <v>#N/A</v>
      </c>
      <c r="X33" s="1738"/>
      <c r="Y33" s="3567"/>
      <c r="Z33" s="1739" t="str">
        <f t="shared" si="15"/>
        <v>项目建筑规模</v>
      </c>
      <c r="AA33" s="1697" t="e">
        <f t="shared" si="3"/>
        <v>#N/A</v>
      </c>
      <c r="AB33" s="1697" t="e">
        <f t="shared" si="4"/>
        <v>#N/A</v>
      </c>
      <c r="AC33" s="1697" t="e">
        <f t="shared" si="5"/>
        <v>#N/A</v>
      </c>
    </row>
    <row r="34" spans="1:29" ht="15">
      <c r="A34" s="1741"/>
      <c r="B34" s="1664" t="s">
        <v>2218</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28"/>
      <c r="Q34" s="1584" t="str">
        <f t="shared" si="11"/>
        <v>建筑结构</v>
      </c>
      <c r="R34" s="1694" t="s">
        <v>28</v>
      </c>
      <c r="S34" s="1695">
        <f t="shared" si="12"/>
        <v>100</v>
      </c>
      <c r="T34" s="1694" t="s">
        <v>28</v>
      </c>
      <c r="U34" s="1695">
        <f t="shared" si="13"/>
        <v>100</v>
      </c>
      <c r="V34" s="1694" t="s">
        <v>28</v>
      </c>
      <c r="W34" s="1695">
        <f t="shared" si="14"/>
        <v>100</v>
      </c>
      <c r="X34" s="1634"/>
      <c r="Y34" s="3567"/>
      <c r="Z34" s="1696" t="str">
        <f t="shared" si="15"/>
        <v>建筑结构</v>
      </c>
      <c r="AA34" s="1697">
        <f t="shared" si="3"/>
        <v>1</v>
      </c>
      <c r="AB34" s="1697">
        <f t="shared" si="4"/>
        <v>1</v>
      </c>
      <c r="AC34" s="1697">
        <f t="shared" si="5"/>
        <v>1</v>
      </c>
    </row>
    <row r="35" spans="1:29" ht="15">
      <c r="A35" s="1741"/>
      <c r="B35" s="1664" t="s">
        <v>2219</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28"/>
      <c r="Q35" s="1584" t="str">
        <f t="shared" si="11"/>
        <v>建筑品质</v>
      </c>
      <c r="R35" s="1694" t="s">
        <v>28</v>
      </c>
      <c r="S35" s="1695">
        <f t="shared" si="12"/>
        <v>100</v>
      </c>
      <c r="T35" s="1694" t="s">
        <v>28</v>
      </c>
      <c r="U35" s="1695">
        <f t="shared" si="13"/>
        <v>100</v>
      </c>
      <c r="V35" s="1694" t="s">
        <v>28</v>
      </c>
      <c r="W35" s="1695">
        <f t="shared" si="14"/>
        <v>100</v>
      </c>
      <c r="X35" s="1634"/>
      <c r="Y35" s="3567"/>
      <c r="Z35" s="1696" t="str">
        <f t="shared" si="15"/>
        <v>建筑品质</v>
      </c>
      <c r="AA35" s="1697">
        <f t="shared" si="3"/>
        <v>1</v>
      </c>
      <c r="AB35" s="1697">
        <f t="shared" si="4"/>
        <v>1</v>
      </c>
      <c r="AC35" s="1697">
        <f t="shared" si="5"/>
        <v>1</v>
      </c>
    </row>
    <row r="36" spans="1:29" ht="15">
      <c r="A36" s="1741"/>
      <c r="B36" s="1664" t="s">
        <v>2220</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28"/>
      <c r="Q36" s="1584" t="str">
        <f t="shared" si="11"/>
        <v>公共部分装修</v>
      </c>
      <c r="R36" s="1694" t="s">
        <v>28</v>
      </c>
      <c r="S36" s="1695">
        <f t="shared" si="12"/>
        <v>100</v>
      </c>
      <c r="T36" s="1694" t="s">
        <v>28</v>
      </c>
      <c r="U36" s="1695">
        <f t="shared" si="13"/>
        <v>100</v>
      </c>
      <c r="V36" s="1694" t="s">
        <v>28</v>
      </c>
      <c r="W36" s="1695">
        <f t="shared" si="14"/>
        <v>100</v>
      </c>
      <c r="X36" s="1634"/>
      <c r="Y36" s="3567"/>
      <c r="Z36" s="1696" t="str">
        <f t="shared" si="15"/>
        <v>公共部分装修</v>
      </c>
      <c r="AA36" s="1697">
        <f t="shared" si="3"/>
        <v>1</v>
      </c>
      <c r="AB36" s="1697">
        <f t="shared" si="4"/>
        <v>1</v>
      </c>
      <c r="AC36" s="1697">
        <f t="shared" si="5"/>
        <v>1</v>
      </c>
    </row>
    <row r="37" spans="1:29" s="1653" customFormat="1" ht="15">
      <c r="A37" s="1744"/>
      <c r="B37" s="1664" t="s">
        <v>2221</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28"/>
      <c r="Q37" s="1603" t="str">
        <f t="shared" si="11"/>
        <v>成新度</v>
      </c>
      <c r="R37" s="1649" t="s">
        <v>28</v>
      </c>
      <c r="S37" s="1650" t="e">
        <f t="shared" si="12"/>
        <v>#N/A</v>
      </c>
      <c r="T37" s="1649" t="s">
        <v>28</v>
      </c>
      <c r="U37" s="1650" t="e">
        <f t="shared" si="13"/>
        <v>#N/A</v>
      </c>
      <c r="V37" s="1649" t="s">
        <v>28</v>
      </c>
      <c r="W37" s="1650" t="e">
        <f t="shared" si="14"/>
        <v>#N/A</v>
      </c>
      <c r="X37" s="1651"/>
      <c r="Y37" s="3567"/>
      <c r="Z37" s="1662" t="str">
        <f t="shared" si="15"/>
        <v>成新度</v>
      </c>
      <c r="AA37" s="1652" t="e">
        <f t="shared" si="3"/>
        <v>#N/A</v>
      </c>
      <c r="AB37" s="1652" t="e">
        <f t="shared" si="4"/>
        <v>#N/A</v>
      </c>
      <c r="AC37" s="1652" t="e">
        <f t="shared" si="5"/>
        <v>#N/A</v>
      </c>
    </row>
    <row r="38" spans="1:29" ht="15">
      <c r="A38" s="1741"/>
      <c r="B38" s="1664" t="s">
        <v>2222</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28" t="s">
        <v>2216</v>
      </c>
      <c r="Q38" s="1584" t="str">
        <f t="shared" si="11"/>
        <v>物业管理</v>
      </c>
      <c r="R38" s="1694" t="s">
        <v>28</v>
      </c>
      <c r="S38" s="1695">
        <f t="shared" si="12"/>
        <v>100</v>
      </c>
      <c r="T38" s="1694" t="s">
        <v>28</v>
      </c>
      <c r="U38" s="1695">
        <f t="shared" si="13"/>
        <v>100</v>
      </c>
      <c r="V38" s="1694" t="s">
        <v>28</v>
      </c>
      <c r="W38" s="1695">
        <f t="shared" si="14"/>
        <v>100</v>
      </c>
      <c r="X38" s="1634"/>
      <c r="Y38" s="3567" t="s">
        <v>2216</v>
      </c>
      <c r="Z38" s="1696" t="str">
        <f t="shared" si="15"/>
        <v>物业管理</v>
      </c>
      <c r="AA38" s="1697">
        <f t="shared" si="3"/>
        <v>1</v>
      </c>
      <c r="AB38" s="1697">
        <f t="shared" si="4"/>
        <v>1</v>
      </c>
      <c r="AC38" s="1697">
        <f t="shared" si="5"/>
        <v>1</v>
      </c>
    </row>
    <row r="39" spans="1:29" ht="15">
      <c r="A39" s="1741"/>
      <c r="B39" s="1664" t="s">
        <v>2223</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28"/>
      <c r="Q39" s="1584" t="str">
        <f t="shared" si="11"/>
        <v>市政基础设施</v>
      </c>
      <c r="R39" s="1694" t="s">
        <v>28</v>
      </c>
      <c r="S39" s="1695">
        <f t="shared" si="12"/>
        <v>100</v>
      </c>
      <c r="T39" s="1694" t="s">
        <v>28</v>
      </c>
      <c r="U39" s="1695">
        <f t="shared" si="13"/>
        <v>100</v>
      </c>
      <c r="V39" s="1694" t="s">
        <v>28</v>
      </c>
      <c r="W39" s="1695">
        <f t="shared" si="14"/>
        <v>100</v>
      </c>
      <c r="X39" s="1634"/>
      <c r="Y39" s="3567"/>
      <c r="Z39" s="1696" t="str">
        <f t="shared" si="15"/>
        <v>市政基础设施</v>
      </c>
      <c r="AA39" s="1697">
        <f t="shared" si="3"/>
        <v>1</v>
      </c>
      <c r="AB39" s="1697">
        <f t="shared" si="4"/>
        <v>1</v>
      </c>
      <c r="AC39" s="1697">
        <f t="shared" si="5"/>
        <v>1</v>
      </c>
    </row>
    <row r="40" spans="1:29" ht="15">
      <c r="A40" s="1741"/>
      <c r="B40" s="1664" t="s">
        <v>2224</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28"/>
      <c r="Q40" s="1584" t="str">
        <f t="shared" si="11"/>
        <v>房型</v>
      </c>
      <c r="R40" s="1694" t="s">
        <v>28</v>
      </c>
      <c r="S40" s="1695">
        <f t="shared" si="12"/>
        <v>100</v>
      </c>
      <c r="T40" s="1694" t="s">
        <v>28</v>
      </c>
      <c r="U40" s="1695">
        <f t="shared" si="13"/>
        <v>100</v>
      </c>
      <c r="V40" s="1694" t="s">
        <v>28</v>
      </c>
      <c r="W40" s="1695">
        <f t="shared" si="14"/>
        <v>100</v>
      </c>
      <c r="X40" s="1634"/>
      <c r="Y40" s="3567"/>
      <c r="Z40" s="1696" t="str">
        <f t="shared" si="15"/>
        <v>房型</v>
      </c>
      <c r="AA40" s="1697">
        <f t="shared" si="3"/>
        <v>1</v>
      </c>
      <c r="AB40" s="1697">
        <f t="shared" si="4"/>
        <v>1</v>
      </c>
      <c r="AC40" s="1697">
        <f t="shared" si="5"/>
        <v>1</v>
      </c>
    </row>
    <row r="41" spans="1:29" s="1740" customFormat="1" ht="28.5">
      <c r="A41" s="1733"/>
      <c r="B41" s="1664" t="s">
        <v>2225</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28"/>
      <c r="Q41" s="1735" t="str">
        <f t="shared" si="11"/>
        <v>单套/主力户型建筑面积</v>
      </c>
      <c r="R41" s="1736" t="s">
        <v>28</v>
      </c>
      <c r="S41" s="1737">
        <f t="shared" si="12"/>
        <v>100</v>
      </c>
      <c r="T41" s="1736" t="s">
        <v>28</v>
      </c>
      <c r="U41" s="1737">
        <f t="shared" si="13"/>
        <v>100</v>
      </c>
      <c r="V41" s="1736" t="s">
        <v>28</v>
      </c>
      <c r="W41" s="1737">
        <f t="shared" si="14"/>
        <v>100</v>
      </c>
      <c r="X41" s="1738"/>
      <c r="Y41" s="3567"/>
      <c r="Z41" s="1739" t="str">
        <f t="shared" si="15"/>
        <v>单套/主力户型建筑面积</v>
      </c>
      <c r="AA41" s="1697">
        <f t="shared" si="3"/>
        <v>1</v>
      </c>
      <c r="AB41" s="1697">
        <f t="shared" si="4"/>
        <v>1</v>
      </c>
      <c r="AC41" s="1697">
        <f t="shared" si="5"/>
        <v>1</v>
      </c>
    </row>
    <row r="42" spans="1:29" ht="15">
      <c r="A42" s="1741"/>
      <c r="B42" s="1664" t="s">
        <v>2226</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28"/>
      <c r="Q42" s="1584" t="str">
        <f t="shared" si="11"/>
        <v>内部装修</v>
      </c>
      <c r="R42" s="1694" t="s">
        <v>28</v>
      </c>
      <c r="S42" s="1695">
        <f t="shared" si="12"/>
        <v>100</v>
      </c>
      <c r="T42" s="1694" t="s">
        <v>28</v>
      </c>
      <c r="U42" s="1695">
        <f t="shared" si="13"/>
        <v>100</v>
      </c>
      <c r="V42" s="1694" t="s">
        <v>28</v>
      </c>
      <c r="W42" s="1695">
        <f t="shared" si="14"/>
        <v>100</v>
      </c>
      <c r="X42" s="1634"/>
      <c r="Y42" s="3567"/>
      <c r="Z42" s="1696" t="str">
        <f t="shared" si="15"/>
        <v>内部装修</v>
      </c>
      <c r="AA42" s="1697">
        <f t="shared" si="3"/>
        <v>1</v>
      </c>
      <c r="AB42" s="1697">
        <f t="shared" si="4"/>
        <v>1</v>
      </c>
      <c r="AC42" s="1697">
        <f t="shared" si="5"/>
        <v>1</v>
      </c>
    </row>
    <row r="43" spans="1:29" ht="15">
      <c r="A43" s="1741"/>
      <c r="B43" s="1664" t="s">
        <v>2227</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28"/>
      <c r="Q43" s="1584" t="str">
        <f t="shared" si="11"/>
        <v>内部装修维护情况</v>
      </c>
      <c r="R43" s="1694" t="s">
        <v>28</v>
      </c>
      <c r="S43" s="1695">
        <f t="shared" si="12"/>
        <v>100</v>
      </c>
      <c r="T43" s="1694" t="s">
        <v>28</v>
      </c>
      <c r="U43" s="1695">
        <f t="shared" si="13"/>
        <v>100</v>
      </c>
      <c r="V43" s="1694" t="s">
        <v>28</v>
      </c>
      <c r="W43" s="1695">
        <f t="shared" si="14"/>
        <v>100</v>
      </c>
      <c r="X43" s="1634"/>
      <c r="Y43" s="3567"/>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28"/>
      <c r="Q44" s="1603">
        <f t="shared" si="11"/>
        <v>111</v>
      </c>
      <c r="R44" s="1649" t="s">
        <v>28</v>
      </c>
      <c r="S44" s="1650">
        <f t="shared" si="12"/>
        <v>100</v>
      </c>
      <c r="T44" s="1649" t="s">
        <v>28</v>
      </c>
      <c r="U44" s="1650">
        <f t="shared" si="13"/>
        <v>100</v>
      </c>
      <c r="V44" s="1649" t="s">
        <v>28</v>
      </c>
      <c r="W44" s="1650">
        <f t="shared" si="14"/>
        <v>100</v>
      </c>
      <c r="X44" s="1651"/>
      <c r="Y44" s="3567"/>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28"/>
      <c r="Q45" s="1584">
        <f t="shared" si="11"/>
        <v>111</v>
      </c>
      <c r="R45" s="1694" t="s">
        <v>28</v>
      </c>
      <c r="S45" s="1695">
        <f t="shared" si="12"/>
        <v>100</v>
      </c>
      <c r="T45" s="1694" t="s">
        <v>28</v>
      </c>
      <c r="U45" s="1695">
        <f t="shared" si="13"/>
        <v>100</v>
      </c>
      <c r="V45" s="1694" t="s">
        <v>28</v>
      </c>
      <c r="W45" s="1695">
        <f t="shared" si="14"/>
        <v>100</v>
      </c>
      <c r="X45" s="1634"/>
      <c r="Y45" s="3567"/>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29"/>
      <c r="Q46" s="1584">
        <f t="shared" si="11"/>
        <v>111</v>
      </c>
      <c r="R46" s="1694" t="s">
        <v>27</v>
      </c>
      <c r="S46" s="1695">
        <f t="shared" si="12"/>
        <v>100</v>
      </c>
      <c r="T46" s="1694" t="s">
        <v>27</v>
      </c>
      <c r="U46" s="1695">
        <f t="shared" si="13"/>
        <v>100</v>
      </c>
      <c r="V46" s="1694" t="s">
        <v>27</v>
      </c>
      <c r="W46" s="1695">
        <f t="shared" si="14"/>
        <v>100</v>
      </c>
      <c r="X46" s="1634"/>
      <c r="Y46" s="3568"/>
      <c r="Z46" s="1696">
        <f t="shared" si="15"/>
        <v>111</v>
      </c>
      <c r="AA46" s="1697">
        <f t="shared" si="3"/>
        <v>1</v>
      </c>
      <c r="AB46" s="1697">
        <f t="shared" si="4"/>
        <v>1</v>
      </c>
      <c r="AC46" s="1697">
        <f t="shared" si="5"/>
        <v>1</v>
      </c>
    </row>
    <row r="47" spans="1:29" ht="15">
      <c r="A47" s="1750" t="s">
        <v>2228</v>
      </c>
      <c r="B47" s="1751"/>
      <c r="C47" s="1752" t="s">
        <v>26</v>
      </c>
      <c r="D47" s="1753"/>
      <c r="E47" s="1754"/>
      <c r="F47" s="1755"/>
      <c r="G47" s="1756"/>
      <c r="H47" s="1757"/>
      <c r="I47" s="1754"/>
      <c r="J47" s="1757"/>
      <c r="K47" s="1758"/>
      <c r="L47" s="2970"/>
      <c r="N47" s="2965"/>
      <c r="P47" s="3561" t="str">
        <f>A47</f>
        <v>成交单价（元/平方米）</v>
      </c>
      <c r="Q47" s="3561"/>
      <c r="R47" s="3562">
        <f>E47</f>
        <v>0</v>
      </c>
      <c r="S47" s="3562"/>
      <c r="T47" s="3562">
        <f>G47</f>
        <v>0</v>
      </c>
      <c r="U47" s="3562"/>
      <c r="V47" s="3562">
        <f>I47</f>
        <v>0</v>
      </c>
      <c r="W47" s="3562"/>
      <c r="X47" s="1760"/>
      <c r="Y47" s="1761"/>
      <c r="Z47" s="1760"/>
      <c r="AA47" s="1760"/>
      <c r="AB47" s="1760"/>
      <c r="AC47" s="1760"/>
    </row>
    <row r="48" spans="1:29" ht="15.75" thickBot="1">
      <c r="A48" s="1762" t="s">
        <v>2229</v>
      </c>
      <c r="B48" s="1763"/>
      <c r="C48" s="1764" t="e">
        <f>R49</f>
        <v>#DIV/0!</v>
      </c>
      <c r="D48" s="1765" t="s">
        <v>2683</v>
      </c>
      <c r="E48" s="1766" t="e">
        <f>R48</f>
        <v>#DIV/0!</v>
      </c>
      <c r="F48" s="1767"/>
      <c r="G48" s="1764" t="e">
        <f>T48</f>
        <v>#DIV/0!</v>
      </c>
      <c r="H48" s="1767"/>
      <c r="I48" s="1766" t="e">
        <f>V48</f>
        <v>#DIV/0!</v>
      </c>
      <c r="J48" s="1767"/>
      <c r="K48" s="2480">
        <f>F48+H48+J48</f>
        <v>0</v>
      </c>
      <c r="L48" s="2970"/>
      <c r="P48" s="3561" t="str">
        <f>A48</f>
        <v>比较价值（元/平方米）</v>
      </c>
      <c r="Q48" s="3561"/>
      <c r="R48" s="3562" t="e">
        <f>IF(E1="售价",ROUND(PRODUCT(R47,AA7:AA46),0),ROUND(PRODUCT(R47,AA7:AA46),1))</f>
        <v>#DIV/0!</v>
      </c>
      <c r="S48" s="3562"/>
      <c r="T48" s="3623" t="e">
        <f>IF(E1="售价",ROUND(PRODUCT(T47,AB7:AB46),0),ROUND(PRODUCT(T47,AB7:AB46),1))</f>
        <v>#DIV/0!</v>
      </c>
      <c r="U48" s="3624"/>
      <c r="V48" s="3562" t="e">
        <f>IF(E1="售价",ROUND(PRODUCT(V47,AC7:AC46),0),ROUND(PRODUCT(V47,AC7:AC46),1))</f>
        <v>#DIV/0!</v>
      </c>
      <c r="W48" s="3562"/>
      <c r="X48" s="1760"/>
      <c r="Y48" s="1760"/>
      <c r="Z48" s="1760"/>
      <c r="AA48" s="1760"/>
      <c r="AB48" s="1760"/>
      <c r="AC48" s="1760"/>
    </row>
    <row r="49" spans="1:29" ht="15.75" thickBot="1">
      <c r="A49" s="1768" t="s">
        <v>2230</v>
      </c>
      <c r="B49" s="1769"/>
      <c r="C49" s="1770" t="e">
        <f>R49</f>
        <v>#DIV/0!</v>
      </c>
      <c r="D49" s="1771"/>
      <c r="E49" s="1771"/>
      <c r="F49" s="1771"/>
      <c r="G49" s="1771"/>
      <c r="H49" s="1771"/>
      <c r="I49" s="1771"/>
      <c r="J49" s="1771"/>
      <c r="K49" s="1772"/>
      <c r="L49" s="2970"/>
      <c r="P49" s="3563" t="str">
        <f>A49</f>
        <v>估价对象XX用房的比较价值（楼面单价，元/平方米）</v>
      </c>
      <c r="Q49" s="3564"/>
      <c r="R49" s="3565" t="e">
        <f>IF(E1="售价",ROUND(IF(D48="简单平均",AVERAGE(R48:V48),R48*F48+T48*H48+V48*J48),0),ROUND(IF(D48="简单平均",AVERAGE(R48:V48),R48*F48+T48*H48+V48*J48),1))</f>
        <v>#DIV/0!</v>
      </c>
      <c r="S49" s="3565"/>
      <c r="T49" s="3565"/>
      <c r="U49" s="3565"/>
      <c r="V49" s="3565"/>
      <c r="W49" s="3565"/>
      <c r="X49" s="1760"/>
      <c r="Y49" s="1760"/>
      <c r="Z49" s="1760"/>
      <c r="AA49" s="1760"/>
      <c r="AB49" s="1760"/>
      <c r="AC49" s="1760"/>
    </row>
    <row r="50" spans="1:29">
      <c r="G50" s="2974"/>
    </row>
    <row r="52" spans="1:29" ht="13.5" customHeight="1">
      <c r="C52" s="383" t="s">
        <v>2231</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2232</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2233</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2234</v>
      </c>
      <c r="B57" s="1760"/>
      <c r="C57" s="1786"/>
      <c r="D57" s="1786"/>
      <c r="E57" s="1786"/>
      <c r="F57" s="1786"/>
      <c r="G57" s="1786"/>
      <c r="H57" s="1786"/>
      <c r="I57" s="1786"/>
      <c r="J57" s="1786"/>
      <c r="K57" s="1787"/>
      <c r="L57" s="2972"/>
      <c r="M57" s="2973"/>
      <c r="N57" s="2973"/>
      <c r="O57" s="2973"/>
      <c r="P57" s="1789"/>
      <c r="Q57" s="1790"/>
    </row>
    <row r="58" spans="1:29" s="1796" customFormat="1" ht="15">
      <c r="A58" s="1791" t="s">
        <v>2235</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2236</v>
      </c>
      <c r="B60" s="1804"/>
      <c r="C60" s="1805"/>
      <c r="D60" s="1806"/>
      <c r="E60" s="1806"/>
      <c r="F60" s="1806"/>
      <c r="G60" s="1806"/>
      <c r="H60" s="1806"/>
      <c r="I60" s="1806"/>
      <c r="J60" s="1806"/>
      <c r="K60" s="1806"/>
      <c r="L60" s="1806"/>
      <c r="M60" s="1807"/>
      <c r="N60" s="1806"/>
      <c r="O60" s="1807"/>
      <c r="P60" s="1802"/>
      <c r="Q60" s="1790"/>
    </row>
    <row r="61" spans="1:29" s="1653" customFormat="1" ht="15">
      <c r="A61" s="1808" t="s">
        <v>2237</v>
      </c>
      <c r="B61" s="1798"/>
      <c r="C61" s="1809" t="s">
        <v>2238</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2239</v>
      </c>
      <c r="B63" s="1816" t="s">
        <v>2204</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2207</v>
      </c>
      <c r="C65" s="1828" t="s">
        <v>2240</v>
      </c>
      <c r="D65" s="1828" t="s">
        <v>2241</v>
      </c>
      <c r="E65" s="1828" t="s">
        <v>2242</v>
      </c>
      <c r="F65" s="1828" t="s">
        <v>2243</v>
      </c>
      <c r="G65" s="1828" t="s">
        <v>2244</v>
      </c>
      <c r="H65" s="1828" t="s">
        <v>2245</v>
      </c>
      <c r="I65" s="1828" t="s">
        <v>2246</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2208</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2209</v>
      </c>
      <c r="B76" s="1816" t="s">
        <v>2247</v>
      </c>
      <c r="C76" s="1854" t="s">
        <v>2248</v>
      </c>
      <c r="D76" s="1854" t="s">
        <v>2249</v>
      </c>
      <c r="E76" s="1854" t="s">
        <v>2250</v>
      </c>
      <c r="F76" s="1854" t="s">
        <v>2251</v>
      </c>
      <c r="G76" s="1854" t="s">
        <v>2252</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2253</v>
      </c>
      <c r="C78" s="579" t="s">
        <v>2248</v>
      </c>
      <c r="D78" s="579" t="s">
        <v>2249</v>
      </c>
      <c r="E78" s="579" t="s">
        <v>2250</v>
      </c>
      <c r="F78" s="579" t="s">
        <v>2251</v>
      </c>
      <c r="G78" s="579" t="s">
        <v>2252</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2254</v>
      </c>
      <c r="C80" s="579" t="s">
        <v>2248</v>
      </c>
      <c r="D80" s="579" t="s">
        <v>2249</v>
      </c>
      <c r="E80" s="579" t="s">
        <v>2250</v>
      </c>
      <c r="F80" s="579" t="s">
        <v>2251</v>
      </c>
      <c r="G80" s="579" t="s">
        <v>2252</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2255</v>
      </c>
      <c r="D82" s="1828" t="s">
        <v>2256</v>
      </c>
      <c r="E82" s="1828" t="s">
        <v>2257</v>
      </c>
      <c r="F82" s="1828" t="s">
        <v>2258</v>
      </c>
      <c r="G82" s="1828" t="s">
        <v>2259</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2260</v>
      </c>
      <c r="C84" s="579" t="s">
        <v>2248</v>
      </c>
      <c r="D84" s="579" t="s">
        <v>2249</v>
      </c>
      <c r="E84" s="579" t="s">
        <v>2250</v>
      </c>
      <c r="F84" s="579" t="s">
        <v>2251</v>
      </c>
      <c r="G84" s="579" t="s">
        <v>2252</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2261</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2262</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2214</v>
      </c>
      <c r="B100" s="1816" t="s">
        <v>2263</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2265</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2266</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2267</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2269</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2270</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2271</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2225</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2272</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2273</v>
      </c>
      <c r="C124" s="579" t="s">
        <v>2248</v>
      </c>
      <c r="D124" s="579" t="s">
        <v>2249</v>
      </c>
      <c r="E124" s="579" t="s">
        <v>2250</v>
      </c>
      <c r="F124" s="579" t="s">
        <v>2251</v>
      </c>
      <c r="G124" s="579" t="s">
        <v>2252</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2274</v>
      </c>
    </row>
    <row r="137" spans="1:17" ht="15">
      <c r="B137" s="1880" t="s">
        <v>2275</v>
      </c>
      <c r="C137" s="1881"/>
      <c r="D137" s="1881"/>
      <c r="E137" s="1881"/>
      <c r="F137" s="1881"/>
      <c r="G137" s="1882"/>
      <c r="H137" s="1883"/>
      <c r="I137" s="1884" t="s">
        <v>2276</v>
      </c>
      <c r="J137" s="1881"/>
      <c r="K137" s="1885"/>
    </row>
    <row r="138" spans="1:17" ht="15">
      <c r="B138" s="1886"/>
      <c r="C138" s="1887" t="s">
        <v>2277</v>
      </c>
      <c r="D138" s="1887" t="s">
        <v>2278</v>
      </c>
      <c r="E138" s="1888" t="s">
        <v>2279</v>
      </c>
      <c r="F138" s="1889" t="s">
        <v>2280</v>
      </c>
      <c r="G138" s="1887" t="s">
        <v>2278</v>
      </c>
      <c r="H138" s="1890" t="s">
        <v>2279</v>
      </c>
      <c r="I138" s="1891"/>
      <c r="J138" s="1887" t="s">
        <v>2281</v>
      </c>
      <c r="K138" s="1890" t="s">
        <v>2282</v>
      </c>
    </row>
    <row r="139" spans="1:17" ht="15">
      <c r="B139" s="1892">
        <v>6</v>
      </c>
      <c r="C139" s="1893">
        <v>96</v>
      </c>
      <c r="D139" s="1894" t="s">
        <v>2283</v>
      </c>
      <c r="E139" s="1895">
        <v>100</v>
      </c>
      <c r="F139" s="1896">
        <v>102.5</v>
      </c>
      <c r="G139" s="1894" t="s">
        <v>2283</v>
      </c>
      <c r="H139" s="1897">
        <v>105</v>
      </c>
      <c r="I139" s="1898" t="s">
        <v>2284</v>
      </c>
      <c r="J139" s="1893">
        <v>20</v>
      </c>
      <c r="K139" s="1899">
        <f>C145/(J139-2)</f>
        <v>4.0555555555555553E-3</v>
      </c>
    </row>
    <row r="140" spans="1:17" ht="15">
      <c r="B140" s="1900">
        <v>5</v>
      </c>
      <c r="C140" s="1901">
        <v>100</v>
      </c>
      <c r="D140" s="1901"/>
      <c r="E140" s="1902"/>
      <c r="F140" s="1903">
        <v>102</v>
      </c>
      <c r="G140" s="1901"/>
      <c r="H140" s="1904"/>
      <c r="I140" s="1905" t="s">
        <v>2285</v>
      </c>
      <c r="J140" s="1906">
        <f>ROUNDUP((J139-1)/2,0)</f>
        <v>10</v>
      </c>
      <c r="K140" s="1907">
        <v>100</v>
      </c>
    </row>
    <row r="141" spans="1:17" ht="15">
      <c r="B141" s="1900">
        <v>4</v>
      </c>
      <c r="C141" s="1901">
        <v>102</v>
      </c>
      <c r="D141" s="1901"/>
      <c r="E141" s="1902"/>
      <c r="F141" s="1903">
        <v>101.5</v>
      </c>
      <c r="G141" s="1901"/>
      <c r="H141" s="1904"/>
      <c r="I141" s="1905" t="s">
        <v>2286</v>
      </c>
      <c r="J141" s="1906">
        <v>1</v>
      </c>
      <c r="K141" s="1908">
        <f>ROUND(100+(J141-J140)*K139*100,1)</f>
        <v>96.4</v>
      </c>
    </row>
    <row r="142" spans="1:17" ht="15">
      <c r="B142" s="1900">
        <v>3</v>
      </c>
      <c r="C142" s="1901">
        <v>103</v>
      </c>
      <c r="D142" s="1901"/>
      <c r="E142" s="1902"/>
      <c r="F142" s="1903">
        <v>101</v>
      </c>
      <c r="G142" s="1901"/>
      <c r="H142" s="1904"/>
      <c r="I142" s="1905" t="s">
        <v>2287</v>
      </c>
      <c r="J142" s="1906">
        <f>J139</f>
        <v>20</v>
      </c>
      <c r="K142" s="1909">
        <v>95</v>
      </c>
    </row>
    <row r="143" spans="1:17" ht="15">
      <c r="B143" s="1900">
        <v>2</v>
      </c>
      <c r="C143" s="1901">
        <v>100</v>
      </c>
      <c r="D143" s="1901"/>
      <c r="E143" s="1902"/>
      <c r="F143" s="1903">
        <v>100.5</v>
      </c>
      <c r="G143" s="1901"/>
      <c r="H143" s="1904"/>
      <c r="I143" s="1905" t="s">
        <v>2288</v>
      </c>
      <c r="J143" s="1901">
        <v>15</v>
      </c>
      <c r="K143" s="1908">
        <f>ROUND(100+(J143-J140)*K139*100,1)</f>
        <v>102</v>
      </c>
    </row>
    <row r="144" spans="1:17" ht="15">
      <c r="B144" s="1900">
        <v>1</v>
      </c>
      <c r="C144" s="1901">
        <v>98</v>
      </c>
      <c r="D144" s="1390" t="s">
        <v>2289</v>
      </c>
      <c r="E144" s="1902">
        <v>102</v>
      </c>
      <c r="F144" s="1910">
        <v>100</v>
      </c>
      <c r="G144" s="1390" t="s">
        <v>2289</v>
      </c>
      <c r="H144" s="1904">
        <v>105</v>
      </c>
      <c r="I144" s="1905" t="s">
        <v>2288</v>
      </c>
      <c r="J144" s="1901">
        <v>18</v>
      </c>
      <c r="K144" s="1908">
        <f>ROUND(100+(J144-J140)*K139*100,1)</f>
        <v>103.2</v>
      </c>
    </row>
    <row r="145" spans="2:11" ht="15.75" thickBot="1">
      <c r="B145" s="1911" t="s">
        <v>2290</v>
      </c>
      <c r="C145" s="1912">
        <f>ROUND(MAX(C139:C144)/MIN(C139:C144)-1,3)</f>
        <v>7.2999999999999995E-2</v>
      </c>
      <c r="D145" s="1913"/>
      <c r="E145" s="1913"/>
      <c r="F145" s="1542" t="s">
        <v>2291</v>
      </c>
      <c r="G145" s="1914"/>
      <c r="H145" s="1915"/>
      <c r="I145" s="1916" t="s">
        <v>2288</v>
      </c>
      <c r="J145" s="1917">
        <v>8</v>
      </c>
      <c r="K145" s="1918">
        <f>ROUND(100+(J145-J140)*K139*100,1)</f>
        <v>99.2</v>
      </c>
    </row>
    <row r="147" spans="2:11">
      <c r="B147" s="1541" t="s">
        <v>2292</v>
      </c>
    </row>
    <row r="148" spans="2:11">
      <c r="B148" s="1541" t="s">
        <v>2293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2181</v>
      </c>
      <c r="B1" s="1606" t="s">
        <v>2294</v>
      </c>
      <c r="C1" s="1607"/>
      <c r="D1" s="2438"/>
      <c r="E1" s="1609"/>
      <c r="F1" s="1610" t="s">
        <v>2183</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1857</v>
      </c>
      <c r="B3" s="1931" t="e">
        <f ca="1">ROUND(IF(D2="——",C49,IF(C2="万元",B2*10000/D3,B2/D3)),0)</f>
        <v>#DIV/0!</v>
      </c>
      <c r="C3" s="1628" t="s">
        <v>2184</v>
      </c>
      <c r="D3" s="1628">
        <f>IF(C1="仅计算典型户型",'数据-取费表'!E5,'数据-取费表'!B5)</f>
        <v>718.89</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2185</v>
      </c>
      <c r="B4" s="1632"/>
      <c r="C4" s="3583" t="s">
        <v>2186</v>
      </c>
      <c r="D4" s="3584"/>
      <c r="E4" s="3585" t="s">
        <v>2187</v>
      </c>
      <c r="F4" s="3586"/>
      <c r="G4" s="3583" t="s">
        <v>2188</v>
      </c>
      <c r="H4" s="3584"/>
      <c r="I4" s="3583" t="s">
        <v>2189</v>
      </c>
      <c r="J4" s="3584"/>
      <c r="K4" s="1934" t="s">
        <v>2190</v>
      </c>
      <c r="L4" s="2964"/>
      <c r="M4" s="2965"/>
      <c r="N4" s="2965"/>
      <c r="O4" s="2965"/>
      <c r="P4" s="3587" t="s">
        <v>2191</v>
      </c>
      <c r="Q4" s="3588"/>
      <c r="R4" s="3571" t="s">
        <v>2187</v>
      </c>
      <c r="S4" s="3572"/>
      <c r="T4" s="3571" t="s">
        <v>2188</v>
      </c>
      <c r="U4" s="3572"/>
      <c r="V4" s="3593" t="s">
        <v>2189</v>
      </c>
      <c r="W4" s="3593"/>
      <c r="X4" s="2043"/>
      <c r="Y4" s="3571" t="s">
        <v>2191</v>
      </c>
      <c r="Z4" s="3572"/>
      <c r="AA4" s="3580" t="s">
        <v>2187</v>
      </c>
      <c r="AB4" s="3593" t="s">
        <v>2188</v>
      </c>
      <c r="AC4" s="3580" t="s">
        <v>2189</v>
      </c>
    </row>
    <row r="5" spans="1:29" ht="15">
      <c r="A5" s="1636"/>
      <c r="B5" s="1637"/>
      <c r="C5" s="3596" t="s">
        <v>2192</v>
      </c>
      <c r="D5" s="3597"/>
      <c r="E5" s="3594" t="s">
        <v>2193</v>
      </c>
      <c r="F5" s="3595"/>
      <c r="G5" s="3596" t="s">
        <v>2194</v>
      </c>
      <c r="H5" s="3597"/>
      <c r="I5" s="3596" t="s">
        <v>2195</v>
      </c>
      <c r="J5" s="3597"/>
      <c r="K5" s="1934"/>
      <c r="L5" s="2964"/>
      <c r="M5" s="2965"/>
      <c r="N5" s="2965"/>
      <c r="O5" s="2965"/>
      <c r="P5" s="3589"/>
      <c r="Q5" s="3590"/>
      <c r="R5" s="3573"/>
      <c r="S5" s="3574"/>
      <c r="T5" s="3573"/>
      <c r="U5" s="3574"/>
      <c r="V5" s="3593"/>
      <c r="W5" s="3593"/>
      <c r="X5" s="2043"/>
      <c r="Y5" s="3573"/>
      <c r="Z5" s="3574"/>
      <c r="AA5" s="3581"/>
      <c r="AB5" s="3593"/>
      <c r="AC5" s="3581"/>
    </row>
    <row r="6" spans="1:29" ht="15.75" thickBot="1">
      <c r="A6" s="1639"/>
      <c r="B6" s="1640"/>
      <c r="C6" s="3598" t="s">
        <v>2196</v>
      </c>
      <c r="D6" s="3599"/>
      <c r="E6" s="3600" t="s">
        <v>2196</v>
      </c>
      <c r="F6" s="3601"/>
      <c r="G6" s="3598" t="s">
        <v>2196</v>
      </c>
      <c r="H6" s="3599"/>
      <c r="I6" s="3598" t="s">
        <v>2196</v>
      </c>
      <c r="J6" s="3599"/>
      <c r="K6" s="1934" t="s">
        <v>2197</v>
      </c>
      <c r="L6" s="2964"/>
      <c r="M6" s="2965"/>
      <c r="N6" s="2965"/>
      <c r="O6" s="2965"/>
      <c r="P6" s="3591"/>
      <c r="Q6" s="3592"/>
      <c r="R6" s="3573"/>
      <c r="S6" s="3574"/>
      <c r="T6" s="3575"/>
      <c r="U6" s="3576"/>
      <c r="V6" s="3593"/>
      <c r="W6" s="3593"/>
      <c r="X6" s="2043"/>
      <c r="Y6" s="3575"/>
      <c r="Z6" s="3576"/>
      <c r="AA6" s="3582"/>
      <c r="AB6" s="3593"/>
      <c r="AC6" s="3582"/>
    </row>
    <row r="7" spans="1:29" s="1653" customFormat="1" ht="15.75" thickBot="1">
      <c r="A7" s="1641" t="s">
        <v>2198</v>
      </c>
      <c r="B7" s="1642"/>
      <c r="C7" s="1643">
        <f>'数据-取费表'!B2</f>
        <v>44664</v>
      </c>
      <c r="D7" s="1644">
        <v>100</v>
      </c>
      <c r="E7" s="1645"/>
      <c r="F7" s="1646">
        <f>SUMIF(58:58,YEAR(E7)&amp;"-"&amp;MONTH(E7),59:59)</f>
        <v>0</v>
      </c>
      <c r="G7" s="1645"/>
      <c r="H7" s="1644">
        <f>SUMIF(58:58,YEAR(G7)&amp;"-"&amp;MONTH(G7),59:59)</f>
        <v>0</v>
      </c>
      <c r="I7" s="1645"/>
      <c r="J7" s="1644">
        <f>SUMIF(58:58,YEAR(I7)&amp;"-"&amp;MONTH(I7),59:59)</f>
        <v>0</v>
      </c>
      <c r="K7" s="1936"/>
      <c r="L7" s="2964"/>
      <c r="M7" s="2937"/>
      <c r="N7" s="2937"/>
      <c r="O7" s="2937"/>
      <c r="P7" s="3569" t="s">
        <v>2199</v>
      </c>
      <c r="Q7" s="3577"/>
      <c r="R7" s="1649" t="s">
        <v>25</v>
      </c>
      <c r="S7" s="1650">
        <f t="shared" ref="S7:S15" si="0">F7</f>
        <v>0</v>
      </c>
      <c r="T7" s="1649" t="s">
        <v>25</v>
      </c>
      <c r="U7" s="1650">
        <f t="shared" ref="U7:U15" si="1">H7</f>
        <v>0</v>
      </c>
      <c r="V7" s="1649" t="s">
        <v>25</v>
      </c>
      <c r="W7" s="1650">
        <f t="shared" ref="W7:W15" si="2">J7</f>
        <v>0</v>
      </c>
      <c r="X7" s="1651"/>
      <c r="Y7" s="3569" t="s">
        <v>2199</v>
      </c>
      <c r="Z7" s="3570"/>
      <c r="AA7" s="1652" t="e">
        <f>D7/F7</f>
        <v>#DIV/0!</v>
      </c>
      <c r="AB7" s="1652" t="e">
        <f>D7/H7</f>
        <v>#DIV/0!</v>
      </c>
      <c r="AC7" s="1652" t="e">
        <f>D7/J7</f>
        <v>#DIV/0!</v>
      </c>
    </row>
    <row r="8" spans="1:29" s="1653" customFormat="1" ht="15.75" thickBot="1">
      <c r="A8" s="1641" t="s">
        <v>2200</v>
      </c>
      <c r="B8" s="1642"/>
      <c r="C8" s="1654" t="s">
        <v>2201</v>
      </c>
      <c r="D8" s="1644">
        <v>100</v>
      </c>
      <c r="E8" s="1654"/>
      <c r="F8" s="1646">
        <f>SUMIF(61:61,E8,62:62)-SUMIF(61:61,C8,62:62)+100</f>
        <v>0</v>
      </c>
      <c r="G8" s="1654"/>
      <c r="H8" s="1644">
        <f>SUMIF(61:61,G8,62:62)-SUMIF(61:61,C8,62:62)+100</f>
        <v>0</v>
      </c>
      <c r="I8" s="1654"/>
      <c r="J8" s="1644">
        <f>SUMIF(61:61,I8,62:62)-SUMIF(61:61,C8,62:62)+100</f>
        <v>0</v>
      </c>
      <c r="K8" s="1936"/>
      <c r="L8" s="2964"/>
      <c r="M8" s="2937"/>
      <c r="N8" s="2937"/>
      <c r="O8" s="2937"/>
      <c r="P8" s="3569" t="s">
        <v>2202</v>
      </c>
      <c r="Q8" s="3570"/>
      <c r="R8" s="1649" t="s">
        <v>25</v>
      </c>
      <c r="S8" s="1650">
        <f t="shared" si="0"/>
        <v>0</v>
      </c>
      <c r="T8" s="1649" t="s">
        <v>25</v>
      </c>
      <c r="U8" s="1650">
        <f t="shared" si="1"/>
        <v>0</v>
      </c>
      <c r="V8" s="1649" t="s">
        <v>25</v>
      </c>
      <c r="W8" s="1650">
        <f t="shared" si="2"/>
        <v>0</v>
      </c>
      <c r="X8" s="1651"/>
      <c r="Y8" s="3569" t="s">
        <v>2202</v>
      </c>
      <c r="Z8" s="3570"/>
      <c r="AA8" s="1652" t="e">
        <f t="shared" ref="AA8:AA46" si="3">D8/F8</f>
        <v>#DIV/0!</v>
      </c>
      <c r="AB8" s="1652" t="e">
        <f t="shared" ref="AB8:AB46" si="4">D8/H8</f>
        <v>#DIV/0!</v>
      </c>
      <c r="AC8" s="1652" t="e">
        <f t="shared" ref="AC8:AC46" si="5">D8/J8</f>
        <v>#DIV/0!</v>
      </c>
    </row>
    <row r="9" spans="1:29" s="1653" customFormat="1">
      <c r="A9" s="2035" t="s">
        <v>2203</v>
      </c>
      <c r="B9" s="1656" t="s">
        <v>2204</v>
      </c>
      <c r="C9" s="1657"/>
      <c r="D9" s="1658">
        <v>100</v>
      </c>
      <c r="E9" s="1659"/>
      <c r="F9" s="1660">
        <f>SUMIF(63:63,E9,64:64)-SUMIF(63:63,C9,64:64)+100</f>
        <v>100</v>
      </c>
      <c r="G9" s="1659"/>
      <c r="H9" s="1658">
        <f>SUMIF(63:63,G9,64:64)-SUMIF(63:63,C9,64:64)+100</f>
        <v>100</v>
      </c>
      <c r="I9" s="1659"/>
      <c r="J9" s="1658">
        <f>SUMIF(63:63,I9,64:64)-SUMIF(63:63,C9,64:64)+100</f>
        <v>100</v>
      </c>
      <c r="K9" s="1936"/>
      <c r="L9" s="2964"/>
      <c r="M9" s="2937"/>
      <c r="N9" s="2937"/>
      <c r="O9" s="2937"/>
      <c r="P9" s="3630" t="s">
        <v>2205</v>
      </c>
      <c r="Q9" s="2034" t="str">
        <f t="shared" ref="Q9:Q15" si="6">B9</f>
        <v>用途</v>
      </c>
      <c r="R9" s="1649" t="s">
        <v>25</v>
      </c>
      <c r="S9" s="1650">
        <f t="shared" si="0"/>
        <v>100</v>
      </c>
      <c r="T9" s="1649" t="s">
        <v>25</v>
      </c>
      <c r="U9" s="1650">
        <f t="shared" si="1"/>
        <v>100</v>
      </c>
      <c r="V9" s="1649" t="s">
        <v>25</v>
      </c>
      <c r="W9" s="1650">
        <f t="shared" si="2"/>
        <v>100</v>
      </c>
      <c r="X9" s="1651"/>
      <c r="Y9" s="3454" t="s">
        <v>2206</v>
      </c>
      <c r="Z9" s="1662" t="str">
        <f t="shared" ref="Z9:Z15" si="7">Q9</f>
        <v>用途</v>
      </c>
      <c r="AA9" s="1652">
        <f t="shared" si="3"/>
        <v>1</v>
      </c>
      <c r="AB9" s="1652">
        <f t="shared" si="4"/>
        <v>1</v>
      </c>
      <c r="AC9" s="1652">
        <f t="shared" si="5"/>
        <v>1</v>
      </c>
    </row>
    <row r="10" spans="1:29" s="1670" customFormat="1" ht="27">
      <c r="A10" s="1663"/>
      <c r="B10" s="1664" t="s">
        <v>2207</v>
      </c>
      <c r="C10" s="1665"/>
      <c r="D10" s="1666">
        <v>100</v>
      </c>
      <c r="E10" s="1667"/>
      <c r="F10" s="1668">
        <f>SUMIF(65:65,E10,66:66)-SUMIF(65:65,C10,66:66)+100</f>
        <v>100</v>
      </c>
      <c r="G10" s="1665"/>
      <c r="H10" s="1666">
        <f>SUMIF(65:65,G10,66:66)-SUMIF(65:65,C10,66:66)+100</f>
        <v>100</v>
      </c>
      <c r="I10" s="1665"/>
      <c r="J10" s="1666">
        <f>SUMIF(65:65,I10,66:66)-SUMIF(65:65,C10,66:66)+100</f>
        <v>100</v>
      </c>
      <c r="K10" s="1961"/>
      <c r="L10" s="2966"/>
      <c r="M10" s="2967"/>
      <c r="N10" s="2967"/>
      <c r="O10" s="2967"/>
      <c r="P10" s="3630"/>
      <c r="Q10" s="2034"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2208</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8"/>
      <c r="M11" s="2965"/>
      <c r="N11" s="2965"/>
      <c r="O11" s="2965"/>
      <c r="P11" s="3630"/>
      <c r="Q11" s="2034"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30"/>
      <c r="Q12" s="2034">
        <f t="shared" si="6"/>
        <v>111</v>
      </c>
      <c r="R12" s="1649" t="s">
        <v>25</v>
      </c>
      <c r="S12" s="1650">
        <f t="shared" si="0"/>
        <v>100</v>
      </c>
      <c r="T12" s="1649" t="s">
        <v>25</v>
      </c>
      <c r="U12" s="1650">
        <f t="shared" si="1"/>
        <v>100</v>
      </c>
      <c r="V12" s="1649" t="s">
        <v>25</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30"/>
      <c r="Q13" s="2034">
        <f t="shared" si="6"/>
        <v>111</v>
      </c>
      <c r="R13" s="1649" t="s">
        <v>25</v>
      </c>
      <c r="S13" s="1650">
        <f t="shared" si="0"/>
        <v>100</v>
      </c>
      <c r="T13" s="1649" t="s">
        <v>25</v>
      </c>
      <c r="U13" s="1650">
        <f t="shared" si="1"/>
        <v>100</v>
      </c>
      <c r="V13" s="1649" t="s">
        <v>25</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30"/>
      <c r="Q14" s="2034">
        <f t="shared" si="6"/>
        <v>111</v>
      </c>
      <c r="R14" s="1649" t="s">
        <v>25</v>
      </c>
      <c r="S14" s="1650">
        <f t="shared" si="0"/>
        <v>100</v>
      </c>
      <c r="T14" s="1649" t="s">
        <v>25</v>
      </c>
      <c r="U14" s="1650">
        <f t="shared" si="1"/>
        <v>100</v>
      </c>
      <c r="V14" s="1649" t="s">
        <v>25</v>
      </c>
      <c r="W14" s="1650">
        <f t="shared" si="2"/>
        <v>100</v>
      </c>
      <c r="X14" s="1651"/>
      <c r="Y14" s="3454"/>
      <c r="Z14" s="1662">
        <f t="shared" si="7"/>
        <v>111</v>
      </c>
      <c r="AA14" s="1652">
        <f t="shared" si="3"/>
        <v>1</v>
      </c>
      <c r="AB14" s="1652">
        <f t="shared" si="4"/>
        <v>1</v>
      </c>
      <c r="AC14" s="1652">
        <f t="shared" si="5"/>
        <v>1</v>
      </c>
    </row>
    <row r="15" spans="1:29" ht="15">
      <c r="A15" s="1686" t="s">
        <v>2209</v>
      </c>
      <c r="B15" s="1687" t="s">
        <v>2295</v>
      </c>
      <c r="C15" s="1688">
        <f>估价对象房地状况!C4</f>
        <v>0</v>
      </c>
      <c r="D15" s="1689">
        <v>100</v>
      </c>
      <c r="E15" s="1690"/>
      <c r="F15" s="1691">
        <f>SUMIF(76:76,E16,77:77)-SUMIF(76:76,C16,77:77)+100</f>
        <v>100</v>
      </c>
      <c r="G15" s="1692"/>
      <c r="H15" s="1689">
        <f>SUMIF(76:76,G16,77:77)-SUMIF(76:76,C16,77:77)+100</f>
        <v>100</v>
      </c>
      <c r="I15" s="1690"/>
      <c r="J15" s="1689">
        <f>SUMIF(76:76,I16,77:77)-SUMIF(76:76,C16,77:77)+100</f>
        <v>100</v>
      </c>
      <c r="K15" s="2441"/>
      <c r="L15" s="2969"/>
      <c r="M15" s="2965"/>
      <c r="N15" s="2965"/>
      <c r="O15" s="2965"/>
      <c r="P15" s="3625" t="s">
        <v>2210</v>
      </c>
      <c r="Q15" s="2040" t="str">
        <f t="shared" si="6"/>
        <v>商业繁华度</v>
      </c>
      <c r="R15" s="1694" t="s">
        <v>25</v>
      </c>
      <c r="S15" s="1695">
        <f t="shared" si="0"/>
        <v>100</v>
      </c>
      <c r="T15" s="1694" t="s">
        <v>25</v>
      </c>
      <c r="U15" s="1695">
        <f t="shared" si="1"/>
        <v>100</v>
      </c>
      <c r="V15" s="1694" t="s">
        <v>25</v>
      </c>
      <c r="W15" s="1695">
        <f t="shared" si="2"/>
        <v>100</v>
      </c>
      <c r="X15" s="2043"/>
      <c r="Y15" s="3578" t="s">
        <v>2210</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9"/>
      <c r="M16" s="2965"/>
      <c r="N16" s="2965"/>
      <c r="O16" s="2965"/>
      <c r="P16" s="3626"/>
      <c r="Q16" s="2040"/>
      <c r="R16" s="1694"/>
      <c r="S16" s="1695"/>
      <c r="T16" s="1694"/>
      <c r="U16" s="1695"/>
      <c r="V16" s="1694"/>
      <c r="W16" s="1695"/>
      <c r="X16" s="2043"/>
      <c r="Y16" s="3579"/>
      <c r="Z16" s="2047"/>
      <c r="AA16" s="2038">
        <v>1</v>
      </c>
      <c r="AB16" s="2038">
        <v>1</v>
      </c>
      <c r="AC16" s="2038">
        <v>1</v>
      </c>
    </row>
    <row r="17" spans="1:29" ht="15">
      <c r="A17" s="1671"/>
      <c r="B17" s="1706" t="s">
        <v>1648</v>
      </c>
      <c r="C17" s="1707" t="str">
        <f>估价对象房地状况!C6</f>
        <v>一般</v>
      </c>
      <c r="D17" s="1704">
        <v>100</v>
      </c>
      <c r="E17" s="1708"/>
      <c r="F17" s="1709">
        <f>SUMIF(78:78,E18,79:79)-SUMIF(78:78,C18,79:79)+100</f>
        <v>100</v>
      </c>
      <c r="G17" s="1710"/>
      <c r="H17" s="1711">
        <f>SUMIF(78:78,G18,79:79)-SUMIF(78:78,C18,79:79)+100</f>
        <v>100</v>
      </c>
      <c r="I17" s="1708"/>
      <c r="J17" s="1711">
        <f>SUMIF(78:78,I18,79:79)-SUMIF(78:78,C18,79:79)+100</f>
        <v>100</v>
      </c>
      <c r="K17" s="2441"/>
      <c r="L17" s="2969"/>
      <c r="M17" s="2965"/>
      <c r="N17" s="2965"/>
      <c r="O17" s="2965"/>
      <c r="P17" s="3626"/>
      <c r="Q17" s="2040" t="str">
        <f>B17</f>
        <v>交通便捷度</v>
      </c>
      <c r="R17" s="1694" t="s">
        <v>25</v>
      </c>
      <c r="S17" s="1695">
        <f>F17</f>
        <v>100</v>
      </c>
      <c r="T17" s="1694" t="s">
        <v>25</v>
      </c>
      <c r="U17" s="1695">
        <f>H17</f>
        <v>100</v>
      </c>
      <c r="V17" s="1694" t="s">
        <v>25</v>
      </c>
      <c r="W17" s="1695">
        <f>J17</f>
        <v>100</v>
      </c>
      <c r="X17" s="2043"/>
      <c r="Y17" s="3579"/>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9"/>
      <c r="M18" s="2965"/>
      <c r="N18" s="2965"/>
      <c r="O18" s="2965"/>
      <c r="P18" s="3626"/>
      <c r="Q18" s="2040"/>
      <c r="R18" s="1694"/>
      <c r="S18" s="1695"/>
      <c r="T18" s="1694"/>
      <c r="U18" s="1695"/>
      <c r="V18" s="1694"/>
      <c r="W18" s="1695"/>
      <c r="X18" s="2043"/>
      <c r="Y18" s="3579"/>
      <c r="Z18" s="2047"/>
      <c r="AA18" s="2038">
        <v>1</v>
      </c>
      <c r="AB18" s="2038">
        <v>1</v>
      </c>
      <c r="AC18" s="2038">
        <v>1</v>
      </c>
    </row>
    <row r="19" spans="1:29" ht="15">
      <c r="A19" s="1671"/>
      <c r="B19" s="1706" t="s">
        <v>2296</v>
      </c>
      <c r="C19" s="1707" t="str">
        <f>估价对象房地状况!C7</f>
        <v>较好</v>
      </c>
      <c r="D19" s="1711">
        <v>100</v>
      </c>
      <c r="E19" s="1716"/>
      <c r="F19" s="1717">
        <f>SUMIF(80:80,E20,81:81)-SUMIF(80:80,C20,81:81)+100</f>
        <v>100</v>
      </c>
      <c r="G19" s="1718"/>
      <c r="H19" s="1704">
        <f>SUMIF(80:80,G20,81:81)-SUMIF(80:80,C20,81:81)+100</f>
        <v>100</v>
      </c>
      <c r="I19" s="1716"/>
      <c r="J19" s="1704">
        <f>SUMIF(80:80,I20,81:81)-SUMIF(80:80,C20,81:81)+100</f>
        <v>100</v>
      </c>
      <c r="K19" s="2441"/>
      <c r="L19" s="2969"/>
      <c r="M19" s="2965"/>
      <c r="N19" s="2965"/>
      <c r="O19" s="2965"/>
      <c r="P19" s="3626"/>
      <c r="Q19" s="2040" t="str">
        <f>B19</f>
        <v>公共配套设施</v>
      </c>
      <c r="R19" s="1694" t="s">
        <v>25</v>
      </c>
      <c r="S19" s="1695">
        <f>F19</f>
        <v>100</v>
      </c>
      <c r="T19" s="1694" t="s">
        <v>25</v>
      </c>
      <c r="U19" s="1695">
        <f>H19</f>
        <v>100</v>
      </c>
      <c r="V19" s="1694" t="s">
        <v>25</v>
      </c>
      <c r="W19" s="1695">
        <f>J19</f>
        <v>100</v>
      </c>
      <c r="X19" s="2043"/>
      <c r="Y19" s="3579"/>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9"/>
      <c r="M20" s="2965"/>
      <c r="N20" s="2965"/>
      <c r="O20" s="2965"/>
      <c r="P20" s="3626"/>
      <c r="Q20" s="2040"/>
      <c r="R20" s="1694"/>
      <c r="S20" s="1695"/>
      <c r="T20" s="1694"/>
      <c r="U20" s="1695"/>
      <c r="V20" s="1694"/>
      <c r="W20" s="1695"/>
      <c r="X20" s="2043"/>
      <c r="Y20" s="3579"/>
      <c r="Z20" s="2047"/>
      <c r="AA20" s="2038">
        <v>1</v>
      </c>
      <c r="AB20" s="2038">
        <v>1</v>
      </c>
      <c r="AC20" s="2038">
        <v>1</v>
      </c>
    </row>
    <row r="21" spans="1:29" ht="15">
      <c r="A21" s="1671"/>
      <c r="B21" s="1719" t="s">
        <v>2297</v>
      </c>
      <c r="C21" s="1707" t="str">
        <f>估价对象房地状况!C8</f>
        <v>七通</v>
      </c>
      <c r="D21" s="1711">
        <v>100</v>
      </c>
      <c r="E21" s="1716"/>
      <c r="F21" s="1717">
        <f>SUMIF(82:82,E22,83:83)-SUMIF(82:82,C22,83:83)+100</f>
        <v>100</v>
      </c>
      <c r="G21" s="1718"/>
      <c r="H21" s="1704">
        <f>SUMIF(82:82,G22,83:83)-SUMIF(82:82,C22,83:83)+100</f>
        <v>100</v>
      </c>
      <c r="I21" s="1716"/>
      <c r="J21" s="1704">
        <f>SUMIF(82:82,I22,83:83)-SUMIF(82:82,C22,83:83)+100</f>
        <v>100</v>
      </c>
      <c r="K21" s="2441"/>
      <c r="L21" s="2969"/>
      <c r="M21" s="2965"/>
      <c r="N21" s="2965"/>
      <c r="O21" s="2965"/>
      <c r="P21" s="3626"/>
      <c r="Q21" s="2040" t="str">
        <f>B21</f>
        <v>基础设施水平</v>
      </c>
      <c r="R21" s="1694" t="s">
        <v>25</v>
      </c>
      <c r="S21" s="1695">
        <f>F21</f>
        <v>100</v>
      </c>
      <c r="T21" s="1694" t="s">
        <v>25</v>
      </c>
      <c r="U21" s="1695">
        <f>H21</f>
        <v>100</v>
      </c>
      <c r="V21" s="1694" t="s">
        <v>25</v>
      </c>
      <c r="W21" s="1695">
        <f>J21</f>
        <v>100</v>
      </c>
      <c r="X21" s="2043"/>
      <c r="Y21" s="3579"/>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9"/>
      <c r="M22" s="2965"/>
      <c r="N22" s="2965"/>
      <c r="O22" s="2965"/>
      <c r="P22" s="3626"/>
      <c r="Q22" s="2040"/>
      <c r="R22" s="1694"/>
      <c r="S22" s="1695"/>
      <c r="T22" s="1694"/>
      <c r="U22" s="1695"/>
      <c r="V22" s="1694"/>
      <c r="W22" s="1695"/>
      <c r="X22" s="2043"/>
      <c r="Y22" s="3579"/>
      <c r="Z22" s="2047"/>
      <c r="AA22" s="2038">
        <v>1</v>
      </c>
      <c r="AB22" s="2038">
        <v>1</v>
      </c>
      <c r="AC22" s="2038">
        <v>1</v>
      </c>
    </row>
    <row r="23" spans="1:29" ht="15">
      <c r="A23" s="1671"/>
      <c r="B23" s="1706" t="s">
        <v>1650</v>
      </c>
      <c r="C23" s="2444" t="str">
        <f>估价对象房地状况!C9</f>
        <v>一般</v>
      </c>
      <c r="D23" s="1704">
        <v>100</v>
      </c>
      <c r="E23" s="1708"/>
      <c r="F23" s="1709">
        <f>SUMIF(84:84,E24,85:85)-SUMIF(84:84,C24,85:85)+100</f>
        <v>100</v>
      </c>
      <c r="G23" s="1710"/>
      <c r="H23" s="1704">
        <f>SUMIF(84:84,G24,85:85)-SUMIF(84:84,C24,85:85)+100</f>
        <v>100</v>
      </c>
      <c r="I23" s="1708"/>
      <c r="J23" s="1704">
        <f>SUMIF(84:84,I24,85:85)-SUMIF(84:84,C24,85:85)+100</f>
        <v>100</v>
      </c>
      <c r="K23" s="2441"/>
      <c r="L23" s="2969"/>
      <c r="M23" s="2965"/>
      <c r="N23" s="2965"/>
      <c r="O23" s="2965"/>
      <c r="P23" s="3626"/>
      <c r="Q23" s="2040" t="str">
        <f>B23</f>
        <v>自然及人文环境</v>
      </c>
      <c r="R23" s="1694" t="s">
        <v>25</v>
      </c>
      <c r="S23" s="1695">
        <f>F23</f>
        <v>100</v>
      </c>
      <c r="T23" s="1694" t="s">
        <v>25</v>
      </c>
      <c r="U23" s="1695">
        <f>H23</f>
        <v>100</v>
      </c>
      <c r="V23" s="1694" t="s">
        <v>25</v>
      </c>
      <c r="W23" s="1695">
        <f>J23</f>
        <v>100</v>
      </c>
      <c r="X23" s="2043"/>
      <c r="Y23" s="3579"/>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9"/>
      <c r="M24" s="2965"/>
      <c r="N24" s="2965"/>
      <c r="O24" s="2965"/>
      <c r="P24" s="3626"/>
      <c r="Q24" s="2040"/>
      <c r="R24" s="1694"/>
      <c r="S24" s="1695"/>
      <c r="T24" s="1694"/>
      <c r="U24" s="1695"/>
      <c r="V24" s="1694"/>
      <c r="W24" s="1695"/>
      <c r="X24" s="2043"/>
      <c r="Y24" s="3579"/>
      <c r="Z24" s="2047"/>
      <c r="AA24" s="2038">
        <v>1</v>
      </c>
      <c r="AB24" s="2038">
        <v>1</v>
      </c>
      <c r="AC24" s="2038">
        <v>1</v>
      </c>
    </row>
    <row r="25" spans="1:29" ht="15">
      <c r="A25" s="1671"/>
      <c r="B25" s="1664" t="s">
        <v>2298</v>
      </c>
      <c r="C25" s="1960"/>
      <c r="D25" s="1680">
        <v>100</v>
      </c>
      <c r="E25" s="1960"/>
      <c r="F25" s="1723">
        <f>SUMIF(86:86,E25,87:87)-SUMIF(86:86,C25,87:87)+100</f>
        <v>100</v>
      </c>
      <c r="G25" s="1960"/>
      <c r="H25" s="1680">
        <f>SUMIF(86:86,G25,87:87)-SUMIF(86:86,C25,87:87)+100</f>
        <v>100</v>
      </c>
      <c r="I25" s="1960"/>
      <c r="J25" s="1680">
        <f>SUMIF(86:86,I25,87:87)-SUMIF(86:86,C25,87:87)+100</f>
        <v>100</v>
      </c>
      <c r="K25" s="1961"/>
      <c r="L25" s="2969"/>
      <c r="M25" s="2965"/>
      <c r="N25" s="2965"/>
      <c r="O25" s="2965"/>
      <c r="P25" s="3626"/>
      <c r="Q25" s="2040" t="str">
        <f t="shared" ref="Q25:Q46" si="11">B25</f>
        <v>临街状况</v>
      </c>
      <c r="R25" s="1694" t="s">
        <v>25</v>
      </c>
      <c r="S25" s="1695">
        <f>F25</f>
        <v>100</v>
      </c>
      <c r="T25" s="1694" t="s">
        <v>25</v>
      </c>
      <c r="U25" s="1695">
        <f>H25</f>
        <v>100</v>
      </c>
      <c r="V25" s="1694" t="s">
        <v>25</v>
      </c>
      <c r="W25" s="1695">
        <f>J25</f>
        <v>100</v>
      </c>
      <c r="X25" s="2043"/>
      <c r="Y25" s="3579"/>
      <c r="Z25" s="2047" t="str">
        <f>Q25</f>
        <v>临街状况</v>
      </c>
      <c r="AA25" s="2038">
        <f t="shared" si="3"/>
        <v>1</v>
      </c>
      <c r="AB25" s="2038">
        <f t="shared" si="4"/>
        <v>1</v>
      </c>
      <c r="AC25" s="2038">
        <f t="shared" si="5"/>
        <v>1</v>
      </c>
    </row>
    <row r="26" spans="1:29" ht="15">
      <c r="A26" s="1671"/>
      <c r="B26" s="1729" t="s">
        <v>2299</v>
      </c>
      <c r="C26" s="1679"/>
      <c r="D26" s="1680">
        <v>100</v>
      </c>
      <c r="E26" s="1679"/>
      <c r="F26" s="1723">
        <f>SUMIF(88:88,E26,89:89)-SUMIF(88:88,C26,89:89)+100</f>
        <v>100</v>
      </c>
      <c r="G26" s="1679"/>
      <c r="H26" s="1680">
        <f>SUMIF(88:88,G26,89:89)-SUMIF(88:88,C26,89:89)+100</f>
        <v>100</v>
      </c>
      <c r="I26" s="1679"/>
      <c r="J26" s="1680">
        <f>SUMIF(88:88,I26,89:89)-SUMIF(88:88,C26,89:89)+100</f>
        <v>100</v>
      </c>
      <c r="K26" s="1958"/>
      <c r="L26" s="2969"/>
      <c r="M26" s="2965"/>
      <c r="N26" s="2965"/>
      <c r="O26" s="2965"/>
      <c r="P26" s="3626"/>
      <c r="Q26" s="2040" t="str">
        <f t="shared" si="11"/>
        <v>平面位置/可视性</v>
      </c>
      <c r="R26" s="1694" t="s">
        <v>25</v>
      </c>
      <c r="S26" s="1695">
        <f>F26</f>
        <v>100</v>
      </c>
      <c r="T26" s="1694" t="s">
        <v>25</v>
      </c>
      <c r="U26" s="1695">
        <f>H26</f>
        <v>100</v>
      </c>
      <c r="V26" s="1694" t="s">
        <v>25</v>
      </c>
      <c r="W26" s="1695">
        <f>J26</f>
        <v>100</v>
      </c>
      <c r="X26" s="2043"/>
      <c r="Y26" s="3579"/>
      <c r="Z26" s="2047" t="str">
        <f>Q26</f>
        <v>平面位置/可视性</v>
      </c>
      <c r="AA26" s="2038">
        <f t="shared" si="3"/>
        <v>1</v>
      </c>
      <c r="AB26" s="2038">
        <f t="shared" si="4"/>
        <v>1</v>
      </c>
      <c r="AC26" s="2038">
        <f t="shared" si="5"/>
        <v>1</v>
      </c>
    </row>
    <row r="27" spans="1:29" s="1653" customFormat="1" ht="15">
      <c r="A27" s="1674"/>
      <c r="B27" s="1706" t="s">
        <v>2300</v>
      </c>
      <c r="C27" s="2445"/>
      <c r="D27" s="1725">
        <v>100</v>
      </c>
      <c r="E27" s="2445"/>
      <c r="F27" s="1727">
        <f>SUMIF(90:90,E27,91:91)-SUMIF(90:90,C27,91:91)+100</f>
        <v>100</v>
      </c>
      <c r="G27" s="2445"/>
      <c r="H27" s="1725">
        <f>SUMIF(90:90,G27,91:91)-SUMIF(90:90,C27,91:91)+100</f>
        <v>100</v>
      </c>
      <c r="I27" s="2445"/>
      <c r="J27" s="1725">
        <f>SUMIF(90:90,I27,91:91)-SUMIF(90:90,C27,91:91)+100</f>
        <v>100</v>
      </c>
      <c r="K27" s="1961"/>
      <c r="L27" s="2964"/>
      <c r="M27" s="2937"/>
      <c r="N27" s="2937"/>
      <c r="O27" s="2937"/>
      <c r="P27" s="3626"/>
      <c r="Q27" s="2034" t="str">
        <f t="shared" si="11"/>
        <v>人流量</v>
      </c>
      <c r="R27" s="1649" t="s">
        <v>25</v>
      </c>
      <c r="S27" s="1650">
        <f>F27</f>
        <v>100</v>
      </c>
      <c r="T27" s="1649" t="s">
        <v>25</v>
      </c>
      <c r="U27" s="1650">
        <f>H27</f>
        <v>100</v>
      </c>
      <c r="V27" s="1649" t="s">
        <v>25</v>
      </c>
      <c r="W27" s="1650">
        <f>J27</f>
        <v>100</v>
      </c>
      <c r="X27" s="1651"/>
      <c r="Y27" s="3579"/>
      <c r="Z27" s="1662" t="str">
        <f>Q27</f>
        <v>人流量</v>
      </c>
      <c r="AA27" s="2038">
        <f>D27/F27</f>
        <v>1</v>
      </c>
      <c r="AB27" s="2038">
        <f>D27/H27</f>
        <v>1</v>
      </c>
      <c r="AC27" s="2038">
        <f>D27/J27</f>
        <v>1</v>
      </c>
    </row>
    <row r="28" spans="1:29" ht="15">
      <c r="A28" s="1671"/>
      <c r="B28" s="1664" t="s">
        <v>2301</v>
      </c>
      <c r="C28" s="1960"/>
      <c r="D28" s="1680">
        <v>100</v>
      </c>
      <c r="E28" s="1960"/>
      <c r="F28" s="1723">
        <f>SUMIF(92:92,E28,93:93)-SUMIF(92:92,C28,93:93)+100</f>
        <v>100</v>
      </c>
      <c r="G28" s="1960"/>
      <c r="H28" s="1680">
        <f>SUMIF(92:92,G28,93:93)-SUMIF(92:92,C28,93:93)+100</f>
        <v>100</v>
      </c>
      <c r="I28" s="1960"/>
      <c r="J28" s="1680">
        <f>SUMIF(92:92,I28,93:93)-SUMIF(92:92,C28,93:93)+100</f>
        <v>100</v>
      </c>
      <c r="K28" s="1958"/>
      <c r="L28" s="2969"/>
      <c r="M28" s="2965"/>
      <c r="N28" s="2965"/>
      <c r="O28" s="2965"/>
      <c r="P28" s="3626"/>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579"/>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26"/>
      <c r="Q29" s="2040">
        <f t="shared" si="11"/>
        <v>111</v>
      </c>
      <c r="R29" s="1694" t="s">
        <v>25</v>
      </c>
      <c r="S29" s="1695">
        <f t="shared" si="12"/>
        <v>100</v>
      </c>
      <c r="T29" s="1694" t="s">
        <v>25</v>
      </c>
      <c r="U29" s="1695">
        <f t="shared" si="13"/>
        <v>100</v>
      </c>
      <c r="V29" s="1694" t="s">
        <v>25</v>
      </c>
      <c r="W29" s="1695">
        <f t="shared" si="14"/>
        <v>100</v>
      </c>
      <c r="X29" s="2043"/>
      <c r="Y29" s="3579"/>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26"/>
      <c r="Q30" s="2040">
        <f t="shared" si="11"/>
        <v>111</v>
      </c>
      <c r="R30" s="1694" t="s">
        <v>25</v>
      </c>
      <c r="S30" s="1695">
        <f t="shared" si="12"/>
        <v>100</v>
      </c>
      <c r="T30" s="1694" t="s">
        <v>25</v>
      </c>
      <c r="U30" s="1695">
        <f t="shared" si="13"/>
        <v>100</v>
      </c>
      <c r="V30" s="1694" t="s">
        <v>25</v>
      </c>
      <c r="W30" s="1695">
        <f t="shared" si="14"/>
        <v>100</v>
      </c>
      <c r="X30" s="2043"/>
      <c r="Y30" s="3579"/>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26"/>
      <c r="Q31" s="2040">
        <f t="shared" si="11"/>
        <v>111</v>
      </c>
      <c r="R31" s="1694" t="s">
        <v>25</v>
      </c>
      <c r="S31" s="1695">
        <f t="shared" si="12"/>
        <v>100</v>
      </c>
      <c r="T31" s="1694" t="s">
        <v>25</v>
      </c>
      <c r="U31" s="1695">
        <f t="shared" si="13"/>
        <v>100</v>
      </c>
      <c r="V31" s="1694" t="s">
        <v>25</v>
      </c>
      <c r="W31" s="1695">
        <f t="shared" si="14"/>
        <v>100</v>
      </c>
      <c r="X31" s="2043"/>
      <c r="Y31" s="3579"/>
      <c r="Z31" s="2047">
        <f t="shared" si="15"/>
        <v>111</v>
      </c>
      <c r="AA31" s="2038">
        <f t="shared" si="3"/>
        <v>1</v>
      </c>
      <c r="AB31" s="2038">
        <f t="shared" si="4"/>
        <v>1</v>
      </c>
      <c r="AC31" s="2038">
        <f t="shared" si="5"/>
        <v>1</v>
      </c>
    </row>
    <row r="32" spans="1:29" ht="15">
      <c r="A32" s="1686" t="s">
        <v>2214</v>
      </c>
      <c r="B32" s="1656" t="s">
        <v>2302</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9"/>
      <c r="M32" s="2965"/>
      <c r="N32" s="2965"/>
      <c r="O32" s="2965"/>
      <c r="P32" s="3627" t="s">
        <v>2216</v>
      </c>
      <c r="Q32" s="2040" t="str">
        <f t="shared" si="11"/>
        <v>商业类型</v>
      </c>
      <c r="R32" s="1694" t="s">
        <v>25</v>
      </c>
      <c r="S32" s="1695">
        <f t="shared" si="12"/>
        <v>100</v>
      </c>
      <c r="T32" s="1694" t="s">
        <v>25</v>
      </c>
      <c r="U32" s="1695">
        <f t="shared" si="13"/>
        <v>100</v>
      </c>
      <c r="V32" s="1694" t="s">
        <v>25</v>
      </c>
      <c r="W32" s="1695">
        <f t="shared" si="14"/>
        <v>100</v>
      </c>
      <c r="X32" s="2043"/>
      <c r="Y32" s="3567" t="s">
        <v>2216</v>
      </c>
      <c r="Z32" s="2047" t="str">
        <f t="shared" si="15"/>
        <v>商业类型</v>
      </c>
      <c r="AA32" s="2038">
        <f t="shared" si="3"/>
        <v>1</v>
      </c>
      <c r="AB32" s="2038">
        <f t="shared" si="4"/>
        <v>1</v>
      </c>
      <c r="AC32" s="2038">
        <f t="shared" si="5"/>
        <v>1</v>
      </c>
    </row>
    <row r="33" spans="1:29" s="1740" customFormat="1" ht="15">
      <c r="A33" s="1733"/>
      <c r="B33" s="1664" t="s">
        <v>2217</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8"/>
      <c r="M33" s="2028"/>
      <c r="N33" s="2028"/>
      <c r="O33" s="2028"/>
      <c r="P33" s="3628"/>
      <c r="Q33" s="1735" t="str">
        <f t="shared" si="11"/>
        <v>项目建筑规模</v>
      </c>
      <c r="R33" s="1736" t="s">
        <v>25</v>
      </c>
      <c r="S33" s="1737" t="e">
        <f t="shared" si="12"/>
        <v>#N/A</v>
      </c>
      <c r="T33" s="1736" t="s">
        <v>25</v>
      </c>
      <c r="U33" s="1737" t="e">
        <f t="shared" si="13"/>
        <v>#N/A</v>
      </c>
      <c r="V33" s="1736" t="s">
        <v>25</v>
      </c>
      <c r="W33" s="1737" t="e">
        <f t="shared" si="14"/>
        <v>#N/A</v>
      </c>
      <c r="X33" s="1738"/>
      <c r="Y33" s="3567"/>
      <c r="Z33" s="1739" t="str">
        <f t="shared" si="15"/>
        <v>项目建筑规模</v>
      </c>
      <c r="AA33" s="2038" t="e">
        <f t="shared" si="3"/>
        <v>#N/A</v>
      </c>
      <c r="AB33" s="2038" t="e">
        <f t="shared" si="4"/>
        <v>#N/A</v>
      </c>
      <c r="AC33" s="2038" t="e">
        <f t="shared" si="5"/>
        <v>#N/A</v>
      </c>
    </row>
    <row r="34" spans="1:29" ht="15">
      <c r="A34" s="1741"/>
      <c r="B34" s="1664" t="s">
        <v>2218</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28"/>
      <c r="Q34" s="2040" t="str">
        <f t="shared" si="11"/>
        <v>建筑结构</v>
      </c>
      <c r="R34" s="1694" t="s">
        <v>25</v>
      </c>
      <c r="S34" s="1695">
        <f t="shared" si="12"/>
        <v>100</v>
      </c>
      <c r="T34" s="1694" t="s">
        <v>25</v>
      </c>
      <c r="U34" s="1695">
        <f t="shared" si="13"/>
        <v>100</v>
      </c>
      <c r="V34" s="1694" t="s">
        <v>25</v>
      </c>
      <c r="W34" s="1695">
        <f t="shared" si="14"/>
        <v>100</v>
      </c>
      <c r="X34" s="2043"/>
      <c r="Y34" s="3567"/>
      <c r="Z34" s="2047" t="str">
        <f t="shared" si="15"/>
        <v>建筑结构</v>
      </c>
      <c r="AA34" s="2038">
        <f t="shared" si="3"/>
        <v>1</v>
      </c>
      <c r="AB34" s="2038">
        <f t="shared" si="4"/>
        <v>1</v>
      </c>
      <c r="AC34" s="2038">
        <f t="shared" si="5"/>
        <v>1</v>
      </c>
    </row>
    <row r="35" spans="1:29" ht="15">
      <c r="A35" s="1741"/>
      <c r="B35" s="1664" t="s">
        <v>2303</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28"/>
      <c r="Q35" s="2040" t="str">
        <f t="shared" si="11"/>
        <v>公共部分装修</v>
      </c>
      <c r="R35" s="1694" t="s">
        <v>25</v>
      </c>
      <c r="S35" s="1695">
        <f t="shared" si="12"/>
        <v>100</v>
      </c>
      <c r="T35" s="1694" t="s">
        <v>25</v>
      </c>
      <c r="U35" s="1695">
        <f t="shared" si="13"/>
        <v>100</v>
      </c>
      <c r="V35" s="1694" t="s">
        <v>25</v>
      </c>
      <c r="W35" s="1695">
        <f t="shared" si="14"/>
        <v>100</v>
      </c>
      <c r="X35" s="2043"/>
      <c r="Y35" s="3567"/>
      <c r="Z35" s="2047" t="str">
        <f t="shared" si="15"/>
        <v>公共部分装修</v>
      </c>
      <c r="AA35" s="2038">
        <f t="shared" si="3"/>
        <v>1</v>
      </c>
      <c r="AB35" s="2038">
        <f t="shared" si="4"/>
        <v>1</v>
      </c>
      <c r="AC35" s="2038">
        <f t="shared" si="5"/>
        <v>1</v>
      </c>
    </row>
    <row r="36" spans="1:29" ht="15">
      <c r="A36" s="1741"/>
      <c r="B36" s="1664" t="s">
        <v>2304</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9"/>
      <c r="M36" s="2965"/>
      <c r="N36" s="2965"/>
      <c r="O36" s="2965"/>
      <c r="P36" s="3628"/>
      <c r="Q36" s="2040" t="str">
        <f t="shared" si="11"/>
        <v>成新度</v>
      </c>
      <c r="R36" s="1694" t="s">
        <v>25</v>
      </c>
      <c r="S36" s="1695" t="e">
        <f t="shared" si="12"/>
        <v>#N/A</v>
      </c>
      <c r="T36" s="1694" t="s">
        <v>25</v>
      </c>
      <c r="U36" s="1695" t="e">
        <f t="shared" si="13"/>
        <v>#N/A</v>
      </c>
      <c r="V36" s="1694" t="s">
        <v>25</v>
      </c>
      <c r="W36" s="1695" t="e">
        <f t="shared" si="14"/>
        <v>#N/A</v>
      </c>
      <c r="X36" s="2043"/>
      <c r="Y36" s="3567"/>
      <c r="Z36" s="2047" t="str">
        <f t="shared" si="15"/>
        <v>成新度</v>
      </c>
      <c r="AA36" s="2038" t="e">
        <f t="shared" si="3"/>
        <v>#N/A</v>
      </c>
      <c r="AB36" s="2038" t="e">
        <f t="shared" si="4"/>
        <v>#N/A</v>
      </c>
      <c r="AC36" s="2038" t="e">
        <f t="shared" si="5"/>
        <v>#N/A</v>
      </c>
    </row>
    <row r="37" spans="1:29" s="1653" customFormat="1" ht="15">
      <c r="A37" s="1744"/>
      <c r="B37" s="1664" t="s">
        <v>2305</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28"/>
      <c r="Q37" s="2034" t="str">
        <f t="shared" si="11"/>
        <v>市政基础设施</v>
      </c>
      <c r="R37" s="1649" t="s">
        <v>25</v>
      </c>
      <c r="S37" s="1650">
        <f t="shared" si="12"/>
        <v>100</v>
      </c>
      <c r="T37" s="1649" t="s">
        <v>25</v>
      </c>
      <c r="U37" s="1650">
        <f t="shared" si="13"/>
        <v>100</v>
      </c>
      <c r="V37" s="1649" t="s">
        <v>25</v>
      </c>
      <c r="W37" s="1650">
        <f t="shared" si="14"/>
        <v>100</v>
      </c>
      <c r="X37" s="1651"/>
      <c r="Y37" s="3567"/>
      <c r="Z37" s="1662" t="str">
        <f t="shared" si="15"/>
        <v>市政基础设施</v>
      </c>
      <c r="AA37" s="1652">
        <f t="shared" si="3"/>
        <v>1</v>
      </c>
      <c r="AB37" s="1652">
        <f t="shared" si="4"/>
        <v>1</v>
      </c>
      <c r="AC37" s="1652">
        <f t="shared" si="5"/>
        <v>1</v>
      </c>
    </row>
    <row r="38" spans="1:29" ht="15">
      <c r="A38" s="1741"/>
      <c r="B38" s="1664" t="s">
        <v>2306</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9"/>
      <c r="M38" s="2965"/>
      <c r="N38" s="2965"/>
      <c r="O38" s="2965"/>
      <c r="P38" s="3628" t="s">
        <v>2216</v>
      </c>
      <c r="Q38" s="2040" t="str">
        <f t="shared" si="11"/>
        <v>业态</v>
      </c>
      <c r="R38" s="1694" t="s">
        <v>25</v>
      </c>
      <c r="S38" s="1695">
        <f t="shared" si="12"/>
        <v>100</v>
      </c>
      <c r="T38" s="1694" t="s">
        <v>25</v>
      </c>
      <c r="U38" s="1695">
        <f t="shared" si="13"/>
        <v>100</v>
      </c>
      <c r="V38" s="1694" t="s">
        <v>25</v>
      </c>
      <c r="W38" s="1695">
        <f t="shared" si="14"/>
        <v>100</v>
      </c>
      <c r="X38" s="2043"/>
      <c r="Y38" s="3567" t="s">
        <v>2216</v>
      </c>
      <c r="Z38" s="2047" t="str">
        <f t="shared" si="15"/>
        <v>业态</v>
      </c>
      <c r="AA38" s="2038">
        <f t="shared" si="3"/>
        <v>1</v>
      </c>
      <c r="AB38" s="2038">
        <f t="shared" si="4"/>
        <v>1</v>
      </c>
      <c r="AC38" s="2038">
        <f t="shared" si="5"/>
        <v>1</v>
      </c>
    </row>
    <row r="39" spans="1:29" ht="15">
      <c r="A39" s="1741"/>
      <c r="B39" s="1664" t="s">
        <v>2307</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9"/>
      <c r="M39" s="2965"/>
      <c r="N39" s="2965"/>
      <c r="O39" s="2965"/>
      <c r="P39" s="3628"/>
      <c r="Q39" s="2040" t="str">
        <f t="shared" si="11"/>
        <v>层高</v>
      </c>
      <c r="R39" s="1694" t="s">
        <v>25</v>
      </c>
      <c r="S39" s="1695">
        <f t="shared" si="12"/>
        <v>100</v>
      </c>
      <c r="T39" s="1694" t="s">
        <v>25</v>
      </c>
      <c r="U39" s="1695">
        <f t="shared" si="13"/>
        <v>100</v>
      </c>
      <c r="V39" s="1694" t="s">
        <v>25</v>
      </c>
      <c r="W39" s="1695">
        <f t="shared" si="14"/>
        <v>100</v>
      </c>
      <c r="X39" s="2043"/>
      <c r="Y39" s="3567"/>
      <c r="Z39" s="2047" t="str">
        <f t="shared" si="15"/>
        <v>层高</v>
      </c>
      <c r="AA39" s="2038">
        <f t="shared" si="3"/>
        <v>1</v>
      </c>
      <c r="AB39" s="2038">
        <f t="shared" si="4"/>
        <v>1</v>
      </c>
      <c r="AC39" s="2038">
        <f t="shared" si="5"/>
        <v>1</v>
      </c>
    </row>
    <row r="40" spans="1:29" ht="15">
      <c r="A40" s="1741"/>
      <c r="B40" s="1664" t="s">
        <v>2308</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28"/>
      <c r="Q40" s="2040" t="str">
        <f t="shared" si="11"/>
        <v>单套建筑面积</v>
      </c>
      <c r="R40" s="1694" t="s">
        <v>25</v>
      </c>
      <c r="S40" s="1695">
        <f t="shared" si="12"/>
        <v>100</v>
      </c>
      <c r="T40" s="1694" t="s">
        <v>25</v>
      </c>
      <c r="U40" s="1695">
        <f t="shared" si="13"/>
        <v>100</v>
      </c>
      <c r="V40" s="1694" t="s">
        <v>25</v>
      </c>
      <c r="W40" s="1695">
        <f t="shared" si="14"/>
        <v>100</v>
      </c>
      <c r="X40" s="2043"/>
      <c r="Y40" s="3567"/>
      <c r="Z40" s="2047" t="str">
        <f t="shared" si="15"/>
        <v>单套建筑面积</v>
      </c>
      <c r="AA40" s="2038">
        <f t="shared" si="3"/>
        <v>1</v>
      </c>
      <c r="AB40" s="2038">
        <f t="shared" si="4"/>
        <v>1</v>
      </c>
      <c r="AC40" s="2038">
        <f t="shared" si="5"/>
        <v>1</v>
      </c>
    </row>
    <row r="41" spans="1:29" s="1740" customFormat="1" ht="15">
      <c r="A41" s="1733"/>
      <c r="B41" s="2039" t="s">
        <v>2309</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28"/>
      <c r="Q41" s="1735" t="str">
        <f t="shared" si="11"/>
        <v>进深比</v>
      </c>
      <c r="R41" s="1736" t="s">
        <v>25</v>
      </c>
      <c r="S41" s="1737">
        <f t="shared" si="12"/>
        <v>100</v>
      </c>
      <c r="T41" s="1736" t="s">
        <v>25</v>
      </c>
      <c r="U41" s="1737">
        <f t="shared" si="13"/>
        <v>100</v>
      </c>
      <c r="V41" s="1736" t="s">
        <v>25</v>
      </c>
      <c r="W41" s="1737">
        <f t="shared" si="14"/>
        <v>100</v>
      </c>
      <c r="X41" s="1738"/>
      <c r="Y41" s="3567"/>
      <c r="Z41" s="1739" t="str">
        <f t="shared" si="15"/>
        <v>进深比</v>
      </c>
      <c r="AA41" s="2038">
        <f t="shared" si="3"/>
        <v>1</v>
      </c>
      <c r="AB41" s="2038">
        <f t="shared" si="4"/>
        <v>1</v>
      </c>
      <c r="AC41" s="2038">
        <f t="shared" si="5"/>
        <v>1</v>
      </c>
    </row>
    <row r="42" spans="1:29" ht="15">
      <c r="A42" s="1741"/>
      <c r="B42" s="1664" t="s">
        <v>2310</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28"/>
      <c r="Q42" s="2040" t="str">
        <f t="shared" si="11"/>
        <v>内部装修</v>
      </c>
      <c r="R42" s="1694" t="s">
        <v>25</v>
      </c>
      <c r="S42" s="1695">
        <f t="shared" si="12"/>
        <v>100</v>
      </c>
      <c r="T42" s="1694" t="s">
        <v>25</v>
      </c>
      <c r="U42" s="1695">
        <f t="shared" si="13"/>
        <v>100</v>
      </c>
      <c r="V42" s="1694" t="s">
        <v>25</v>
      </c>
      <c r="W42" s="1695">
        <f t="shared" si="14"/>
        <v>100</v>
      </c>
      <c r="X42" s="2043"/>
      <c r="Y42" s="3567"/>
      <c r="Z42" s="2047" t="str">
        <f t="shared" si="15"/>
        <v>内部装修</v>
      </c>
      <c r="AA42" s="2038">
        <f t="shared" si="3"/>
        <v>1</v>
      </c>
      <c r="AB42" s="2038">
        <f t="shared" si="4"/>
        <v>1</v>
      </c>
      <c r="AC42" s="2038">
        <f t="shared" si="5"/>
        <v>1</v>
      </c>
    </row>
    <row r="43" spans="1:29" ht="15">
      <c r="A43" s="1741"/>
      <c r="B43" s="1664" t="s">
        <v>2227</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28"/>
      <c r="Q43" s="2040" t="str">
        <f t="shared" si="11"/>
        <v>内部装修维护情况</v>
      </c>
      <c r="R43" s="1694" t="s">
        <v>25</v>
      </c>
      <c r="S43" s="1695">
        <f t="shared" si="12"/>
        <v>100</v>
      </c>
      <c r="T43" s="1694" t="s">
        <v>25</v>
      </c>
      <c r="U43" s="1695">
        <f t="shared" si="13"/>
        <v>100</v>
      </c>
      <c r="V43" s="1694" t="s">
        <v>25</v>
      </c>
      <c r="W43" s="1695">
        <f t="shared" si="14"/>
        <v>100</v>
      </c>
      <c r="X43" s="2043"/>
      <c r="Y43" s="3567"/>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28"/>
      <c r="Q44" s="2034">
        <f t="shared" si="11"/>
        <v>111</v>
      </c>
      <c r="R44" s="1649" t="s">
        <v>25</v>
      </c>
      <c r="S44" s="1650">
        <f t="shared" si="12"/>
        <v>100</v>
      </c>
      <c r="T44" s="1649" t="s">
        <v>25</v>
      </c>
      <c r="U44" s="1650">
        <f t="shared" si="13"/>
        <v>100</v>
      </c>
      <c r="V44" s="1649" t="s">
        <v>25</v>
      </c>
      <c r="W44" s="1650">
        <f t="shared" si="14"/>
        <v>100</v>
      </c>
      <c r="X44" s="1651"/>
      <c r="Y44" s="3567"/>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28"/>
      <c r="Q45" s="2040">
        <f t="shared" si="11"/>
        <v>111</v>
      </c>
      <c r="R45" s="1694" t="s">
        <v>25</v>
      </c>
      <c r="S45" s="1695">
        <f t="shared" si="12"/>
        <v>100</v>
      </c>
      <c r="T45" s="1694" t="s">
        <v>25</v>
      </c>
      <c r="U45" s="1695">
        <f t="shared" si="13"/>
        <v>100</v>
      </c>
      <c r="V45" s="1694" t="s">
        <v>25</v>
      </c>
      <c r="W45" s="1695">
        <f t="shared" si="14"/>
        <v>100</v>
      </c>
      <c r="X45" s="2043"/>
      <c r="Y45" s="3567"/>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29"/>
      <c r="Q46" s="2040">
        <f t="shared" si="11"/>
        <v>111</v>
      </c>
      <c r="R46" s="1694" t="s">
        <v>25</v>
      </c>
      <c r="S46" s="1695">
        <f t="shared" si="12"/>
        <v>100</v>
      </c>
      <c r="T46" s="1694" t="s">
        <v>25</v>
      </c>
      <c r="U46" s="1695">
        <f t="shared" si="13"/>
        <v>100</v>
      </c>
      <c r="V46" s="1694" t="s">
        <v>25</v>
      </c>
      <c r="W46" s="1695">
        <f t="shared" si="14"/>
        <v>100</v>
      </c>
      <c r="X46" s="2043"/>
      <c r="Y46" s="3568"/>
      <c r="Z46" s="2047">
        <f t="shared" si="15"/>
        <v>111</v>
      </c>
      <c r="AA46" s="2038">
        <f t="shared" si="3"/>
        <v>1</v>
      </c>
      <c r="AB46" s="2038">
        <f t="shared" si="4"/>
        <v>1</v>
      </c>
      <c r="AC46" s="2038">
        <f t="shared" si="5"/>
        <v>1</v>
      </c>
    </row>
    <row r="47" spans="1:29" ht="15">
      <c r="A47" s="1750" t="s">
        <v>2228</v>
      </c>
      <c r="B47" s="1751"/>
      <c r="C47" s="1752" t="s">
        <v>1</v>
      </c>
      <c r="D47" s="1753"/>
      <c r="E47" s="1754"/>
      <c r="F47" s="1755"/>
      <c r="G47" s="1756"/>
      <c r="H47" s="1757"/>
      <c r="I47" s="1754"/>
      <c r="J47" s="1757"/>
      <c r="K47" s="1982"/>
      <c r="L47" s="2970"/>
      <c r="N47" s="2965"/>
      <c r="P47" s="3561" t="str">
        <f>A47</f>
        <v>成交单价（元/平方米）</v>
      </c>
      <c r="Q47" s="3561"/>
      <c r="R47" s="3562">
        <f>E47</f>
        <v>0</v>
      </c>
      <c r="S47" s="3562"/>
      <c r="T47" s="3562">
        <f>G47</f>
        <v>0</v>
      </c>
      <c r="U47" s="3562"/>
      <c r="V47" s="3562">
        <f>I47</f>
        <v>0</v>
      </c>
      <c r="W47" s="3562"/>
      <c r="X47" s="1760"/>
      <c r="Y47" s="2042"/>
      <c r="Z47" s="1760"/>
      <c r="AA47" s="1760"/>
      <c r="AB47" s="1760"/>
      <c r="AC47" s="1760"/>
    </row>
    <row r="48" spans="1:29" ht="15.75" thickBot="1">
      <c r="A48" s="1762" t="s">
        <v>2311</v>
      </c>
      <c r="B48" s="1763"/>
      <c r="C48" s="1764" t="e">
        <f>R49</f>
        <v>#DIV/0!</v>
      </c>
      <c r="D48" s="1765" t="s">
        <v>2683</v>
      </c>
      <c r="E48" s="1766" t="e">
        <f>R48</f>
        <v>#DIV/0!</v>
      </c>
      <c r="F48" s="1767"/>
      <c r="G48" s="1764" t="e">
        <f>T48</f>
        <v>#DIV/0!</v>
      </c>
      <c r="H48" s="1767"/>
      <c r="I48" s="1766" t="e">
        <f>V48</f>
        <v>#DIV/0!</v>
      </c>
      <c r="J48" s="1767"/>
      <c r="K48" s="2479">
        <f>F48+H48+J48</f>
        <v>0</v>
      </c>
      <c r="L48" s="2970"/>
      <c r="N48" s="2965"/>
      <c r="P48" s="3561" t="str">
        <f>A48</f>
        <v>比较价值（元/平方米）</v>
      </c>
      <c r="Q48" s="3561"/>
      <c r="R48" s="3562" t="e">
        <f>IF(E1="售价",ROUND(PRODUCT(R47,AA7:AA46),0),ROUND(PRODUCT(R47,AA7:AA46),1))</f>
        <v>#DIV/0!</v>
      </c>
      <c r="S48" s="3562"/>
      <c r="T48" s="3562" t="e">
        <f>IF(E1="售价",ROUND(PRODUCT(T47,AB7:AB46),0),ROUND(PRODUCT(T47,AB7:AB46),1))</f>
        <v>#DIV/0!</v>
      </c>
      <c r="U48" s="3562"/>
      <c r="V48" s="3562" t="e">
        <f>IF(E1="售价",ROUND(PRODUCT(V47,AC7:AC46),0),ROUND(PRODUCT(V47,AC7:AC46),1))</f>
        <v>#DIV/0!</v>
      </c>
      <c r="W48" s="3562"/>
      <c r="X48" s="1760"/>
      <c r="Y48" s="1760"/>
      <c r="Z48" s="1760"/>
      <c r="AA48" s="1760"/>
      <c r="AB48" s="1760"/>
      <c r="AC48" s="1760"/>
    </row>
    <row r="49" spans="1:29" ht="15.75" thickBot="1">
      <c r="A49" s="1768" t="s">
        <v>2312</v>
      </c>
      <c r="B49" s="1769"/>
      <c r="C49" s="1771" t="e">
        <f>R49</f>
        <v>#DIV/0!</v>
      </c>
      <c r="D49" s="1771"/>
      <c r="E49" s="1771"/>
      <c r="F49" s="1771"/>
      <c r="G49" s="1771"/>
      <c r="H49" s="1771"/>
      <c r="I49" s="1771"/>
      <c r="J49" s="1771"/>
      <c r="K49" s="1987"/>
      <c r="L49" s="2970"/>
      <c r="N49" s="2965"/>
      <c r="P49" s="3563" t="str">
        <f>A49</f>
        <v>估价对象XX用房的比较价值（楼面单价，元/平方米）</v>
      </c>
      <c r="Q49" s="3564"/>
      <c r="R49" s="3565" t="e">
        <f>IF(E1="售价",ROUND(IF(D48="简单平均",AVERAGE(R48:V48),R48*F48+T48*H48+V48*J48),0),ROUND(IF(D48="简单平均",AVERAGE(R48:V48),R48*F48+T48*H48+V48*J48),1))</f>
        <v>#DIV/0!</v>
      </c>
      <c r="S49" s="3565"/>
      <c r="T49" s="3565"/>
      <c r="U49" s="3565"/>
      <c r="V49" s="3565"/>
      <c r="W49" s="3565"/>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2313</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2314</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2315</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2316</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2198</v>
      </c>
      <c r="B58" s="1792"/>
      <c r="C58" s="1793" t="str">
        <f>YEAR(C7)&amp;"-"&amp;MONTH(C7)</f>
        <v>2022-4</v>
      </c>
      <c r="D58" s="1794">
        <f>EDATE(C58,-1)</f>
        <v>44621</v>
      </c>
      <c r="E58" s="1794">
        <f t="shared" ref="E58:O58" si="16">EDATE(D58,-1)</f>
        <v>44593</v>
      </c>
      <c r="F58" s="1794">
        <f t="shared" si="16"/>
        <v>44562</v>
      </c>
      <c r="G58" s="1794">
        <f t="shared" si="16"/>
        <v>44531</v>
      </c>
      <c r="H58" s="1794">
        <f t="shared" si="16"/>
        <v>44501</v>
      </c>
      <c r="I58" s="1794">
        <f t="shared" si="16"/>
        <v>44470</v>
      </c>
      <c r="J58" s="1794">
        <f t="shared" si="16"/>
        <v>44440</v>
      </c>
      <c r="K58" s="1794">
        <f t="shared" si="16"/>
        <v>44409</v>
      </c>
      <c r="L58" s="1794">
        <f t="shared" si="16"/>
        <v>44378</v>
      </c>
      <c r="M58" s="1794">
        <f t="shared" si="16"/>
        <v>44348</v>
      </c>
      <c r="N58" s="1794">
        <f t="shared" si="16"/>
        <v>44317</v>
      </c>
      <c r="O58" s="1794">
        <f t="shared" si="16"/>
        <v>44287</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2236</v>
      </c>
      <c r="B60" s="1804"/>
      <c r="C60" s="1805"/>
      <c r="D60" s="1806"/>
      <c r="E60" s="1806"/>
      <c r="F60" s="1806"/>
      <c r="G60" s="1806"/>
      <c r="H60" s="1806"/>
      <c r="I60" s="1806"/>
      <c r="J60" s="1806"/>
      <c r="K60" s="1806"/>
      <c r="L60" s="1806"/>
      <c r="M60" s="1807"/>
      <c r="N60" s="1806"/>
      <c r="O60" s="1807"/>
      <c r="P60" s="1802"/>
      <c r="Q60" s="1790"/>
    </row>
    <row r="61" spans="1:29" s="1653" customFormat="1" ht="15">
      <c r="A61" s="1808" t="s">
        <v>2200</v>
      </c>
      <c r="B61" s="1798"/>
      <c r="C61" s="1809" t="s">
        <v>2201</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2239</v>
      </c>
      <c r="B63" s="1816" t="s">
        <v>2204</v>
      </c>
      <c r="C63" s="1817">
        <f>C9</f>
        <v>0</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2207</v>
      </c>
      <c r="C65" s="1828" t="s">
        <v>2240</v>
      </c>
      <c r="D65" s="1828" t="s">
        <v>2241</v>
      </c>
      <c r="E65" s="1828" t="s">
        <v>2242</v>
      </c>
      <c r="F65" s="1828" t="s">
        <v>2243</v>
      </c>
      <c r="G65" s="1828" t="s">
        <v>2244</v>
      </c>
      <c r="H65" s="1828" t="s">
        <v>2245</v>
      </c>
      <c r="I65" s="1828" t="s">
        <v>2246</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4"/>
      <c r="O66" s="2984"/>
      <c r="P66" s="1821"/>
      <c r="Q66" s="1790"/>
    </row>
    <row r="67" spans="1:17" ht="15.75" thickTop="1">
      <c r="A67" s="1822"/>
      <c r="B67" s="1833" t="s">
        <v>2208</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c r="D68" s="1836"/>
      <c r="E68" s="1836"/>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2209</v>
      </c>
      <c r="B76" s="1816" t="s">
        <v>2247</v>
      </c>
      <c r="C76" s="1854" t="s">
        <v>2248</v>
      </c>
      <c r="D76" s="1854" t="s">
        <v>2249</v>
      </c>
      <c r="E76" s="1854" t="s">
        <v>2250</v>
      </c>
      <c r="F76" s="1854" t="s">
        <v>2251</v>
      </c>
      <c r="G76" s="1854" t="s">
        <v>2252</v>
      </c>
      <c r="H76" s="1817"/>
      <c r="I76" s="1817"/>
      <c r="J76" s="1817"/>
      <c r="K76" s="463"/>
      <c r="L76" s="463"/>
      <c r="M76" s="1855"/>
      <c r="N76" s="2983"/>
      <c r="O76" s="2983"/>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4"/>
      <c r="O77" s="2984"/>
      <c r="P77" s="1821"/>
      <c r="Q77" s="1790"/>
    </row>
    <row r="78" spans="1:17" ht="15.75" thickTop="1">
      <c r="A78" s="1822"/>
      <c r="B78" s="1827" t="s">
        <v>2253</v>
      </c>
      <c r="C78" s="579" t="s">
        <v>2248</v>
      </c>
      <c r="D78" s="579" t="s">
        <v>2249</v>
      </c>
      <c r="E78" s="579" t="s">
        <v>2250</v>
      </c>
      <c r="F78" s="579" t="s">
        <v>2251</v>
      </c>
      <c r="G78" s="579" t="s">
        <v>2252</v>
      </c>
      <c r="H78" s="1828"/>
      <c r="I78" s="1828"/>
      <c r="J78" s="1828"/>
      <c r="K78" s="428"/>
      <c r="L78" s="428"/>
      <c r="M78" s="1829"/>
      <c r="N78" s="2983"/>
      <c r="O78" s="2983"/>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4"/>
      <c r="O79" s="2984"/>
      <c r="P79" s="1821"/>
      <c r="Q79" s="1790"/>
    </row>
    <row r="80" spans="1:17" ht="15.75" thickTop="1">
      <c r="A80" s="1822"/>
      <c r="B80" s="1827" t="s">
        <v>2254</v>
      </c>
      <c r="C80" s="579" t="s">
        <v>2248</v>
      </c>
      <c r="D80" s="579" t="s">
        <v>2249</v>
      </c>
      <c r="E80" s="579" t="s">
        <v>2250</v>
      </c>
      <c r="F80" s="579" t="s">
        <v>2251</v>
      </c>
      <c r="G80" s="579" t="s">
        <v>2252</v>
      </c>
      <c r="H80" s="1828"/>
      <c r="I80" s="1828"/>
      <c r="J80" s="1828"/>
      <c r="K80" s="428"/>
      <c r="L80" s="428"/>
      <c r="M80" s="1829"/>
      <c r="N80" s="2983"/>
      <c r="O80" s="2983"/>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4"/>
      <c r="O81" s="2984"/>
      <c r="P81" s="1821"/>
      <c r="Q81" s="1790"/>
    </row>
    <row r="82" spans="1:17" ht="15.75" thickTop="1">
      <c r="A82" s="1822"/>
      <c r="B82" s="1833" t="s">
        <v>2297</v>
      </c>
      <c r="C82" s="1828" t="s">
        <v>2255</v>
      </c>
      <c r="D82" s="1828" t="s">
        <v>2256</v>
      </c>
      <c r="E82" s="1828" t="s">
        <v>2257</v>
      </c>
      <c r="F82" s="1828" t="s">
        <v>2258</v>
      </c>
      <c r="G82" s="1828" t="s">
        <v>2259</v>
      </c>
      <c r="H82" s="1828"/>
      <c r="I82" s="1828"/>
      <c r="J82" s="1828"/>
      <c r="K82" s="1828"/>
      <c r="L82" s="1828"/>
      <c r="M82" s="1856"/>
      <c r="N82" s="2984"/>
      <c r="O82" s="2984"/>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4"/>
      <c r="O83" s="2984"/>
      <c r="P83" s="1821"/>
      <c r="Q83" s="1790"/>
    </row>
    <row r="84" spans="1:17" ht="15.75" thickTop="1">
      <c r="A84" s="1822"/>
      <c r="B84" s="1827" t="s">
        <v>2260</v>
      </c>
      <c r="C84" s="579" t="s">
        <v>2248</v>
      </c>
      <c r="D84" s="579" t="s">
        <v>2249</v>
      </c>
      <c r="E84" s="579" t="s">
        <v>2250</v>
      </c>
      <c r="F84" s="579" t="s">
        <v>2251</v>
      </c>
      <c r="G84" s="579" t="s">
        <v>2252</v>
      </c>
      <c r="H84" s="1828"/>
      <c r="I84" s="1828"/>
      <c r="J84" s="1828"/>
      <c r="K84" s="428"/>
      <c r="L84" s="428"/>
      <c r="M84" s="1829"/>
      <c r="N84" s="2983"/>
      <c r="O84" s="2983"/>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4"/>
      <c r="O85" s="2984"/>
      <c r="P85" s="1821"/>
      <c r="Q85" s="1790"/>
    </row>
    <row r="86" spans="1:17" s="1653" customFormat="1" ht="15.75" thickTop="1">
      <c r="A86" s="1858"/>
      <c r="B86" s="1827" t="s">
        <v>2317</v>
      </c>
      <c r="C86" s="468"/>
      <c r="D86" s="468"/>
      <c r="E86" s="468"/>
      <c r="F86" s="468"/>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4"/>
      <c r="O87" s="2984"/>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2"/>
      <c r="O88" s="2982"/>
      <c r="P88" s="1821"/>
      <c r="Q88" s="1790"/>
    </row>
    <row r="89" spans="1:17" s="1653" customFormat="1" ht="15.75" thickBot="1">
      <c r="A89" s="1858"/>
      <c r="B89" s="1830"/>
      <c r="C89" s="1843"/>
      <c r="D89" s="1824"/>
      <c r="E89" s="1824"/>
      <c r="F89" s="1824"/>
      <c r="G89" s="1824"/>
      <c r="H89" s="1824"/>
      <c r="I89" s="1824"/>
      <c r="J89" s="1824"/>
      <c r="K89" s="1824"/>
      <c r="L89" s="1824"/>
      <c r="M89" s="1824"/>
      <c r="N89" s="2984"/>
      <c r="O89" s="2984"/>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5"/>
      <c r="O90" s="2985"/>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5"/>
      <c r="O91" s="2985"/>
      <c r="P91" s="1841"/>
      <c r="Q91" s="1842"/>
    </row>
    <row r="92" spans="1:17" ht="15.75" thickTop="1">
      <c r="A92" s="1822"/>
      <c r="B92" s="1827" t="str">
        <f>B28</f>
        <v>楼层</v>
      </c>
      <c r="C92" s="468"/>
      <c r="D92" s="468"/>
      <c r="E92" s="468"/>
      <c r="F92" s="468"/>
      <c r="G92" s="468"/>
      <c r="H92" s="468"/>
      <c r="I92" s="468"/>
      <c r="J92" s="468"/>
      <c r="K92" s="468"/>
      <c r="L92" s="468"/>
      <c r="M92" s="1859"/>
      <c r="N92" s="2983"/>
      <c r="O92" s="2983"/>
      <c r="P92" s="1821"/>
      <c r="Q92" s="1790"/>
    </row>
    <row r="93" spans="1:17" ht="15.75" thickBot="1">
      <c r="A93" s="1822"/>
      <c r="B93" s="1830"/>
      <c r="C93" s="1824"/>
      <c r="D93" s="1824"/>
      <c r="E93" s="1824"/>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2214</v>
      </c>
      <c r="B100" s="1816" t="s">
        <v>2318</v>
      </c>
      <c r="C100" s="1818"/>
      <c r="D100" s="1818"/>
      <c r="E100" s="1818"/>
      <c r="F100" s="1818"/>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4"/>
      <c r="O101" s="2984"/>
      <c r="P101" s="1821"/>
      <c r="Q101" s="1790"/>
    </row>
    <row r="102" spans="1:17" ht="15.75" thickTop="1">
      <c r="A102" s="1822"/>
      <c r="B102" s="1827" t="s">
        <v>2264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2"/>
      <c r="O102" s="2982"/>
      <c r="P102" s="1821"/>
      <c r="Q102" s="1790"/>
    </row>
    <row r="103" spans="1:17" s="1740" customFormat="1">
      <c r="A103" s="1868"/>
      <c r="B103" s="1869"/>
      <c r="C103" s="1870"/>
      <c r="D103" s="1870"/>
      <c r="E103" s="1870"/>
      <c r="F103" s="1870"/>
      <c r="G103" s="1870"/>
      <c r="H103" s="1870"/>
      <c r="I103" s="1870"/>
      <c r="J103" s="485"/>
      <c r="K103" s="485"/>
      <c r="L103" s="485"/>
      <c r="M103" s="1871"/>
      <c r="N103" s="2985"/>
      <c r="O103" s="2985"/>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4"/>
      <c r="O104" s="2984"/>
      <c r="P104" s="1841"/>
      <c r="Q104" s="1842"/>
    </row>
    <row r="105" spans="1:17" ht="15" thickTop="1">
      <c r="A105" s="1872"/>
      <c r="B105" s="1827" t="s">
        <v>2265</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2267</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4"/>
      <c r="O111" s="2984"/>
      <c r="P111" s="1821"/>
      <c r="Q111" s="1790"/>
    </row>
    <row r="112" spans="1:17" s="1740" customFormat="1" ht="15" thickTop="1">
      <c r="A112" s="1868"/>
      <c r="B112" s="1827" t="s">
        <v>2270</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2319</v>
      </c>
      <c r="C114" s="468"/>
      <c r="D114" s="468"/>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4"/>
      <c r="O115" s="2984"/>
      <c r="P115" s="1821"/>
      <c r="Q115" s="1790"/>
    </row>
    <row r="116" spans="1:17" ht="15" thickTop="1">
      <c r="A116" s="1872"/>
      <c r="B116" s="1827" t="s">
        <v>2320</v>
      </c>
      <c r="C116" s="468"/>
      <c r="D116" s="468"/>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4"/>
      <c r="O117" s="2984"/>
      <c r="P117" s="1821"/>
      <c r="Q117" s="1790"/>
    </row>
    <row r="118" spans="1:17" ht="15" thickTop="1">
      <c r="A118" s="1872"/>
      <c r="B118" s="1827" t="s">
        <v>2321</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2322</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2272</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2273</v>
      </c>
      <c r="C124" s="579" t="s">
        <v>2248</v>
      </c>
      <c r="D124" s="579" t="s">
        <v>2249</v>
      </c>
      <c r="E124" s="579" t="s">
        <v>2250</v>
      </c>
      <c r="F124" s="579" t="s">
        <v>2251</v>
      </c>
      <c r="G124" s="579" t="s">
        <v>2252</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111</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2181</v>
      </c>
      <c r="B1" s="1197" t="s">
        <v>2340</v>
      </c>
      <c r="C1" s="1189"/>
      <c r="D1" s="1202"/>
      <c r="E1" s="1527"/>
      <c r="F1" s="1203" t="s">
        <v>2183</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2184</v>
      </c>
      <c r="D3" s="292">
        <f>IF(C1="仅计算典型户型",'数据-取费表'!E5,'数据-取费表'!B5)</f>
        <v>718.89</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54" t="s">
        <v>2186</v>
      </c>
      <c r="D4" s="3655"/>
      <c r="E4" s="3656" t="s">
        <v>2187</v>
      </c>
      <c r="F4" s="3657"/>
      <c r="G4" s="3654" t="s">
        <v>2188</v>
      </c>
      <c r="H4" s="3655"/>
      <c r="I4" s="3654" t="s">
        <v>2189</v>
      </c>
      <c r="J4" s="3655"/>
      <c r="K4" s="496" t="s">
        <v>2190</v>
      </c>
      <c r="L4" s="2992"/>
      <c r="M4" s="2993"/>
      <c r="N4" s="2993"/>
      <c r="O4" s="2993"/>
      <c r="P4" s="3658" t="s">
        <v>2191</v>
      </c>
      <c r="Q4" s="3659"/>
      <c r="R4" s="3641" t="s">
        <v>2187</v>
      </c>
      <c r="S4" s="3642"/>
      <c r="T4" s="3641" t="s">
        <v>2188</v>
      </c>
      <c r="U4" s="3642"/>
      <c r="V4" s="3664" t="s">
        <v>2189</v>
      </c>
      <c r="W4" s="3664"/>
      <c r="X4" s="1305"/>
      <c r="Y4" s="3641" t="s">
        <v>2191</v>
      </c>
      <c r="Z4" s="3642"/>
      <c r="AA4" s="3651" t="s">
        <v>2187</v>
      </c>
      <c r="AB4" s="3652" t="s">
        <v>2188</v>
      </c>
      <c r="AC4" s="3651" t="s">
        <v>2189</v>
      </c>
    </row>
    <row r="5" spans="1:29" ht="15">
      <c r="A5" s="297"/>
      <c r="B5" s="298"/>
      <c r="C5" s="3667" t="s">
        <v>2192</v>
      </c>
      <c r="D5" s="3668"/>
      <c r="E5" s="3665" t="s">
        <v>2193</v>
      </c>
      <c r="F5" s="3666"/>
      <c r="G5" s="3667" t="s">
        <v>2194</v>
      </c>
      <c r="H5" s="3668"/>
      <c r="I5" s="3667" t="s">
        <v>2195</v>
      </c>
      <c r="J5" s="3668"/>
      <c r="K5" s="496"/>
      <c r="L5" s="2992"/>
      <c r="M5" s="2993"/>
      <c r="N5" s="2993"/>
      <c r="O5" s="2993"/>
      <c r="P5" s="3660"/>
      <c r="Q5" s="3661"/>
      <c r="R5" s="3643"/>
      <c r="S5" s="3644"/>
      <c r="T5" s="3643"/>
      <c r="U5" s="3644"/>
      <c r="V5" s="3664"/>
      <c r="W5" s="3664"/>
      <c r="X5" s="1305"/>
      <c r="Y5" s="3643"/>
      <c r="Z5" s="3644"/>
      <c r="AA5" s="3652"/>
      <c r="AB5" s="3652"/>
      <c r="AC5" s="3652"/>
    </row>
    <row r="6" spans="1:29" ht="15.75" thickBot="1">
      <c r="A6" s="299"/>
      <c r="B6" s="300"/>
      <c r="C6" s="3669" t="s">
        <v>2196</v>
      </c>
      <c r="D6" s="3670"/>
      <c r="E6" s="3671" t="s">
        <v>2196</v>
      </c>
      <c r="F6" s="3672"/>
      <c r="G6" s="3669" t="s">
        <v>2196</v>
      </c>
      <c r="H6" s="3670"/>
      <c r="I6" s="3669" t="s">
        <v>2196</v>
      </c>
      <c r="J6" s="3670"/>
      <c r="K6" s="496" t="s">
        <v>2197</v>
      </c>
      <c r="L6" s="2992"/>
      <c r="M6" s="2993"/>
      <c r="N6" s="2993"/>
      <c r="O6" s="2993"/>
      <c r="P6" s="3662"/>
      <c r="Q6" s="3663"/>
      <c r="R6" s="3643"/>
      <c r="S6" s="3644"/>
      <c r="T6" s="3645"/>
      <c r="U6" s="3646"/>
      <c r="V6" s="3664"/>
      <c r="W6" s="3664"/>
      <c r="X6" s="1305"/>
      <c r="Y6" s="3645"/>
      <c r="Z6" s="3646"/>
      <c r="AA6" s="3653"/>
      <c r="AB6" s="3653"/>
      <c r="AC6" s="3653"/>
    </row>
    <row r="7" spans="1:29" s="25" customFormat="1" ht="15.75" thickBot="1">
      <c r="A7" s="301" t="s">
        <v>2198</v>
      </c>
      <c r="B7" s="302"/>
      <c r="C7" s="303">
        <f>'数据-取费表'!B2</f>
        <v>44664</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39" t="s">
        <v>2199</v>
      </c>
      <c r="Q7" s="3647"/>
      <c r="R7" s="627" t="s">
        <v>25</v>
      </c>
      <c r="S7" s="628">
        <f t="shared" ref="S7:S15" si="0">F7</f>
        <v>0</v>
      </c>
      <c r="T7" s="627" t="s">
        <v>25</v>
      </c>
      <c r="U7" s="628">
        <f t="shared" ref="U7:U15" si="1">H7</f>
        <v>0</v>
      </c>
      <c r="V7" s="627" t="s">
        <v>25</v>
      </c>
      <c r="W7" s="628">
        <f t="shared" ref="W7:W15" si="2">J7</f>
        <v>0</v>
      </c>
      <c r="X7" s="629"/>
      <c r="Y7" s="3639" t="s">
        <v>2199</v>
      </c>
      <c r="Z7" s="3640"/>
      <c r="AA7" s="630" t="e">
        <f>D7/F7</f>
        <v>#DIV/0!</v>
      </c>
      <c r="AB7" s="630" t="e">
        <f>D7/H7</f>
        <v>#DIV/0!</v>
      </c>
      <c r="AC7" s="630" t="e">
        <f>D7/J7</f>
        <v>#DIV/0!</v>
      </c>
    </row>
    <row r="8" spans="1:29" s="25" customFormat="1" ht="15.75" thickBot="1">
      <c r="A8" s="301" t="s">
        <v>2200</v>
      </c>
      <c r="B8" s="302"/>
      <c r="C8" s="307" t="s">
        <v>2818</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39" t="s">
        <v>2202</v>
      </c>
      <c r="Q8" s="3640"/>
      <c r="R8" s="627" t="s">
        <v>25</v>
      </c>
      <c r="S8" s="628">
        <f t="shared" si="0"/>
        <v>0</v>
      </c>
      <c r="T8" s="627" t="s">
        <v>25</v>
      </c>
      <c r="U8" s="628">
        <f t="shared" si="1"/>
        <v>0</v>
      </c>
      <c r="V8" s="627" t="s">
        <v>25</v>
      </c>
      <c r="W8" s="628">
        <f t="shared" si="2"/>
        <v>0</v>
      </c>
      <c r="X8" s="629"/>
      <c r="Y8" s="3639" t="s">
        <v>2202</v>
      </c>
      <c r="Z8" s="3640"/>
      <c r="AA8" s="630" t="e">
        <f t="shared" ref="AA8:AA40" si="3">D8/F8</f>
        <v>#DIV/0!</v>
      </c>
      <c r="AB8" s="630" t="e">
        <f t="shared" ref="AB8:AB40" si="4">D8/H8</f>
        <v>#DIV/0!</v>
      </c>
      <c r="AC8" s="630" t="e">
        <f t="shared" ref="AC8:AC40" si="5">D8/J8</f>
        <v>#DIV/0!</v>
      </c>
    </row>
    <row r="9" spans="1:29" s="25" customFormat="1">
      <c r="A9" s="308" t="s">
        <v>2203</v>
      </c>
      <c r="B9" s="24" t="s">
        <v>2204</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31" t="s">
        <v>2205</v>
      </c>
      <c r="Q9" s="1297" t="str">
        <f t="shared" ref="Q9:Q15" si="6">B9</f>
        <v>用途</v>
      </c>
      <c r="R9" s="627" t="s">
        <v>25</v>
      </c>
      <c r="S9" s="628">
        <f t="shared" si="0"/>
        <v>100</v>
      </c>
      <c r="T9" s="627" t="s">
        <v>25</v>
      </c>
      <c r="U9" s="628">
        <f t="shared" si="1"/>
        <v>100</v>
      </c>
      <c r="V9" s="627" t="s">
        <v>25</v>
      </c>
      <c r="W9" s="628">
        <f t="shared" si="2"/>
        <v>100</v>
      </c>
      <c r="X9" s="629"/>
      <c r="Y9" s="3650" t="s">
        <v>2206</v>
      </c>
      <c r="Z9" s="19" t="str">
        <f t="shared" ref="Z9:Z15" si="7">Q9</f>
        <v>用途</v>
      </c>
      <c r="AA9" s="630">
        <f t="shared" si="3"/>
        <v>1</v>
      </c>
      <c r="AB9" s="630">
        <f t="shared" si="4"/>
        <v>1</v>
      </c>
      <c r="AC9" s="630">
        <f t="shared" si="5"/>
        <v>1</v>
      </c>
    </row>
    <row r="10" spans="1:29" s="317" customFormat="1" ht="27">
      <c r="A10" s="312"/>
      <c r="B10" s="313" t="s">
        <v>2207</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318"/>
      <c r="B11" s="313" t="s">
        <v>2208</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31"/>
      <c r="Q11" s="1297" t="str">
        <f t="shared" si="6"/>
        <v>容积率</v>
      </c>
      <c r="R11" s="627" t="s">
        <v>25</v>
      </c>
      <c r="S11" s="628" t="e">
        <f t="shared" si="0"/>
        <v>#N/A</v>
      </c>
      <c r="T11" s="627" t="s">
        <v>25</v>
      </c>
      <c r="U11" s="628" t="e">
        <f t="shared" si="1"/>
        <v>#N/A</v>
      </c>
      <c r="V11" s="627" t="s">
        <v>25</v>
      </c>
      <c r="W11" s="628" t="e">
        <f t="shared" si="2"/>
        <v>#N/A</v>
      </c>
      <c r="X11" s="629"/>
      <c r="Y11" s="3650"/>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31"/>
      <c r="Q14" s="1297">
        <f t="shared" si="6"/>
        <v>111</v>
      </c>
      <c r="R14" s="627" t="s">
        <v>25</v>
      </c>
      <c r="S14" s="628">
        <f t="shared" si="0"/>
        <v>100</v>
      </c>
      <c r="T14" s="627" t="s">
        <v>25</v>
      </c>
      <c r="U14" s="628">
        <f t="shared" si="1"/>
        <v>100</v>
      </c>
      <c r="V14" s="627" t="s">
        <v>25</v>
      </c>
      <c r="W14" s="628">
        <f t="shared" si="2"/>
        <v>100</v>
      </c>
      <c r="X14" s="629"/>
      <c r="Y14" s="3650"/>
      <c r="Z14" s="19">
        <f t="shared" si="7"/>
        <v>111</v>
      </c>
      <c r="AA14" s="630">
        <f t="shared" si="3"/>
        <v>1</v>
      </c>
      <c r="AB14" s="630">
        <f t="shared" si="4"/>
        <v>1</v>
      </c>
      <c r="AC14" s="630">
        <f t="shared" si="5"/>
        <v>1</v>
      </c>
    </row>
    <row r="15" spans="1:29" ht="57">
      <c r="A15" s="329" t="s">
        <v>2209</v>
      </c>
      <c r="B15" s="22" t="s">
        <v>2341</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48" t="s">
        <v>2210</v>
      </c>
      <c r="Q15" s="1304" t="str">
        <f t="shared" si="6"/>
        <v>产业集聚程度</v>
      </c>
      <c r="R15" s="631" t="s">
        <v>25</v>
      </c>
      <c r="S15" s="632">
        <f t="shared" si="0"/>
        <v>100</v>
      </c>
      <c r="T15" s="631" t="s">
        <v>25</v>
      </c>
      <c r="U15" s="632">
        <f t="shared" si="1"/>
        <v>100</v>
      </c>
      <c r="V15" s="631" t="s">
        <v>25</v>
      </c>
      <c r="W15" s="632">
        <f t="shared" si="2"/>
        <v>100</v>
      </c>
      <c r="X15" s="1305"/>
      <c r="Y15" s="3648" t="s">
        <v>2210</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49"/>
      <c r="Q16" s="1304"/>
      <c r="R16" s="631"/>
      <c r="S16" s="632"/>
      <c r="T16" s="631"/>
      <c r="U16" s="632"/>
      <c r="V16" s="631"/>
      <c r="W16" s="632"/>
      <c r="X16" s="1305"/>
      <c r="Y16" s="3649"/>
      <c r="Z16" s="1306"/>
      <c r="AA16" s="1307">
        <v>1</v>
      </c>
      <c r="AB16" s="1307">
        <v>1</v>
      </c>
      <c r="AC16" s="1307">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49"/>
      <c r="Q17" s="1304" t="str">
        <f>B17</f>
        <v>交通便捷度</v>
      </c>
      <c r="R17" s="631" t="s">
        <v>25</v>
      </c>
      <c r="S17" s="632">
        <f>F17</f>
        <v>100</v>
      </c>
      <c r="T17" s="631" t="s">
        <v>25</v>
      </c>
      <c r="U17" s="632">
        <f>H17</f>
        <v>100</v>
      </c>
      <c r="V17" s="631" t="s">
        <v>25</v>
      </c>
      <c r="W17" s="632">
        <f>J17</f>
        <v>100</v>
      </c>
      <c r="X17" s="1305"/>
      <c r="Y17" s="3649"/>
      <c r="Z17" s="1306" t="str">
        <f>Q17</f>
        <v>交通便捷度</v>
      </c>
      <c r="AA17" s="1307">
        <f t="shared" si="3"/>
        <v>1</v>
      </c>
      <c r="AB17" s="1307">
        <f t="shared" si="4"/>
        <v>1</v>
      </c>
      <c r="AC17" s="1307">
        <f t="shared" si="5"/>
        <v>1</v>
      </c>
    </row>
    <row r="18" spans="1:29" ht="15">
      <c r="A18" s="318"/>
      <c r="B18" s="345"/>
      <c r="C18" s="346"/>
      <c r="D18" s="339"/>
      <c r="E18" s="1102"/>
      <c r="F18" s="342"/>
      <c r="G18" s="1536"/>
      <c r="H18" s="336"/>
      <c r="I18" s="1102"/>
      <c r="J18" s="336"/>
      <c r="K18" s="501"/>
      <c r="L18" s="3002"/>
      <c r="M18" s="2993"/>
      <c r="N18" s="2993"/>
      <c r="O18" s="3001"/>
      <c r="P18" s="3649"/>
      <c r="Q18" s="1304"/>
      <c r="R18" s="631"/>
      <c r="S18" s="632"/>
      <c r="T18" s="631"/>
      <c r="U18" s="632"/>
      <c r="V18" s="631"/>
      <c r="W18" s="632"/>
      <c r="X18" s="1305"/>
      <c r="Y18" s="3649"/>
      <c r="Z18" s="1306"/>
      <c r="AA18" s="1307">
        <v>1</v>
      </c>
      <c r="AB18" s="1307">
        <v>1</v>
      </c>
      <c r="AC18" s="1307">
        <v>1</v>
      </c>
    </row>
    <row r="19" spans="1:29" ht="42.75">
      <c r="A19" s="318"/>
      <c r="B19" s="513" t="s">
        <v>2325</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49"/>
      <c r="Q19" s="1304" t="str">
        <f>B19</f>
        <v>公共配套设施</v>
      </c>
      <c r="R19" s="631" t="s">
        <v>25</v>
      </c>
      <c r="S19" s="632">
        <f>F19</f>
        <v>100</v>
      </c>
      <c r="T19" s="631" t="s">
        <v>25</v>
      </c>
      <c r="U19" s="632">
        <f>H19</f>
        <v>100</v>
      </c>
      <c r="V19" s="631" t="s">
        <v>25</v>
      </c>
      <c r="W19" s="632">
        <f>J19</f>
        <v>100</v>
      </c>
      <c r="X19" s="1305"/>
      <c r="Y19" s="3649"/>
      <c r="Z19" s="1306" t="str">
        <f>Q19</f>
        <v>公共配套设施</v>
      </c>
      <c r="AA19" s="1307">
        <f t="shared" si="3"/>
        <v>1</v>
      </c>
      <c r="AB19" s="1307">
        <f t="shared" si="4"/>
        <v>1</v>
      </c>
      <c r="AC19" s="1307">
        <f t="shared" si="5"/>
        <v>1</v>
      </c>
    </row>
    <row r="20" spans="1:29" ht="15">
      <c r="A20" s="318"/>
      <c r="B20" s="514"/>
      <c r="C20" s="335"/>
      <c r="D20" s="336"/>
      <c r="E20" s="337"/>
      <c r="F20" s="338"/>
      <c r="G20" s="1534"/>
      <c r="H20" s="336"/>
      <c r="I20" s="337"/>
      <c r="J20" s="336"/>
      <c r="K20" s="501"/>
      <c r="L20" s="3002"/>
      <c r="M20" s="2993"/>
      <c r="N20" s="2993"/>
      <c r="O20" s="3001"/>
      <c r="P20" s="3649"/>
      <c r="Q20" s="1304"/>
      <c r="R20" s="631"/>
      <c r="S20" s="632"/>
      <c r="T20" s="631"/>
      <c r="U20" s="632"/>
      <c r="V20" s="631"/>
      <c r="W20" s="632"/>
      <c r="X20" s="1305"/>
      <c r="Y20" s="3649"/>
      <c r="Z20" s="1306"/>
      <c r="AA20" s="1307">
        <v>1</v>
      </c>
      <c r="AB20" s="1307">
        <v>1</v>
      </c>
      <c r="AC20" s="1307">
        <v>1</v>
      </c>
    </row>
    <row r="21" spans="1:29" ht="28.5">
      <c r="A21" s="318"/>
      <c r="B21" s="515" t="s">
        <v>2326</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49"/>
      <c r="Q21" s="1304" t="str">
        <f>B21</f>
        <v>基础设施水平</v>
      </c>
      <c r="R21" s="631" t="s">
        <v>25</v>
      </c>
      <c r="S21" s="632">
        <f>F21</f>
        <v>100</v>
      </c>
      <c r="T21" s="631" t="s">
        <v>25</v>
      </c>
      <c r="U21" s="632">
        <f>H21</f>
        <v>100</v>
      </c>
      <c r="V21" s="631" t="s">
        <v>25</v>
      </c>
      <c r="W21" s="632">
        <f>J21</f>
        <v>100</v>
      </c>
      <c r="X21" s="1305"/>
      <c r="Y21" s="3649"/>
      <c r="Z21" s="1306" t="str">
        <f>Q21</f>
        <v>基础设施水平</v>
      </c>
      <c r="AA21" s="1307">
        <f t="shared" ref="AA21" si="8">D21/F21</f>
        <v>1</v>
      </c>
      <c r="AB21" s="1307">
        <f t="shared" ref="AB21" si="9">D21/H21</f>
        <v>1</v>
      </c>
      <c r="AC21" s="1307">
        <f t="shared" ref="AC21" si="10">D21/J21</f>
        <v>1</v>
      </c>
    </row>
    <row r="22" spans="1:29" ht="15">
      <c r="A22" s="318"/>
      <c r="B22" s="1537"/>
      <c r="C22" s="346"/>
      <c r="D22" s="336"/>
      <c r="E22" s="335"/>
      <c r="F22" s="338"/>
      <c r="G22" s="335"/>
      <c r="H22" s="336"/>
      <c r="I22" s="335"/>
      <c r="J22" s="336"/>
      <c r="K22" s="1103"/>
      <c r="L22" s="3002"/>
      <c r="M22" s="2993"/>
      <c r="N22" s="2993"/>
      <c r="O22" s="3001"/>
      <c r="P22" s="3649"/>
      <c r="Q22" s="1304"/>
      <c r="R22" s="631"/>
      <c r="S22" s="632"/>
      <c r="T22" s="631"/>
      <c r="U22" s="632"/>
      <c r="V22" s="631"/>
      <c r="W22" s="632"/>
      <c r="X22" s="1305"/>
      <c r="Y22" s="3649"/>
      <c r="Z22" s="1306"/>
      <c r="AA22" s="1307">
        <v>1</v>
      </c>
      <c r="AB22" s="1307">
        <v>1</v>
      </c>
      <c r="AC22" s="1307">
        <v>1</v>
      </c>
    </row>
    <row r="23" spans="1:29" ht="71.25">
      <c r="A23" s="318"/>
      <c r="B23" s="340" t="s">
        <v>2327</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49"/>
      <c r="Q23" s="1304" t="str">
        <f>B23</f>
        <v>环境质量</v>
      </c>
      <c r="R23" s="631" t="s">
        <v>25</v>
      </c>
      <c r="S23" s="632">
        <f>F23</f>
        <v>100</v>
      </c>
      <c r="T23" s="631" t="s">
        <v>25</v>
      </c>
      <c r="U23" s="632">
        <f>H23</f>
        <v>100</v>
      </c>
      <c r="V23" s="631" t="s">
        <v>25</v>
      </c>
      <c r="W23" s="632">
        <f>J23</f>
        <v>100</v>
      </c>
      <c r="X23" s="1305"/>
      <c r="Y23" s="3649"/>
      <c r="Z23" s="1306" t="str">
        <f>Q23</f>
        <v>环境质量</v>
      </c>
      <c r="AA23" s="1307">
        <f t="shared" si="3"/>
        <v>1</v>
      </c>
      <c r="AB23" s="1307">
        <f t="shared" si="4"/>
        <v>1</v>
      </c>
      <c r="AC23" s="1307">
        <f t="shared" si="5"/>
        <v>1</v>
      </c>
    </row>
    <row r="24" spans="1:29" ht="15">
      <c r="A24" s="318"/>
      <c r="B24" s="1537"/>
      <c r="C24" s="335"/>
      <c r="D24" s="336"/>
      <c r="E24" s="337"/>
      <c r="F24" s="338"/>
      <c r="G24" s="1534"/>
      <c r="H24" s="336"/>
      <c r="I24" s="337"/>
      <c r="J24" s="336"/>
      <c r="K24" s="501"/>
      <c r="L24" s="3002"/>
      <c r="M24" s="2993"/>
      <c r="N24" s="2993"/>
      <c r="O24" s="3001"/>
      <c r="P24" s="3649"/>
      <c r="Q24" s="1304"/>
      <c r="R24" s="631"/>
      <c r="S24" s="632"/>
      <c r="T24" s="631"/>
      <c r="U24" s="632"/>
      <c r="V24" s="631"/>
      <c r="W24" s="632"/>
      <c r="X24" s="1305"/>
      <c r="Y24" s="3649"/>
      <c r="Z24" s="1306"/>
      <c r="AA24" s="1307">
        <v>1</v>
      </c>
      <c r="AB24" s="1307">
        <v>1</v>
      </c>
      <c r="AC24" s="1307">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49"/>
      <c r="Q25" s="1304">
        <f>B25</f>
        <v>111</v>
      </c>
      <c r="R25" s="631" t="s">
        <v>25</v>
      </c>
      <c r="S25" s="632">
        <f>F25</f>
        <v>100</v>
      </c>
      <c r="T25" s="631" t="s">
        <v>25</v>
      </c>
      <c r="U25" s="632">
        <f>H25</f>
        <v>100</v>
      </c>
      <c r="V25" s="631" t="s">
        <v>25</v>
      </c>
      <c r="W25" s="632">
        <f>J25</f>
        <v>100</v>
      </c>
      <c r="X25" s="1305"/>
      <c r="Y25" s="3649"/>
      <c r="Z25" s="1306">
        <f>Q25</f>
        <v>111</v>
      </c>
      <c r="AA25" s="1307">
        <f t="shared" si="3"/>
        <v>1</v>
      </c>
      <c r="AB25" s="1307">
        <f t="shared" si="4"/>
        <v>1</v>
      </c>
      <c r="AC25" s="1307">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49"/>
      <c r="Q26" s="1304">
        <f t="shared" ref="Q26:Q40" si="11">B26</f>
        <v>111</v>
      </c>
      <c r="R26" s="631" t="s">
        <v>25</v>
      </c>
      <c r="S26" s="632">
        <f>F26</f>
        <v>100</v>
      </c>
      <c r="T26" s="631" t="s">
        <v>25</v>
      </c>
      <c r="U26" s="632">
        <f>H26</f>
        <v>100</v>
      </c>
      <c r="V26" s="631" t="s">
        <v>25</v>
      </c>
      <c r="W26" s="632">
        <f>J26</f>
        <v>100</v>
      </c>
      <c r="X26" s="1305"/>
      <c r="Y26" s="3649"/>
      <c r="Z26" s="1306">
        <f>Q26</f>
        <v>111</v>
      </c>
      <c r="AA26" s="1307">
        <f t="shared" si="3"/>
        <v>1</v>
      </c>
      <c r="AB26" s="1307">
        <f t="shared" si="4"/>
        <v>1</v>
      </c>
      <c r="AC26" s="1307">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49"/>
      <c r="Q27" s="1297">
        <f t="shared" si="11"/>
        <v>111</v>
      </c>
      <c r="R27" s="627" t="s">
        <v>25</v>
      </c>
      <c r="S27" s="628">
        <f>F27</f>
        <v>100</v>
      </c>
      <c r="T27" s="627" t="s">
        <v>25</v>
      </c>
      <c r="U27" s="628">
        <f>H27</f>
        <v>100</v>
      </c>
      <c r="V27" s="627" t="s">
        <v>25</v>
      </c>
      <c r="W27" s="628">
        <f>J27</f>
        <v>100</v>
      </c>
      <c r="X27" s="629"/>
      <c r="Y27" s="3649"/>
      <c r="Z27" s="19">
        <f>Q27</f>
        <v>111</v>
      </c>
      <c r="AA27" s="1307">
        <f>D27/F27</f>
        <v>1</v>
      </c>
      <c r="AB27" s="1307">
        <f>D27/H27</f>
        <v>1</v>
      </c>
      <c r="AC27" s="1307">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49"/>
      <c r="Q28" s="1304">
        <f t="shared" si="11"/>
        <v>111</v>
      </c>
      <c r="R28" s="631" t="s">
        <v>25</v>
      </c>
      <c r="S28" s="632">
        <f t="shared" ref="S28:S40" si="12">F28</f>
        <v>100</v>
      </c>
      <c r="T28" s="631" t="s">
        <v>25</v>
      </c>
      <c r="U28" s="632">
        <f t="shared" ref="U28:U40" si="13">H28</f>
        <v>100</v>
      </c>
      <c r="V28" s="631" t="s">
        <v>25</v>
      </c>
      <c r="W28" s="632">
        <f t="shared" ref="W28:W40" si="14">J28</f>
        <v>100</v>
      </c>
      <c r="X28" s="1305"/>
      <c r="Y28" s="3649"/>
      <c r="Z28" s="1306">
        <f t="shared" ref="Z28:Z40" si="15">Q28</f>
        <v>111</v>
      </c>
      <c r="AA28" s="1307">
        <f t="shared" si="3"/>
        <v>1</v>
      </c>
      <c r="AB28" s="1307">
        <f t="shared" si="4"/>
        <v>1</v>
      </c>
      <c r="AC28" s="1307">
        <f t="shared" si="5"/>
        <v>1</v>
      </c>
    </row>
    <row r="29" spans="1:29" ht="28.5">
      <c r="A29" s="354" t="s">
        <v>2214</v>
      </c>
      <c r="B29" s="24" t="s">
        <v>2330</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636" t="s">
        <v>2216</v>
      </c>
      <c r="Q29" s="1304" t="str">
        <f t="shared" si="11"/>
        <v>建筑类型</v>
      </c>
      <c r="R29" s="631" t="s">
        <v>25</v>
      </c>
      <c r="S29" s="632">
        <f t="shared" si="12"/>
        <v>100</v>
      </c>
      <c r="T29" s="631" t="s">
        <v>25</v>
      </c>
      <c r="U29" s="632">
        <f t="shared" si="13"/>
        <v>100</v>
      </c>
      <c r="V29" s="631" t="s">
        <v>25</v>
      </c>
      <c r="W29" s="632">
        <f t="shared" si="14"/>
        <v>100</v>
      </c>
      <c r="X29" s="1305"/>
      <c r="Y29" s="3637" t="s">
        <v>2216</v>
      </c>
      <c r="Z29" s="1306" t="str">
        <f t="shared" si="15"/>
        <v>建筑类型</v>
      </c>
      <c r="AA29" s="1307">
        <f t="shared" si="3"/>
        <v>1</v>
      </c>
      <c r="AB29" s="1307">
        <f t="shared" si="4"/>
        <v>1</v>
      </c>
      <c r="AC29" s="1307">
        <f t="shared" si="5"/>
        <v>1</v>
      </c>
    </row>
    <row r="30" spans="1:29" s="359" customFormat="1" ht="15">
      <c r="A30" s="356"/>
      <c r="B30" s="313" t="s">
        <v>2217</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37"/>
      <c r="Q30" s="633" t="str">
        <f t="shared" si="11"/>
        <v>项目建筑规模</v>
      </c>
      <c r="R30" s="634" t="s">
        <v>25</v>
      </c>
      <c r="S30" s="635" t="e">
        <f t="shared" si="12"/>
        <v>#N/A</v>
      </c>
      <c r="T30" s="634" t="s">
        <v>25</v>
      </c>
      <c r="U30" s="635" t="e">
        <f t="shared" si="13"/>
        <v>#N/A</v>
      </c>
      <c r="V30" s="634" t="s">
        <v>25</v>
      </c>
      <c r="W30" s="635" t="e">
        <f t="shared" si="14"/>
        <v>#N/A</v>
      </c>
      <c r="X30" s="636"/>
      <c r="Y30" s="3637"/>
      <c r="Z30" s="637" t="str">
        <f t="shared" si="15"/>
        <v>项目建筑规模</v>
      </c>
      <c r="AA30" s="1307" t="e">
        <f t="shared" si="3"/>
        <v>#N/A</v>
      </c>
      <c r="AB30" s="1307" t="e">
        <f t="shared" si="4"/>
        <v>#N/A</v>
      </c>
      <c r="AC30" s="1307" t="e">
        <f t="shared" si="5"/>
        <v>#N/A</v>
      </c>
    </row>
    <row r="31" spans="1:29" ht="15">
      <c r="A31" s="360"/>
      <c r="B31" s="313" t="s">
        <v>2218</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37"/>
      <c r="Q31" s="1304" t="str">
        <f t="shared" si="11"/>
        <v>建筑结构</v>
      </c>
      <c r="R31" s="631" t="s">
        <v>25</v>
      </c>
      <c r="S31" s="632">
        <f t="shared" si="12"/>
        <v>100</v>
      </c>
      <c r="T31" s="631" t="s">
        <v>25</v>
      </c>
      <c r="U31" s="632">
        <f t="shared" si="13"/>
        <v>100</v>
      </c>
      <c r="V31" s="631" t="s">
        <v>25</v>
      </c>
      <c r="W31" s="632">
        <f t="shared" si="14"/>
        <v>100</v>
      </c>
      <c r="X31" s="1305"/>
      <c r="Y31" s="3637"/>
      <c r="Z31" s="1306" t="str">
        <f t="shared" si="15"/>
        <v>建筑结构</v>
      </c>
      <c r="AA31" s="1307">
        <f t="shared" si="3"/>
        <v>1</v>
      </c>
      <c r="AB31" s="1307">
        <f t="shared" si="4"/>
        <v>1</v>
      </c>
      <c r="AC31" s="1307">
        <f t="shared" si="5"/>
        <v>1</v>
      </c>
    </row>
    <row r="32" spans="1:29" ht="15">
      <c r="A32" s="360"/>
      <c r="B32" s="313" t="s">
        <v>2303</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37"/>
      <c r="Q32" s="1304" t="str">
        <f t="shared" si="11"/>
        <v>公共部分装修</v>
      </c>
      <c r="R32" s="631" t="s">
        <v>25</v>
      </c>
      <c r="S32" s="632">
        <f t="shared" si="12"/>
        <v>100</v>
      </c>
      <c r="T32" s="631" t="s">
        <v>25</v>
      </c>
      <c r="U32" s="632">
        <f t="shared" si="13"/>
        <v>100</v>
      </c>
      <c r="V32" s="631" t="s">
        <v>25</v>
      </c>
      <c r="W32" s="632">
        <f t="shared" si="14"/>
        <v>100</v>
      </c>
      <c r="X32" s="1305"/>
      <c r="Y32" s="3637"/>
      <c r="Z32" s="1306" t="str">
        <f t="shared" si="15"/>
        <v>公共部分装修</v>
      </c>
      <c r="AA32" s="1307">
        <f t="shared" si="3"/>
        <v>1</v>
      </c>
      <c r="AB32" s="1307">
        <f t="shared" si="4"/>
        <v>1</v>
      </c>
      <c r="AC32" s="1307">
        <f t="shared" si="5"/>
        <v>1</v>
      </c>
    </row>
    <row r="33" spans="1:29" ht="15">
      <c r="A33" s="360"/>
      <c r="B33" s="313" t="s">
        <v>2304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37"/>
      <c r="Q33" s="1304" t="str">
        <f t="shared" si="11"/>
        <v>成新度</v>
      </c>
      <c r="R33" s="631" t="s">
        <v>25</v>
      </c>
      <c r="S33" s="632" t="e">
        <f t="shared" si="12"/>
        <v>#N/A</v>
      </c>
      <c r="T33" s="631" t="s">
        <v>25</v>
      </c>
      <c r="U33" s="632" t="e">
        <f t="shared" si="13"/>
        <v>#N/A</v>
      </c>
      <c r="V33" s="631" t="s">
        <v>25</v>
      </c>
      <c r="W33" s="632" t="e">
        <f t="shared" si="14"/>
        <v>#N/A</v>
      </c>
      <c r="X33" s="1305"/>
      <c r="Y33" s="3637"/>
      <c r="Z33" s="1306" t="str">
        <f t="shared" si="15"/>
        <v>成新度</v>
      </c>
      <c r="AA33" s="1307" t="e">
        <f t="shared" si="3"/>
        <v>#N/A</v>
      </c>
      <c r="AB33" s="1307" t="e">
        <f t="shared" si="4"/>
        <v>#N/A</v>
      </c>
      <c r="AC33" s="1307" t="e">
        <f t="shared" si="5"/>
        <v>#N/A</v>
      </c>
    </row>
    <row r="34" spans="1:29" s="25" customFormat="1" ht="15">
      <c r="A34" s="361"/>
      <c r="B34" s="313" t="s">
        <v>2332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37"/>
      <c r="Q34" s="1297" t="str">
        <f t="shared" si="11"/>
        <v>物业管理</v>
      </c>
      <c r="R34" s="627" t="s">
        <v>25</v>
      </c>
      <c r="S34" s="628">
        <f t="shared" si="12"/>
        <v>100</v>
      </c>
      <c r="T34" s="627" t="s">
        <v>25</v>
      </c>
      <c r="U34" s="628">
        <f t="shared" si="13"/>
        <v>100</v>
      </c>
      <c r="V34" s="627" t="s">
        <v>25</v>
      </c>
      <c r="W34" s="628">
        <f t="shared" si="14"/>
        <v>100</v>
      </c>
      <c r="X34" s="629"/>
      <c r="Y34" s="3637"/>
      <c r="Z34" s="19" t="str">
        <f t="shared" si="15"/>
        <v>物业管理</v>
      </c>
      <c r="AA34" s="630">
        <f t="shared" si="3"/>
        <v>1</v>
      </c>
      <c r="AB34" s="630">
        <f t="shared" si="4"/>
        <v>1</v>
      </c>
      <c r="AC34" s="630">
        <f t="shared" si="5"/>
        <v>1</v>
      </c>
    </row>
    <row r="35" spans="1:29" ht="15">
      <c r="A35" s="360"/>
      <c r="B35" s="313" t="s">
        <v>2305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37" t="s">
        <v>2216</v>
      </c>
      <c r="Q35" s="1304" t="str">
        <f t="shared" si="11"/>
        <v>市政基础设施</v>
      </c>
      <c r="R35" s="631" t="s">
        <v>25</v>
      </c>
      <c r="S35" s="632">
        <f t="shared" si="12"/>
        <v>100</v>
      </c>
      <c r="T35" s="631" t="s">
        <v>25</v>
      </c>
      <c r="U35" s="632">
        <f t="shared" si="13"/>
        <v>100</v>
      </c>
      <c r="V35" s="631" t="s">
        <v>25</v>
      </c>
      <c r="W35" s="632">
        <f t="shared" si="14"/>
        <v>100</v>
      </c>
      <c r="X35" s="1305"/>
      <c r="Y35" s="3637" t="s">
        <v>2216</v>
      </c>
      <c r="Z35" s="1306" t="str">
        <f t="shared" si="15"/>
        <v>市政基础设施</v>
      </c>
      <c r="AA35" s="1307">
        <f t="shared" si="3"/>
        <v>1</v>
      </c>
      <c r="AB35" s="1307">
        <f t="shared" si="4"/>
        <v>1</v>
      </c>
      <c r="AC35" s="1307">
        <f t="shared" si="5"/>
        <v>1</v>
      </c>
    </row>
    <row r="36" spans="1:29" ht="15">
      <c r="A36" s="360"/>
      <c r="B36" s="313" t="s">
        <v>2310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37"/>
      <c r="Q36" s="1304" t="str">
        <f t="shared" si="11"/>
        <v>内部装修</v>
      </c>
      <c r="R36" s="631" t="s">
        <v>25</v>
      </c>
      <c r="S36" s="632">
        <f t="shared" si="12"/>
        <v>100</v>
      </c>
      <c r="T36" s="631" t="s">
        <v>25</v>
      </c>
      <c r="U36" s="632">
        <f t="shared" si="13"/>
        <v>100</v>
      </c>
      <c r="V36" s="631" t="s">
        <v>25</v>
      </c>
      <c r="W36" s="632">
        <f t="shared" si="14"/>
        <v>100</v>
      </c>
      <c r="X36" s="1305"/>
      <c r="Y36" s="3637"/>
      <c r="Z36" s="1306" t="str">
        <f t="shared" si="15"/>
        <v>内部装修</v>
      </c>
      <c r="AA36" s="1307">
        <f t="shared" si="3"/>
        <v>1</v>
      </c>
      <c r="AB36" s="1307">
        <f t="shared" si="4"/>
        <v>1</v>
      </c>
      <c r="AC36" s="1307">
        <f t="shared" si="5"/>
        <v>1</v>
      </c>
    </row>
    <row r="37" spans="1:29" ht="15">
      <c r="A37" s="360"/>
      <c r="B37" s="313" t="s">
        <v>2342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37"/>
      <c r="Q37" s="1304" t="str">
        <f t="shared" si="11"/>
        <v>内部装修状况</v>
      </c>
      <c r="R37" s="631" t="s">
        <v>25</v>
      </c>
      <c r="S37" s="632">
        <f t="shared" si="12"/>
        <v>100</v>
      </c>
      <c r="T37" s="631" t="s">
        <v>25</v>
      </c>
      <c r="U37" s="632">
        <f t="shared" si="13"/>
        <v>100</v>
      </c>
      <c r="V37" s="631" t="s">
        <v>25</v>
      </c>
      <c r="W37" s="632">
        <f t="shared" si="14"/>
        <v>100</v>
      </c>
      <c r="X37" s="1305"/>
      <c r="Y37" s="3637"/>
      <c r="Z37" s="1306" t="str">
        <f t="shared" si="15"/>
        <v>内部装修状况</v>
      </c>
      <c r="AA37" s="1307">
        <f t="shared" si="3"/>
        <v>1</v>
      </c>
      <c r="AB37" s="1307">
        <f t="shared" si="4"/>
        <v>1</v>
      </c>
      <c r="AC37" s="1307">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37"/>
      <c r="Q38" s="633">
        <f t="shared" si="11"/>
        <v>111</v>
      </c>
      <c r="R38" s="634" t="s">
        <v>25</v>
      </c>
      <c r="S38" s="635">
        <f t="shared" si="12"/>
        <v>100</v>
      </c>
      <c r="T38" s="634" t="s">
        <v>25</v>
      </c>
      <c r="U38" s="635">
        <f t="shared" si="13"/>
        <v>100</v>
      </c>
      <c r="V38" s="634" t="s">
        <v>25</v>
      </c>
      <c r="W38" s="635">
        <f t="shared" si="14"/>
        <v>100</v>
      </c>
      <c r="X38" s="636"/>
      <c r="Y38" s="3637"/>
      <c r="Z38" s="637">
        <f t="shared" si="15"/>
        <v>111</v>
      </c>
      <c r="AA38" s="1307">
        <f t="shared" si="3"/>
        <v>1</v>
      </c>
      <c r="AB38" s="1307">
        <f t="shared" si="4"/>
        <v>1</v>
      </c>
      <c r="AC38" s="1307">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37"/>
      <c r="Q39" s="1304">
        <f t="shared" si="11"/>
        <v>111</v>
      </c>
      <c r="R39" s="631" t="s">
        <v>25</v>
      </c>
      <c r="S39" s="632">
        <f t="shared" si="12"/>
        <v>100</v>
      </c>
      <c r="T39" s="631" t="s">
        <v>25</v>
      </c>
      <c r="U39" s="632">
        <f t="shared" si="13"/>
        <v>100</v>
      </c>
      <c r="V39" s="631" t="s">
        <v>25</v>
      </c>
      <c r="W39" s="632">
        <f t="shared" si="14"/>
        <v>100</v>
      </c>
      <c r="X39" s="1305"/>
      <c r="Y39" s="3637"/>
      <c r="Z39" s="1306">
        <f t="shared" si="15"/>
        <v>111</v>
      </c>
      <c r="AA39" s="1307">
        <f t="shared" si="3"/>
        <v>1</v>
      </c>
      <c r="AB39" s="1307">
        <f t="shared" si="4"/>
        <v>1</v>
      </c>
      <c r="AC39" s="1307">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38"/>
      <c r="Q40" s="1304">
        <f t="shared" si="11"/>
        <v>111</v>
      </c>
      <c r="R40" s="631" t="s">
        <v>25</v>
      </c>
      <c r="S40" s="632">
        <f t="shared" si="12"/>
        <v>100</v>
      </c>
      <c r="T40" s="631" t="s">
        <v>25</v>
      </c>
      <c r="U40" s="632">
        <f t="shared" si="13"/>
        <v>100</v>
      </c>
      <c r="V40" s="631" t="s">
        <v>25</v>
      </c>
      <c r="W40" s="632">
        <f t="shared" si="14"/>
        <v>100</v>
      </c>
      <c r="X40" s="1305"/>
      <c r="Y40" s="3638"/>
      <c r="Z40" s="1306">
        <f t="shared" si="15"/>
        <v>111</v>
      </c>
      <c r="AA40" s="1307">
        <f t="shared" si="3"/>
        <v>1</v>
      </c>
      <c r="AB40" s="1307">
        <f t="shared" si="4"/>
        <v>1</v>
      </c>
      <c r="AC40" s="1307">
        <f t="shared" si="5"/>
        <v>1</v>
      </c>
    </row>
    <row r="41" spans="1:29" ht="15">
      <c r="A41" s="367" t="s">
        <v>2228</v>
      </c>
      <c r="B41" s="368"/>
      <c r="C41" s="1124" t="s">
        <v>1</v>
      </c>
      <c r="D41" s="1125"/>
      <c r="E41" s="1126"/>
      <c r="F41" s="1127"/>
      <c r="G41" s="1128"/>
      <c r="H41" s="1129"/>
      <c r="I41" s="1126"/>
      <c r="J41" s="1129"/>
      <c r="K41" s="640"/>
      <c r="L41" s="3004"/>
      <c r="N41" s="2993"/>
      <c r="P41" s="3631" t="str">
        <f>A41</f>
        <v>成交单价（元/平方米）</v>
      </c>
      <c r="Q41" s="3631"/>
      <c r="R41" s="3632">
        <f>E41</f>
        <v>0</v>
      </c>
      <c r="S41" s="3632"/>
      <c r="T41" s="3632">
        <f>G41</f>
        <v>0</v>
      </c>
      <c r="U41" s="3632"/>
      <c r="V41" s="3632">
        <f>I41</f>
        <v>0</v>
      </c>
      <c r="W41" s="3632"/>
      <c r="X41" s="618"/>
      <c r="Y41" s="638"/>
      <c r="Z41" s="618"/>
      <c r="AA41" s="618"/>
      <c r="AB41" s="618"/>
      <c r="AC41" s="618"/>
    </row>
    <row r="42" spans="1:29" ht="15.75" thickBot="1">
      <c r="A42" s="374" t="s">
        <v>2311</v>
      </c>
      <c r="B42" s="375"/>
      <c r="C42" s="1130" t="e">
        <f>R43</f>
        <v>#DIV/0!</v>
      </c>
      <c r="D42" s="1765" t="s">
        <v>2683</v>
      </c>
      <c r="E42" s="1131" t="e">
        <f>R42</f>
        <v>#DIV/0!</v>
      </c>
      <c r="F42" s="1767"/>
      <c r="G42" s="1130" t="e">
        <f>T42</f>
        <v>#DIV/0!</v>
      </c>
      <c r="H42" s="1767"/>
      <c r="I42" s="1131" t="e">
        <f>V42</f>
        <v>#DIV/0!</v>
      </c>
      <c r="J42" s="1767"/>
      <c r="K42" s="2479">
        <f>F42+H42+J42</f>
        <v>0</v>
      </c>
      <c r="L42" s="3004"/>
      <c r="N42" s="2993"/>
      <c r="P42" s="3631" t="str">
        <f>A42</f>
        <v>比较价值（元/平方米）</v>
      </c>
      <c r="Q42" s="3631"/>
      <c r="R42" s="3632" t="e">
        <f>IF(E1="售价",ROUND(PRODUCT(R41,AA7:AA40),0),ROUND(PRODUCT(R41,AA7:AA40),1))</f>
        <v>#DIV/0!</v>
      </c>
      <c r="S42" s="3632"/>
      <c r="T42" s="3632" t="e">
        <f>IF(E1="售价",ROUND(PRODUCT(T41,AB7:AB40),0),ROUND(PRODUCT(T41,AB7:AB40),1))</f>
        <v>#DIV/0!</v>
      </c>
      <c r="U42" s="3632"/>
      <c r="V42" s="3632" t="e">
        <f>IF(E1="售价",ROUND(PRODUCT(V41,AC7:AC40),0),ROUND(PRODUCT(V41,AC7:AC40),1))</f>
        <v>#DIV/0!</v>
      </c>
      <c r="W42" s="3632"/>
      <c r="X42" s="618"/>
      <c r="Y42" s="618"/>
      <c r="Z42" s="618"/>
      <c r="AA42" s="618"/>
      <c r="AB42" s="618"/>
      <c r="AC42" s="618"/>
    </row>
    <row r="43" spans="1:29" ht="15.75" thickBot="1">
      <c r="A43" s="378" t="s">
        <v>2334</v>
      </c>
      <c r="B43" s="379"/>
      <c r="C43" s="1132" t="e">
        <f>R43</f>
        <v>#DIV/0!</v>
      </c>
      <c r="D43" s="1132"/>
      <c r="E43" s="1132"/>
      <c r="F43" s="1132"/>
      <c r="G43" s="1132"/>
      <c r="H43" s="1132"/>
      <c r="I43" s="1132"/>
      <c r="J43" s="1132"/>
      <c r="K43" s="641"/>
      <c r="L43" s="3004"/>
      <c r="P43" s="3633" t="str">
        <f>A43</f>
        <v>估价对象XX用房的比较价值（楼面单价，元/平方米）</v>
      </c>
      <c r="Q43" s="3634"/>
      <c r="R43" s="3635" t="e">
        <f>IF(E1="售价",ROUND(IF(D42="简单平均",AVERAGE(R42:V42),R42*F42+T42*H42+V42*J42),0),ROUND(IF(D42="简单平均",AVERAGE(R42:V42),R42*F42+T42*H42+V42*J42),1))</f>
        <v>#DIV/0!</v>
      </c>
      <c r="S43" s="3635"/>
      <c r="T43" s="3635"/>
      <c r="U43" s="3635"/>
      <c r="V43" s="3635"/>
      <c r="W43" s="3635"/>
      <c r="X43" s="618"/>
      <c r="Y43" s="618"/>
      <c r="Z43" s="618"/>
      <c r="AA43" s="618"/>
      <c r="AB43" s="618"/>
      <c r="AC43" s="618"/>
    </row>
    <row r="44" spans="1:29">
      <c r="G44" s="3007"/>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2316</v>
      </c>
      <c r="B51" s="618"/>
      <c r="C51" s="621"/>
      <c r="D51" s="621"/>
      <c r="E51" s="621"/>
      <c r="F51" s="622"/>
      <c r="G51" s="622"/>
      <c r="H51" s="621"/>
      <c r="I51" s="621"/>
      <c r="J51" s="621"/>
      <c r="K51" s="623"/>
      <c r="L51" s="624"/>
      <c r="M51" s="621"/>
      <c r="N51" s="3010"/>
      <c r="O51" s="3010"/>
      <c r="P51" s="389"/>
      <c r="Q51" s="390"/>
    </row>
    <row r="52" spans="1:17" s="394" customFormat="1" ht="15">
      <c r="A52" s="391" t="s">
        <v>2198</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2236</v>
      </c>
      <c r="B54" s="401"/>
      <c r="C54" s="402"/>
      <c r="D54" s="403"/>
      <c r="E54" s="403"/>
      <c r="F54" s="403"/>
      <c r="G54" s="403"/>
      <c r="H54" s="403"/>
      <c r="I54" s="403"/>
      <c r="J54" s="403"/>
      <c r="K54" s="403"/>
      <c r="L54" s="403"/>
      <c r="M54" s="404"/>
      <c r="N54" s="403"/>
      <c r="O54" s="405"/>
      <c r="P54" s="390"/>
      <c r="Q54" s="390"/>
    </row>
    <row r="55" spans="1:17" s="25" customFormat="1" ht="15">
      <c r="A55" s="406" t="s">
        <v>2200</v>
      </c>
      <c r="B55" s="396"/>
      <c r="C55" s="407" t="s">
        <v>2201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2239</v>
      </c>
      <c r="B57" s="413" t="s">
        <v>2204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2207</v>
      </c>
      <c r="C59" s="426" t="s">
        <v>2240</v>
      </c>
      <c r="D59" s="426" t="s">
        <v>2241</v>
      </c>
      <c r="E59" s="426" t="s">
        <v>2242</v>
      </c>
      <c r="F59" s="426" t="s">
        <v>2243</v>
      </c>
      <c r="G59" s="426" t="s">
        <v>2244</v>
      </c>
      <c r="H59" s="426" t="s">
        <v>2245</v>
      </c>
      <c r="I59" s="426" t="s">
        <v>2246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2209</v>
      </c>
      <c r="B70" s="413" t="s">
        <v>2343</v>
      </c>
      <c r="C70" s="461" t="s">
        <v>2248</v>
      </c>
      <c r="D70" s="461" t="s">
        <v>2249</v>
      </c>
      <c r="E70" s="461" t="s">
        <v>2250</v>
      </c>
      <c r="F70" s="461" t="s">
        <v>2251</v>
      </c>
      <c r="G70" s="461" t="s">
        <v>2252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2253</v>
      </c>
      <c r="C72" s="466" t="s">
        <v>2248</v>
      </c>
      <c r="D72" s="466" t="s">
        <v>2249</v>
      </c>
      <c r="E72" s="466" t="s">
        <v>2250</v>
      </c>
      <c r="F72" s="466" t="s">
        <v>2251</v>
      </c>
      <c r="G72" s="466" t="s">
        <v>2252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2254</v>
      </c>
      <c r="C74" s="466" t="s">
        <v>2248</v>
      </c>
      <c r="D74" s="466" t="s">
        <v>2249</v>
      </c>
      <c r="E74" s="466" t="s">
        <v>2250</v>
      </c>
      <c r="F74" s="466" t="s">
        <v>2251</v>
      </c>
      <c r="G74" s="466" t="s">
        <v>2252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2326</v>
      </c>
      <c r="C76" s="426" t="s">
        <v>2255</v>
      </c>
      <c r="D76" s="426" t="s">
        <v>2256</v>
      </c>
      <c r="E76" s="426" t="s">
        <v>2257</v>
      </c>
      <c r="F76" s="426" t="s">
        <v>2258</v>
      </c>
      <c r="G76" s="426" t="s">
        <v>2259</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2336</v>
      </c>
      <c r="C78" s="466" t="s">
        <v>2248</v>
      </c>
      <c r="D78" s="466" t="s">
        <v>2249</v>
      </c>
      <c r="E78" s="466" t="s">
        <v>2250</v>
      </c>
      <c r="F78" s="466" t="s">
        <v>2251</v>
      </c>
      <c r="G78" s="466" t="s">
        <v>2252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2214</v>
      </c>
      <c r="B88" s="413" t="s">
        <v>2263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2269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2344</v>
      </c>
      <c r="C106" s="466" t="s">
        <v>2248</v>
      </c>
      <c r="D106" s="466" t="s">
        <v>2249</v>
      </c>
      <c r="E106" s="466" t="s">
        <v>2250</v>
      </c>
      <c r="F106" s="466" t="s">
        <v>2251</v>
      </c>
      <c r="G106" s="466" t="s">
        <v>2252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2345</v>
      </c>
      <c r="B1" s="1550"/>
      <c r="C1" s="1192"/>
      <c r="D1" s="1193"/>
      <c r="E1" s="1527"/>
      <c r="F1" s="1194" t="s">
        <v>2183</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28"/>
      <c r="E2" s="927" t="e">
        <f ca="1">SUMIF(INDIRECT("'"&amp;G2&amp;"'"&amp;"!A:A"),"承租人权益价值",INDIRECT("'"&amp;G2&amp;"'"&amp;"!c:c"))</f>
        <v>#REF!</v>
      </c>
      <c r="F2" s="1529" t="str">
        <f>C2</f>
        <v>万元</v>
      </c>
      <c r="G2" s="1530"/>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2184</v>
      </c>
      <c r="D3" s="292">
        <f>IF(C1="仅计算典型户型",'数据-取费表'!E5,'数据-取费表'!B5)</f>
        <v>718.89</v>
      </c>
      <c r="E3" s="839" t="s">
        <v>2346</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54" t="s">
        <v>2186</v>
      </c>
      <c r="D4" s="3655"/>
      <c r="E4" s="3656" t="s">
        <v>2187</v>
      </c>
      <c r="F4" s="3657"/>
      <c r="G4" s="3654" t="s">
        <v>2188</v>
      </c>
      <c r="H4" s="3655"/>
      <c r="I4" s="3654" t="s">
        <v>2189</v>
      </c>
      <c r="J4" s="3655"/>
      <c r="K4" s="496" t="s">
        <v>2190</v>
      </c>
      <c r="L4" s="2992"/>
      <c r="M4" s="2993"/>
      <c r="N4" s="2993"/>
      <c r="O4" s="2993"/>
      <c r="P4" s="3658" t="s">
        <v>2191</v>
      </c>
      <c r="Q4" s="3659"/>
      <c r="R4" s="3641" t="s">
        <v>2187</v>
      </c>
      <c r="S4" s="3642"/>
      <c r="T4" s="3641" t="s">
        <v>2188</v>
      </c>
      <c r="U4" s="3642"/>
      <c r="V4" s="3664" t="s">
        <v>2189</v>
      </c>
      <c r="W4" s="3664"/>
      <c r="X4" s="1305"/>
      <c r="Y4" s="3641" t="s">
        <v>2191</v>
      </c>
      <c r="Z4" s="3642"/>
      <c r="AA4" s="3651" t="s">
        <v>2187</v>
      </c>
      <c r="AB4" s="3652" t="s">
        <v>2188</v>
      </c>
      <c r="AC4" s="3651" t="s">
        <v>2189</v>
      </c>
    </row>
    <row r="5" spans="1:29" ht="15">
      <c r="A5" s="297"/>
      <c r="B5" s="298"/>
      <c r="C5" s="3667" t="s">
        <v>2192</v>
      </c>
      <c r="D5" s="3668"/>
      <c r="E5" s="3665" t="s">
        <v>2193</v>
      </c>
      <c r="F5" s="3666"/>
      <c r="G5" s="3667" t="s">
        <v>2194</v>
      </c>
      <c r="H5" s="3668"/>
      <c r="I5" s="3667" t="s">
        <v>2195</v>
      </c>
      <c r="J5" s="3668"/>
      <c r="K5" s="496"/>
      <c r="L5" s="2992"/>
      <c r="M5" s="2993"/>
      <c r="N5" s="2993"/>
      <c r="O5" s="2993"/>
      <c r="P5" s="3660"/>
      <c r="Q5" s="3661"/>
      <c r="R5" s="3643"/>
      <c r="S5" s="3644"/>
      <c r="T5" s="3643"/>
      <c r="U5" s="3644"/>
      <c r="V5" s="3664"/>
      <c r="W5" s="3664"/>
      <c r="X5" s="1305"/>
      <c r="Y5" s="3643"/>
      <c r="Z5" s="3644"/>
      <c r="AA5" s="3652"/>
      <c r="AB5" s="3652"/>
      <c r="AC5" s="3652"/>
    </row>
    <row r="6" spans="1:29" ht="15.75" thickBot="1">
      <c r="A6" s="299"/>
      <c r="B6" s="300"/>
      <c r="C6" s="3669" t="s">
        <v>2196</v>
      </c>
      <c r="D6" s="3670"/>
      <c r="E6" s="3671" t="s">
        <v>2196</v>
      </c>
      <c r="F6" s="3672"/>
      <c r="G6" s="3669" t="s">
        <v>2196</v>
      </c>
      <c r="H6" s="3670"/>
      <c r="I6" s="3669" t="s">
        <v>2196</v>
      </c>
      <c r="J6" s="3670"/>
      <c r="K6" s="496" t="s">
        <v>2197</v>
      </c>
      <c r="L6" s="2992"/>
      <c r="M6" s="2993"/>
      <c r="N6" s="2993"/>
      <c r="O6" s="2993"/>
      <c r="P6" s="3662"/>
      <c r="Q6" s="3663"/>
      <c r="R6" s="3643"/>
      <c r="S6" s="3644"/>
      <c r="T6" s="3645"/>
      <c r="U6" s="3646"/>
      <c r="V6" s="3664"/>
      <c r="W6" s="3664"/>
      <c r="X6" s="1305"/>
      <c r="Y6" s="3645"/>
      <c r="Z6" s="3646"/>
      <c r="AA6" s="3653"/>
      <c r="AB6" s="3653"/>
      <c r="AC6" s="3653"/>
    </row>
    <row r="7" spans="1:29" s="25" customFormat="1" ht="15.75" thickBot="1">
      <c r="A7" s="301" t="s">
        <v>2198</v>
      </c>
      <c r="B7" s="302"/>
      <c r="C7" s="303">
        <f>'数据-取费表'!B2</f>
        <v>44664</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39" t="s">
        <v>2199</v>
      </c>
      <c r="Q7" s="3647"/>
      <c r="R7" s="627" t="s">
        <v>25</v>
      </c>
      <c r="S7" s="628">
        <f t="shared" ref="S7:S14" si="0">F7</f>
        <v>0</v>
      </c>
      <c r="T7" s="627" t="s">
        <v>25</v>
      </c>
      <c r="U7" s="628">
        <f t="shared" ref="U7:U14" si="1">H7</f>
        <v>0</v>
      </c>
      <c r="V7" s="627" t="s">
        <v>25</v>
      </c>
      <c r="W7" s="628">
        <f t="shared" ref="W7:W14" si="2">J7</f>
        <v>0</v>
      </c>
      <c r="X7" s="629"/>
      <c r="Y7" s="3639" t="s">
        <v>2199</v>
      </c>
      <c r="Z7" s="3640"/>
      <c r="AA7" s="630" t="e">
        <f>D7/F7</f>
        <v>#DIV/0!</v>
      </c>
      <c r="AB7" s="630" t="e">
        <f>D7/H7</f>
        <v>#DIV/0!</v>
      </c>
      <c r="AC7" s="630" t="e">
        <f>D7/J7</f>
        <v>#DIV/0!</v>
      </c>
    </row>
    <row r="8" spans="1:29" s="25" customFormat="1" ht="15.75" thickBot="1">
      <c r="A8" s="301" t="s">
        <v>2200</v>
      </c>
      <c r="B8" s="302"/>
      <c r="C8" s="307" t="s">
        <v>2201</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39" t="s">
        <v>2202</v>
      </c>
      <c r="Q8" s="3640"/>
      <c r="R8" s="627" t="s">
        <v>25</v>
      </c>
      <c r="S8" s="628">
        <f t="shared" si="0"/>
        <v>0</v>
      </c>
      <c r="T8" s="627" t="s">
        <v>25</v>
      </c>
      <c r="U8" s="628">
        <f t="shared" si="1"/>
        <v>0</v>
      </c>
      <c r="V8" s="627" t="s">
        <v>25</v>
      </c>
      <c r="W8" s="628">
        <f t="shared" si="2"/>
        <v>0</v>
      </c>
      <c r="X8" s="629"/>
      <c r="Y8" s="3639" t="s">
        <v>2202</v>
      </c>
      <c r="Z8" s="3640"/>
      <c r="AA8" s="630" t="e">
        <f t="shared" ref="AA8:AA36" si="3">D8/F8</f>
        <v>#DIV/0!</v>
      </c>
      <c r="AB8" s="630" t="e">
        <f t="shared" ref="AB8:AB36" si="4">D8/H8</f>
        <v>#DIV/0!</v>
      </c>
      <c r="AC8" s="630" t="e">
        <f t="shared" ref="AC8:AC36" si="5">D8/J8</f>
        <v>#DIV/0!</v>
      </c>
    </row>
    <row r="9" spans="1:29" s="25" customFormat="1">
      <c r="A9" s="21" t="s">
        <v>2203</v>
      </c>
      <c r="B9" s="522" t="s">
        <v>2204</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31" t="s">
        <v>2205</v>
      </c>
      <c r="Q9" s="1297" t="str">
        <f t="shared" ref="Q9:Q14" si="6">B9</f>
        <v>用途</v>
      </c>
      <c r="R9" s="627" t="s">
        <v>25</v>
      </c>
      <c r="S9" s="628">
        <f t="shared" si="0"/>
        <v>100</v>
      </c>
      <c r="T9" s="627" t="s">
        <v>25</v>
      </c>
      <c r="U9" s="628">
        <f t="shared" si="1"/>
        <v>100</v>
      </c>
      <c r="V9" s="627" t="s">
        <v>25</v>
      </c>
      <c r="W9" s="628">
        <f t="shared" si="2"/>
        <v>100</v>
      </c>
      <c r="X9" s="629"/>
      <c r="Y9" s="3650" t="s">
        <v>2206</v>
      </c>
      <c r="Z9" s="19" t="str">
        <f t="shared" ref="Z9:Z14" si="7">Q9</f>
        <v>用途</v>
      </c>
      <c r="AA9" s="630">
        <f t="shared" si="3"/>
        <v>1</v>
      </c>
      <c r="AB9" s="630">
        <f t="shared" si="4"/>
        <v>1</v>
      </c>
      <c r="AC9" s="630">
        <f t="shared" si="5"/>
        <v>1</v>
      </c>
    </row>
    <row r="10" spans="1:29" s="317" customFormat="1" ht="27">
      <c r="A10" s="523"/>
      <c r="B10" s="524" t="s">
        <v>2207</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31"/>
      <c r="Q11" s="1297">
        <f t="shared" si="6"/>
        <v>111</v>
      </c>
      <c r="R11" s="627" t="s">
        <v>25</v>
      </c>
      <c r="S11" s="628">
        <f t="shared" si="0"/>
        <v>100</v>
      </c>
      <c r="T11" s="627" t="s">
        <v>25</v>
      </c>
      <c r="U11" s="628">
        <f t="shared" si="1"/>
        <v>100</v>
      </c>
      <c r="V11" s="627" t="s">
        <v>25</v>
      </c>
      <c r="W11" s="628">
        <f t="shared" si="2"/>
        <v>100</v>
      </c>
      <c r="X11" s="629"/>
      <c r="Y11" s="365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
      <c r="A14" s="294" t="s">
        <v>2209</v>
      </c>
      <c r="B14" s="511" t="s">
        <v>2347</v>
      </c>
      <c r="C14" s="1114" t="str">
        <f>IF(B1="工业",估价对象房地状况!G4,估价对象房地状况!C6)</f>
        <v>一般</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48" t="s">
        <v>2210</v>
      </c>
      <c r="Q14" s="1304" t="str">
        <f t="shared" si="6"/>
        <v>交通便捷度</v>
      </c>
      <c r="R14" s="631" t="s">
        <v>25</v>
      </c>
      <c r="S14" s="632">
        <f t="shared" si="0"/>
        <v>100</v>
      </c>
      <c r="T14" s="631" t="s">
        <v>25</v>
      </c>
      <c r="U14" s="632">
        <f t="shared" si="1"/>
        <v>100</v>
      </c>
      <c r="V14" s="631" t="s">
        <v>25</v>
      </c>
      <c r="W14" s="632">
        <f t="shared" si="2"/>
        <v>100</v>
      </c>
      <c r="X14" s="1305"/>
      <c r="Y14" s="3648" t="s">
        <v>2210</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49"/>
      <c r="Q15" s="1304"/>
      <c r="R15" s="631"/>
      <c r="S15" s="632"/>
      <c r="T15" s="631"/>
      <c r="U15" s="632"/>
      <c r="V15" s="631"/>
      <c r="W15" s="632"/>
      <c r="X15" s="1305"/>
      <c r="Y15" s="3649"/>
      <c r="Z15" s="1306"/>
      <c r="AA15" s="1307">
        <v>1</v>
      </c>
      <c r="AB15" s="1307">
        <v>1</v>
      </c>
      <c r="AC15" s="1307">
        <v>1</v>
      </c>
    </row>
    <row r="16" spans="1:29" ht="15">
      <c r="A16" s="297"/>
      <c r="B16" s="513" t="s">
        <v>2325</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49"/>
      <c r="Q16" s="1304" t="str">
        <f>B16</f>
        <v>公共配套设施</v>
      </c>
      <c r="R16" s="631" t="s">
        <v>25</v>
      </c>
      <c r="S16" s="632">
        <f>F16</f>
        <v>100</v>
      </c>
      <c r="T16" s="631" t="s">
        <v>25</v>
      </c>
      <c r="U16" s="632">
        <f>H16</f>
        <v>100</v>
      </c>
      <c r="V16" s="631" t="s">
        <v>25</v>
      </c>
      <c r="W16" s="632">
        <f>J16</f>
        <v>100</v>
      </c>
      <c r="X16" s="1305"/>
      <c r="Y16" s="3649"/>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49"/>
      <c r="Q17" s="1304"/>
      <c r="R17" s="631"/>
      <c r="S17" s="632"/>
      <c r="T17" s="631"/>
      <c r="U17" s="632"/>
      <c r="V17" s="631"/>
      <c r="W17" s="632"/>
      <c r="X17" s="1305"/>
      <c r="Y17" s="3649"/>
      <c r="Z17" s="1306"/>
      <c r="AA17" s="1307">
        <v>1</v>
      </c>
      <c r="AB17" s="1307">
        <v>1</v>
      </c>
      <c r="AC17" s="1307">
        <v>1</v>
      </c>
    </row>
    <row r="18" spans="1:29" ht="15">
      <c r="A18" s="297"/>
      <c r="B18" s="515" t="s">
        <v>2326</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49"/>
      <c r="Q18" s="1304" t="str">
        <f>B18</f>
        <v>基础设施水平</v>
      </c>
      <c r="R18" s="631" t="s">
        <v>25</v>
      </c>
      <c r="S18" s="632">
        <f>F18</f>
        <v>100</v>
      </c>
      <c r="T18" s="631" t="s">
        <v>25</v>
      </c>
      <c r="U18" s="632">
        <f>H18</f>
        <v>100</v>
      </c>
      <c r="V18" s="631" t="s">
        <v>25</v>
      </c>
      <c r="W18" s="632">
        <f>J18</f>
        <v>100</v>
      </c>
      <c r="X18" s="1305"/>
      <c r="Y18" s="3649"/>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49"/>
      <c r="Q19" s="1304"/>
      <c r="R19" s="631"/>
      <c r="S19" s="632"/>
      <c r="T19" s="631"/>
      <c r="U19" s="632"/>
      <c r="V19" s="631"/>
      <c r="W19" s="632"/>
      <c r="X19" s="1305"/>
      <c r="Y19" s="3649"/>
      <c r="Z19" s="1306"/>
      <c r="AA19" s="1307">
        <v>1</v>
      </c>
      <c r="AB19" s="1307">
        <v>1</v>
      </c>
      <c r="AC19" s="1307">
        <v>1</v>
      </c>
    </row>
    <row r="20" spans="1:29" ht="15">
      <c r="A20" s="297"/>
      <c r="B20" s="513" t="s">
        <v>2348</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49"/>
      <c r="Q20" s="1304" t="str">
        <f>B20</f>
        <v>自然及人文环境</v>
      </c>
      <c r="R20" s="631" t="s">
        <v>25</v>
      </c>
      <c r="S20" s="632">
        <f>F20</f>
        <v>100</v>
      </c>
      <c r="T20" s="631" t="s">
        <v>25</v>
      </c>
      <c r="U20" s="632">
        <f>H20</f>
        <v>100</v>
      </c>
      <c r="V20" s="631" t="s">
        <v>25</v>
      </c>
      <c r="W20" s="632">
        <f>J20</f>
        <v>100</v>
      </c>
      <c r="X20" s="1305"/>
      <c r="Y20" s="3649"/>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49"/>
      <c r="Q21" s="1304"/>
      <c r="R21" s="631"/>
      <c r="S21" s="632"/>
      <c r="T21" s="631"/>
      <c r="U21" s="632"/>
      <c r="V21" s="631"/>
      <c r="W21" s="632"/>
      <c r="X21" s="1305"/>
      <c r="Y21" s="3649"/>
      <c r="Z21" s="1306"/>
      <c r="AA21" s="1307">
        <v>1</v>
      </c>
      <c r="AB21" s="1307">
        <v>1</v>
      </c>
      <c r="AC21" s="1307">
        <v>1</v>
      </c>
    </row>
    <row r="22" spans="1:29" ht="15">
      <c r="A22" s="297"/>
      <c r="B22" s="513" t="s">
        <v>2349</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49"/>
      <c r="Q22" s="1304" t="str">
        <f>B22</f>
        <v>楼层</v>
      </c>
      <c r="R22" s="631" t="s">
        <v>25</v>
      </c>
      <c r="S22" s="632">
        <f>F22</f>
        <v>100</v>
      </c>
      <c r="T22" s="631" t="s">
        <v>25</v>
      </c>
      <c r="U22" s="632">
        <f>H22</f>
        <v>100</v>
      </c>
      <c r="V22" s="631" t="s">
        <v>25</v>
      </c>
      <c r="W22" s="632">
        <f>J22</f>
        <v>100</v>
      </c>
      <c r="X22" s="1305"/>
      <c r="Y22" s="3649"/>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49"/>
      <c r="Q23" s="1304">
        <f>B23</f>
        <v>111</v>
      </c>
      <c r="R23" s="631" t="s">
        <v>25</v>
      </c>
      <c r="S23" s="632">
        <f>F23</f>
        <v>100</v>
      </c>
      <c r="T23" s="631" t="s">
        <v>25</v>
      </c>
      <c r="U23" s="632">
        <f>H23</f>
        <v>100</v>
      </c>
      <c r="V23" s="631" t="s">
        <v>25</v>
      </c>
      <c r="W23" s="632">
        <f>J23</f>
        <v>100</v>
      </c>
      <c r="X23" s="1305"/>
      <c r="Y23" s="3649"/>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49"/>
      <c r="Q24" s="1304">
        <f t="shared" ref="Q24:Q36" si="11">B24</f>
        <v>111</v>
      </c>
      <c r="R24" s="631" t="s">
        <v>25</v>
      </c>
      <c r="S24" s="632">
        <f>F24</f>
        <v>100</v>
      </c>
      <c r="T24" s="631" t="s">
        <v>25</v>
      </c>
      <c r="U24" s="632">
        <f>H24</f>
        <v>100</v>
      </c>
      <c r="V24" s="631" t="s">
        <v>25</v>
      </c>
      <c r="W24" s="632">
        <f>J24</f>
        <v>100</v>
      </c>
      <c r="X24" s="1305"/>
      <c r="Y24" s="3649"/>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49"/>
      <c r="Q25" s="1297">
        <f t="shared" si="11"/>
        <v>111</v>
      </c>
      <c r="R25" s="627" t="s">
        <v>25</v>
      </c>
      <c r="S25" s="628">
        <f>F25</f>
        <v>100</v>
      </c>
      <c r="T25" s="627" t="s">
        <v>25</v>
      </c>
      <c r="U25" s="628">
        <f>H25</f>
        <v>100</v>
      </c>
      <c r="V25" s="627" t="s">
        <v>25</v>
      </c>
      <c r="W25" s="628">
        <f>J25</f>
        <v>100</v>
      </c>
      <c r="X25" s="629"/>
      <c r="Y25" s="3649"/>
      <c r="Z25" s="19">
        <f>Q25</f>
        <v>111</v>
      </c>
      <c r="AA25" s="1307">
        <f>D25/F25</f>
        <v>1</v>
      </c>
      <c r="AB25" s="1307">
        <f>D25/H25</f>
        <v>1</v>
      </c>
      <c r="AC25" s="1307">
        <f>D25/J25</f>
        <v>1</v>
      </c>
    </row>
    <row r="26" spans="1:29" ht="28.5">
      <c r="A26" s="533" t="s">
        <v>2214</v>
      </c>
      <c r="B26" s="23" t="s">
        <v>2350</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36" t="s">
        <v>2216</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7" t="s">
        <v>2216</v>
      </c>
      <c r="Z26" s="1306" t="str">
        <f t="shared" ref="Z26:Z36" si="15">Q26</f>
        <v>配套类型</v>
      </c>
      <c r="AA26" s="1307">
        <f t="shared" si="3"/>
        <v>1</v>
      </c>
      <c r="AB26" s="1307">
        <f t="shared" si="4"/>
        <v>1</v>
      </c>
      <c r="AC26" s="1307">
        <f t="shared" si="5"/>
        <v>1</v>
      </c>
    </row>
    <row r="27" spans="1:29" s="359" customFormat="1" ht="15">
      <c r="A27" s="534"/>
      <c r="B27" s="535" t="s">
        <v>2351</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37"/>
      <c r="Q27" s="633" t="str">
        <f t="shared" si="11"/>
        <v>项目停车位配比</v>
      </c>
      <c r="R27" s="634" t="s">
        <v>25</v>
      </c>
      <c r="S27" s="635">
        <f t="shared" si="12"/>
        <v>100</v>
      </c>
      <c r="T27" s="634" t="s">
        <v>25</v>
      </c>
      <c r="U27" s="635">
        <f t="shared" si="13"/>
        <v>100</v>
      </c>
      <c r="V27" s="634" t="s">
        <v>25</v>
      </c>
      <c r="W27" s="635">
        <f t="shared" si="14"/>
        <v>100</v>
      </c>
      <c r="X27" s="636"/>
      <c r="Y27" s="3637"/>
      <c r="Z27" s="637" t="str">
        <f t="shared" si="15"/>
        <v>项目停车位配比</v>
      </c>
      <c r="AA27" s="1307">
        <f t="shared" si="3"/>
        <v>1</v>
      </c>
      <c r="AB27" s="1307">
        <f t="shared" si="4"/>
        <v>1</v>
      </c>
      <c r="AC27" s="1307">
        <f t="shared" si="5"/>
        <v>1</v>
      </c>
    </row>
    <row r="28" spans="1:29" ht="15">
      <c r="A28" s="537"/>
      <c r="B28" s="535" t="s">
        <v>2352</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37"/>
      <c r="Q28" s="1304" t="str">
        <f t="shared" si="11"/>
        <v>公共部分装修</v>
      </c>
      <c r="R28" s="631" t="s">
        <v>25</v>
      </c>
      <c r="S28" s="632">
        <f t="shared" si="12"/>
        <v>100</v>
      </c>
      <c r="T28" s="631" t="s">
        <v>25</v>
      </c>
      <c r="U28" s="632">
        <f t="shared" si="13"/>
        <v>100</v>
      </c>
      <c r="V28" s="631" t="s">
        <v>25</v>
      </c>
      <c r="W28" s="632">
        <f t="shared" si="14"/>
        <v>100</v>
      </c>
      <c r="X28" s="1305"/>
      <c r="Y28" s="3637"/>
      <c r="Z28" s="1306" t="str">
        <f t="shared" si="15"/>
        <v>公共部分装修</v>
      </c>
      <c r="AA28" s="1307">
        <f t="shared" si="3"/>
        <v>1</v>
      </c>
      <c r="AB28" s="1307">
        <f t="shared" si="4"/>
        <v>1</v>
      </c>
      <c r="AC28" s="1307">
        <f t="shared" si="5"/>
        <v>1</v>
      </c>
    </row>
    <row r="29" spans="1:29" ht="15">
      <c r="A29" s="537"/>
      <c r="B29" s="535" t="s">
        <v>2353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37"/>
      <c r="Q29" s="1304" t="str">
        <f t="shared" si="11"/>
        <v>成新率</v>
      </c>
      <c r="R29" s="631" t="s">
        <v>25</v>
      </c>
      <c r="S29" s="632" t="e">
        <f t="shared" si="12"/>
        <v>#N/A</v>
      </c>
      <c r="T29" s="631" t="s">
        <v>25</v>
      </c>
      <c r="U29" s="632" t="e">
        <f t="shared" si="13"/>
        <v>#N/A</v>
      </c>
      <c r="V29" s="631" t="s">
        <v>25</v>
      </c>
      <c r="W29" s="632" t="e">
        <f t="shared" si="14"/>
        <v>#N/A</v>
      </c>
      <c r="X29" s="1305"/>
      <c r="Y29" s="3637"/>
      <c r="Z29" s="1306" t="str">
        <f t="shared" si="15"/>
        <v>成新率</v>
      </c>
      <c r="AA29" s="1307" t="e">
        <f t="shared" si="3"/>
        <v>#N/A</v>
      </c>
      <c r="AB29" s="1307" t="e">
        <f t="shared" si="4"/>
        <v>#N/A</v>
      </c>
      <c r="AC29" s="1307" t="e">
        <f t="shared" si="5"/>
        <v>#N/A</v>
      </c>
    </row>
    <row r="30" spans="1:29" ht="15">
      <c r="A30" s="537"/>
      <c r="B30" s="535" t="s">
        <v>2354</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37"/>
      <c r="Q30" s="1304" t="str">
        <f t="shared" si="11"/>
        <v>物业等级</v>
      </c>
      <c r="R30" s="631" t="s">
        <v>25</v>
      </c>
      <c r="S30" s="632">
        <f t="shared" si="12"/>
        <v>100</v>
      </c>
      <c r="T30" s="631" t="s">
        <v>25</v>
      </c>
      <c r="U30" s="632">
        <f t="shared" si="13"/>
        <v>100</v>
      </c>
      <c r="V30" s="631" t="s">
        <v>25</v>
      </c>
      <c r="W30" s="632">
        <f t="shared" si="14"/>
        <v>100</v>
      </c>
      <c r="X30" s="1305"/>
      <c r="Y30" s="3637"/>
      <c r="Z30" s="1306" t="str">
        <f t="shared" si="15"/>
        <v>物业等级</v>
      </c>
      <c r="AA30" s="1307">
        <f t="shared" si="3"/>
        <v>1</v>
      </c>
      <c r="AB30" s="1307">
        <f t="shared" si="4"/>
        <v>1</v>
      </c>
      <c r="AC30" s="1307">
        <f t="shared" si="5"/>
        <v>1</v>
      </c>
    </row>
    <row r="31" spans="1:29" s="25" customFormat="1" ht="15">
      <c r="A31" s="539"/>
      <c r="B31" s="535" t="s">
        <v>2355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37"/>
      <c r="Q31" s="1297" t="str">
        <f t="shared" si="11"/>
        <v>停车位面积</v>
      </c>
      <c r="R31" s="627" t="s">
        <v>25</v>
      </c>
      <c r="S31" s="628" t="e">
        <f t="shared" si="12"/>
        <v>#N/A</v>
      </c>
      <c r="T31" s="627" t="s">
        <v>25</v>
      </c>
      <c r="U31" s="628" t="e">
        <f t="shared" si="13"/>
        <v>#N/A</v>
      </c>
      <c r="V31" s="627" t="s">
        <v>25</v>
      </c>
      <c r="W31" s="628" t="e">
        <f t="shared" si="14"/>
        <v>#N/A</v>
      </c>
      <c r="X31" s="629"/>
      <c r="Y31" s="3637"/>
      <c r="Z31" s="19" t="str">
        <f t="shared" si="15"/>
        <v>停车位面积</v>
      </c>
      <c r="AA31" s="630" t="e">
        <f t="shared" si="3"/>
        <v>#N/A</v>
      </c>
      <c r="AB31" s="630" t="e">
        <f t="shared" si="4"/>
        <v>#N/A</v>
      </c>
      <c r="AC31" s="630" t="e">
        <f t="shared" si="5"/>
        <v>#N/A</v>
      </c>
    </row>
    <row r="32" spans="1:29" ht="15">
      <c r="A32" s="537"/>
      <c r="B32" s="535" t="s">
        <v>2356</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37" t="s">
        <v>2216</v>
      </c>
      <c r="Q32" s="1304" t="str">
        <f t="shared" si="11"/>
        <v>车位类型</v>
      </c>
      <c r="R32" s="631" t="s">
        <v>25</v>
      </c>
      <c r="S32" s="632">
        <f t="shared" si="12"/>
        <v>100</v>
      </c>
      <c r="T32" s="631" t="s">
        <v>25</v>
      </c>
      <c r="U32" s="632">
        <f t="shared" si="13"/>
        <v>100</v>
      </c>
      <c r="V32" s="631" t="s">
        <v>25</v>
      </c>
      <c r="W32" s="632">
        <f t="shared" si="14"/>
        <v>100</v>
      </c>
      <c r="X32" s="1305"/>
      <c r="Y32" s="3637" t="s">
        <v>2216</v>
      </c>
      <c r="Z32" s="1306" t="str">
        <f t="shared" si="15"/>
        <v>车位类型</v>
      </c>
      <c r="AA32" s="1307">
        <f t="shared" si="3"/>
        <v>1</v>
      </c>
      <c r="AB32" s="1307">
        <f t="shared" si="4"/>
        <v>1</v>
      </c>
      <c r="AC32" s="1307">
        <f t="shared" si="5"/>
        <v>1</v>
      </c>
    </row>
    <row r="33" spans="1:29" ht="15">
      <c r="A33" s="537"/>
      <c r="B33" s="535" t="s">
        <v>2357</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37"/>
      <c r="Q33" s="1304" t="str">
        <f t="shared" si="11"/>
        <v>是否直接入户</v>
      </c>
      <c r="R33" s="631" t="s">
        <v>25</v>
      </c>
      <c r="S33" s="632">
        <f t="shared" si="12"/>
        <v>100</v>
      </c>
      <c r="T33" s="631" t="s">
        <v>25</v>
      </c>
      <c r="U33" s="632">
        <f t="shared" si="13"/>
        <v>100</v>
      </c>
      <c r="V33" s="631" t="s">
        <v>25</v>
      </c>
      <c r="W33" s="632">
        <f t="shared" si="14"/>
        <v>100</v>
      </c>
      <c r="X33" s="1305"/>
      <c r="Y33" s="363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37"/>
      <c r="Q34" s="1304">
        <f t="shared" si="11"/>
        <v>111</v>
      </c>
      <c r="R34" s="631" t="s">
        <v>25</v>
      </c>
      <c r="S34" s="632">
        <f t="shared" si="12"/>
        <v>100</v>
      </c>
      <c r="T34" s="631" t="s">
        <v>25</v>
      </c>
      <c r="U34" s="632">
        <f t="shared" si="13"/>
        <v>100</v>
      </c>
      <c r="V34" s="631" t="s">
        <v>25</v>
      </c>
      <c r="W34" s="632">
        <f t="shared" si="14"/>
        <v>100</v>
      </c>
      <c r="X34" s="1305"/>
      <c r="Y34" s="363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37"/>
      <c r="Q35" s="633">
        <f t="shared" si="11"/>
        <v>111</v>
      </c>
      <c r="R35" s="634" t="s">
        <v>25</v>
      </c>
      <c r="S35" s="635">
        <f t="shared" si="12"/>
        <v>100</v>
      </c>
      <c r="T35" s="634" t="s">
        <v>25</v>
      </c>
      <c r="U35" s="635">
        <f t="shared" si="13"/>
        <v>100</v>
      </c>
      <c r="V35" s="634" t="s">
        <v>25</v>
      </c>
      <c r="W35" s="635">
        <f t="shared" si="14"/>
        <v>100</v>
      </c>
      <c r="X35" s="636"/>
      <c r="Y35" s="363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37"/>
      <c r="Q36" s="1304">
        <f t="shared" si="11"/>
        <v>111</v>
      </c>
      <c r="R36" s="631" t="s">
        <v>25</v>
      </c>
      <c r="S36" s="632">
        <f t="shared" si="12"/>
        <v>100</v>
      </c>
      <c r="T36" s="631" t="s">
        <v>25</v>
      </c>
      <c r="U36" s="632">
        <f t="shared" si="13"/>
        <v>100</v>
      </c>
      <c r="V36" s="631" t="s">
        <v>25</v>
      </c>
      <c r="W36" s="632">
        <f t="shared" si="14"/>
        <v>100</v>
      </c>
      <c r="X36" s="1305"/>
      <c r="Y36" s="3637"/>
      <c r="Z36" s="1306">
        <f t="shared" si="15"/>
        <v>111</v>
      </c>
      <c r="AA36" s="1307">
        <f t="shared" si="3"/>
        <v>1</v>
      </c>
      <c r="AB36" s="1307">
        <f t="shared" si="4"/>
        <v>1</v>
      </c>
      <c r="AC36" s="1307">
        <f t="shared" si="5"/>
        <v>1</v>
      </c>
    </row>
    <row r="37" spans="1:29" ht="15">
      <c r="A37" s="367" t="s">
        <v>2358</v>
      </c>
      <c r="B37" s="840" t="s">
        <v>2359</v>
      </c>
      <c r="C37" s="1124" t="s">
        <v>1</v>
      </c>
      <c r="D37" s="1125"/>
      <c r="E37" s="1126"/>
      <c r="F37" s="1127"/>
      <c r="G37" s="1128"/>
      <c r="H37" s="1129"/>
      <c r="I37" s="1126"/>
      <c r="J37" s="1129"/>
      <c r="K37" s="503"/>
      <c r="L37" s="3004"/>
      <c r="N37" s="2993"/>
      <c r="P37" s="3631" t="str">
        <f>A37</f>
        <v>成交单价</v>
      </c>
      <c r="Q37" s="3631"/>
      <c r="R37" s="3632">
        <f>E37</f>
        <v>0</v>
      </c>
      <c r="S37" s="3632"/>
      <c r="T37" s="3632">
        <f>G37</f>
        <v>0</v>
      </c>
      <c r="U37" s="3632"/>
      <c r="V37" s="3632">
        <f>I37</f>
        <v>0</v>
      </c>
      <c r="W37" s="3632"/>
      <c r="X37" s="618"/>
      <c r="Y37" s="638"/>
      <c r="Z37" s="618"/>
      <c r="AA37" s="618"/>
      <c r="AB37" s="618"/>
      <c r="AC37" s="618"/>
    </row>
    <row r="38" spans="1:29" ht="15.75" thickBot="1">
      <c r="A38" s="374" t="s">
        <v>2360</v>
      </c>
      <c r="B38" s="375" t="str">
        <f>B37</f>
        <v>元/平方米</v>
      </c>
      <c r="C38" s="1130" t="e">
        <f>R39</f>
        <v>#DIV/0!</v>
      </c>
      <c r="D38" s="1765" t="s">
        <v>2683</v>
      </c>
      <c r="E38" s="1131" t="e">
        <f>R38</f>
        <v>#DIV/0!</v>
      </c>
      <c r="F38" s="1767"/>
      <c r="G38" s="1130" t="e">
        <f>T38</f>
        <v>#DIV/0!</v>
      </c>
      <c r="H38" s="1767"/>
      <c r="I38" s="1131" t="e">
        <f>V38</f>
        <v>#DIV/0!</v>
      </c>
      <c r="J38" s="1767"/>
      <c r="K38" s="2479">
        <f>F38+H38+J38</f>
        <v>0</v>
      </c>
      <c r="L38" s="3004"/>
      <c r="P38" s="3631" t="str">
        <f>A38</f>
        <v>比较价值</v>
      </c>
      <c r="Q38" s="3631"/>
      <c r="R38" s="3632" t="e">
        <f>IF(E1="售价",ROUND(PRODUCT(R37,AA7:AA36),0),ROUND(PRODUCT(R37,AA7:AA36),1))</f>
        <v>#DIV/0!</v>
      </c>
      <c r="S38" s="3632"/>
      <c r="T38" s="3632" t="e">
        <f>IF(E1="售价",ROUND(PRODUCT(T37,AB7:AB36),0),ROUND(PRODUCT(T37,AB7:AB36),1))</f>
        <v>#DIV/0!</v>
      </c>
      <c r="U38" s="3632"/>
      <c r="V38" s="3632" t="e">
        <f>IF(E1="售价",ROUND(PRODUCT(V37,AC7:AC36),0),ROUND(PRODUCT(V37,AC7:AC36),1))</f>
        <v>#DIV/0!</v>
      </c>
      <c r="W38" s="3632"/>
      <c r="X38" s="618"/>
      <c r="Y38" s="618"/>
      <c r="Z38" s="618"/>
      <c r="AA38" s="618"/>
      <c r="AB38" s="618"/>
      <c r="AC38" s="618"/>
    </row>
    <row r="39" spans="1:29" ht="15.75" thickBot="1">
      <c r="A39" s="378" t="s">
        <v>2361</v>
      </c>
      <c r="B39" s="379"/>
      <c r="C39" s="1132" t="e">
        <f>R39</f>
        <v>#DIV/0!</v>
      </c>
      <c r="D39" s="1132"/>
      <c r="E39" s="1132"/>
      <c r="F39" s="1132"/>
      <c r="G39" s="1132"/>
      <c r="H39" s="1132"/>
      <c r="I39" s="1132"/>
      <c r="J39" s="1132"/>
      <c r="K39" s="504"/>
      <c r="L39" s="3004"/>
      <c r="P39" s="3633" t="str">
        <f>A39</f>
        <v>估价对象XX用房的比较价值（楼面单价，元/平方米）</v>
      </c>
      <c r="Q39" s="3634"/>
      <c r="R39" s="3635" t="e">
        <f>IF(E1="售价",ROUND(IF(D38="简单平均",AVERAGE(R38:W38),R38*F38+T38*H38+V38*J38),0),ROUND(IF(D38="简单平均",AVERAGE(R38:V38),R38*F38+T38*H38+V38*J38),1))</f>
        <v>#DIV/0!</v>
      </c>
      <c r="S39" s="3635"/>
      <c r="T39" s="3635"/>
      <c r="U39" s="3635"/>
      <c r="V39" s="3635"/>
      <c r="W39" s="3635"/>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2365</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2366</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2236</v>
      </c>
      <c r="B50" s="401"/>
      <c r="C50" s="402"/>
      <c r="D50" s="403"/>
      <c r="E50" s="403"/>
      <c r="F50" s="403"/>
      <c r="G50" s="403"/>
      <c r="H50" s="403"/>
      <c r="I50" s="403"/>
      <c r="J50" s="403"/>
      <c r="K50" s="403"/>
      <c r="L50" s="403"/>
      <c r="M50" s="404"/>
      <c r="N50" s="403"/>
      <c r="O50" s="405"/>
      <c r="P50" s="390"/>
      <c r="Q50" s="390"/>
    </row>
    <row r="51" spans="1:17" s="25" customFormat="1" ht="15">
      <c r="A51" s="406" t="s">
        <v>2200</v>
      </c>
      <c r="B51" s="396"/>
      <c r="C51" s="407" t="s">
        <v>2201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2239</v>
      </c>
      <c r="B53" s="413" t="s">
        <v>2204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2207</v>
      </c>
      <c r="C55" s="426" t="s">
        <v>2240</v>
      </c>
      <c r="D55" s="426" t="s">
        <v>2241</v>
      </c>
      <c r="E55" s="426" t="s">
        <v>2242</v>
      </c>
      <c r="F55" s="426" t="s">
        <v>2243</v>
      </c>
      <c r="G55" s="426" t="s">
        <v>2244</v>
      </c>
      <c r="H55" s="426" t="s">
        <v>2245</v>
      </c>
      <c r="I55" s="426" t="s">
        <v>2246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2209</v>
      </c>
      <c r="B63" s="413" t="s">
        <v>2253</v>
      </c>
      <c r="C63" s="461" t="s">
        <v>2248</v>
      </c>
      <c r="D63" s="461" t="s">
        <v>2249</v>
      </c>
      <c r="E63" s="461" t="s">
        <v>2250</v>
      </c>
      <c r="F63" s="461" t="s">
        <v>2251</v>
      </c>
      <c r="G63" s="461" t="s">
        <v>2252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2254</v>
      </c>
      <c r="C65" s="466" t="s">
        <v>2248</v>
      </c>
      <c r="D65" s="466" t="s">
        <v>2249</v>
      </c>
      <c r="E65" s="466" t="s">
        <v>2250</v>
      </c>
      <c r="F65" s="466" t="s">
        <v>2251</v>
      </c>
      <c r="G65" s="466" t="s">
        <v>2252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2326</v>
      </c>
      <c r="C67" s="426" t="s">
        <v>2255</v>
      </c>
      <c r="D67" s="426" t="s">
        <v>2256</v>
      </c>
      <c r="E67" s="426" t="s">
        <v>2257</v>
      </c>
      <c r="F67" s="426" t="s">
        <v>2258</v>
      </c>
      <c r="G67" s="426" t="s">
        <v>2259</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2260</v>
      </c>
      <c r="C69" s="466" t="s">
        <v>2248</v>
      </c>
      <c r="D69" s="466" t="s">
        <v>2249</v>
      </c>
      <c r="E69" s="466" t="s">
        <v>2250</v>
      </c>
      <c r="F69" s="466" t="s">
        <v>2251</v>
      </c>
      <c r="G69" s="466" t="s">
        <v>2252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2214</v>
      </c>
      <c r="B79" s="413" t="s">
        <v>2368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2369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2345</v>
      </c>
      <c r="B1" s="1550"/>
      <c r="C1" s="1192"/>
      <c r="D1" s="1202"/>
      <c r="E1" s="1527" t="s">
        <v>2684</v>
      </c>
      <c r="F1" s="1203" t="s">
        <v>2183</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28"/>
      <c r="E2" s="1201" t="e">
        <f ca="1">SUMIF(INDIRECT("'"&amp;G2&amp;"'"&amp;"!A:A"),"承租人权益价值",INDIRECT("'"&amp;G2&amp;"'"&amp;"!c:c"))</f>
        <v>#REF!</v>
      </c>
      <c r="F2" s="1529" t="str">
        <f>C2</f>
        <v>万元</v>
      </c>
      <c r="G2" s="1530"/>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2184</v>
      </c>
      <c r="D3" s="292">
        <f>IF(C1="仅计算典型户型",'数据-取费表'!E5,'数据-取费表'!B5)</f>
        <v>718.89</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54" t="s">
        <v>2186</v>
      </c>
      <c r="D4" s="3655"/>
      <c r="E4" s="3656" t="s">
        <v>2187</v>
      </c>
      <c r="F4" s="3657"/>
      <c r="G4" s="3654" t="s">
        <v>2188</v>
      </c>
      <c r="H4" s="3655"/>
      <c r="I4" s="3654" t="s">
        <v>2189</v>
      </c>
      <c r="J4" s="3655"/>
      <c r="K4" s="496" t="s">
        <v>2190</v>
      </c>
      <c r="L4" s="2992"/>
      <c r="M4" s="2993"/>
      <c r="N4" s="2993"/>
      <c r="O4" s="2993"/>
      <c r="P4" s="3658" t="s">
        <v>2191</v>
      </c>
      <c r="Q4" s="3659"/>
      <c r="R4" s="3641" t="s">
        <v>2187</v>
      </c>
      <c r="S4" s="3642"/>
      <c r="T4" s="3641" t="s">
        <v>2188</v>
      </c>
      <c r="U4" s="3642"/>
      <c r="V4" s="3664" t="s">
        <v>2189</v>
      </c>
      <c r="W4" s="3664"/>
      <c r="X4" s="1305"/>
      <c r="Y4" s="3641" t="s">
        <v>2191</v>
      </c>
      <c r="Z4" s="3642"/>
      <c r="AA4" s="3651" t="s">
        <v>2187</v>
      </c>
      <c r="AB4" s="3652" t="s">
        <v>2188</v>
      </c>
      <c r="AC4" s="3651" t="s">
        <v>2189</v>
      </c>
    </row>
    <row r="5" spans="1:29" ht="15">
      <c r="A5" s="297"/>
      <c r="B5" s="298"/>
      <c r="C5" s="3667" t="s">
        <v>2192</v>
      </c>
      <c r="D5" s="3668"/>
      <c r="E5" s="3665" t="s">
        <v>2193</v>
      </c>
      <c r="F5" s="3666"/>
      <c r="G5" s="3667" t="s">
        <v>2194</v>
      </c>
      <c r="H5" s="3668"/>
      <c r="I5" s="3667" t="s">
        <v>2195</v>
      </c>
      <c r="J5" s="3668"/>
      <c r="K5" s="496"/>
      <c r="L5" s="2992"/>
      <c r="M5" s="2993"/>
      <c r="N5" s="2993"/>
      <c r="O5" s="2993"/>
      <c r="P5" s="3660"/>
      <c r="Q5" s="3661"/>
      <c r="R5" s="3643"/>
      <c r="S5" s="3644"/>
      <c r="T5" s="3643"/>
      <c r="U5" s="3644"/>
      <c r="V5" s="3664"/>
      <c r="W5" s="3664"/>
      <c r="X5" s="1305"/>
      <c r="Y5" s="3643"/>
      <c r="Z5" s="3644"/>
      <c r="AA5" s="3652"/>
      <c r="AB5" s="3652"/>
      <c r="AC5" s="3652"/>
    </row>
    <row r="6" spans="1:29" ht="15.75" thickBot="1">
      <c r="A6" s="299"/>
      <c r="B6" s="300"/>
      <c r="C6" s="3669" t="s">
        <v>2196</v>
      </c>
      <c r="D6" s="3670"/>
      <c r="E6" s="3671" t="s">
        <v>2196</v>
      </c>
      <c r="F6" s="3672"/>
      <c r="G6" s="3669" t="s">
        <v>2196</v>
      </c>
      <c r="H6" s="3670"/>
      <c r="I6" s="3669" t="s">
        <v>2196</v>
      </c>
      <c r="J6" s="3670"/>
      <c r="K6" s="496" t="s">
        <v>2197</v>
      </c>
      <c r="L6" s="2992"/>
      <c r="M6" s="2993"/>
      <c r="N6" s="2993"/>
      <c r="O6" s="2993"/>
      <c r="P6" s="3662"/>
      <c r="Q6" s="3663"/>
      <c r="R6" s="3643"/>
      <c r="S6" s="3644"/>
      <c r="T6" s="3645"/>
      <c r="U6" s="3646"/>
      <c r="V6" s="3664"/>
      <c r="W6" s="3664"/>
      <c r="X6" s="1305"/>
      <c r="Y6" s="3645"/>
      <c r="Z6" s="3646"/>
      <c r="AA6" s="3653"/>
      <c r="AB6" s="3653"/>
      <c r="AC6" s="3653"/>
    </row>
    <row r="7" spans="1:29" s="25" customFormat="1" ht="15.75" thickBot="1">
      <c r="A7" s="301" t="s">
        <v>2198</v>
      </c>
      <c r="B7" s="302"/>
      <c r="C7" s="303">
        <f>'数据-取费表'!B2</f>
        <v>44664</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39" t="s">
        <v>2199</v>
      </c>
      <c r="Q7" s="3647"/>
      <c r="R7" s="627" t="s">
        <v>25</v>
      </c>
      <c r="S7" s="628">
        <f t="shared" ref="S7:S14" si="0">F7</f>
        <v>0</v>
      </c>
      <c r="T7" s="627" t="s">
        <v>25</v>
      </c>
      <c r="U7" s="628">
        <f t="shared" ref="U7:U14" si="1">H7</f>
        <v>0</v>
      </c>
      <c r="V7" s="627" t="s">
        <v>25</v>
      </c>
      <c r="W7" s="628">
        <f t="shared" ref="W7:W14" si="2">J7</f>
        <v>0</v>
      </c>
      <c r="X7" s="629"/>
      <c r="Y7" s="3639" t="s">
        <v>2199</v>
      </c>
      <c r="Z7" s="3640"/>
      <c r="AA7" s="630" t="e">
        <f>D7/F7</f>
        <v>#DIV/0!</v>
      </c>
      <c r="AB7" s="630" t="e">
        <f>D7/H7</f>
        <v>#DIV/0!</v>
      </c>
      <c r="AC7" s="630" t="e">
        <f>D7/J7</f>
        <v>#DIV/0!</v>
      </c>
    </row>
    <row r="8" spans="1:29" s="25" customFormat="1" ht="15.75" thickBot="1">
      <c r="A8" s="301" t="s">
        <v>2200</v>
      </c>
      <c r="B8" s="302"/>
      <c r="C8" s="307" t="s">
        <v>2201</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39" t="s">
        <v>2202</v>
      </c>
      <c r="Q8" s="3640"/>
      <c r="R8" s="627" t="s">
        <v>25</v>
      </c>
      <c r="S8" s="628">
        <f t="shared" si="0"/>
        <v>0</v>
      </c>
      <c r="T8" s="627" t="s">
        <v>25</v>
      </c>
      <c r="U8" s="628">
        <f t="shared" si="1"/>
        <v>0</v>
      </c>
      <c r="V8" s="627" t="s">
        <v>25</v>
      </c>
      <c r="W8" s="628">
        <f t="shared" si="2"/>
        <v>0</v>
      </c>
      <c r="X8" s="629"/>
      <c r="Y8" s="3639" t="s">
        <v>2202</v>
      </c>
      <c r="Z8" s="3640"/>
      <c r="AA8" s="630" t="e">
        <f t="shared" ref="AA8:AA34" si="3">D8/F8</f>
        <v>#DIV/0!</v>
      </c>
      <c r="AB8" s="630" t="e">
        <f t="shared" ref="AB8:AB34" si="4">D8/H8</f>
        <v>#DIV/0!</v>
      </c>
      <c r="AC8" s="630" t="e">
        <f t="shared" ref="AC8:AC34" si="5">D8/J8</f>
        <v>#DIV/0!</v>
      </c>
    </row>
    <row r="9" spans="1:29" s="25" customFormat="1">
      <c r="A9" s="308" t="s">
        <v>2203</v>
      </c>
      <c r="B9" s="24" t="s">
        <v>2204</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31" t="s">
        <v>2205</v>
      </c>
      <c r="Q9" s="1297" t="str">
        <f t="shared" ref="Q9:Q14" si="6">B9</f>
        <v>用途</v>
      </c>
      <c r="R9" s="627" t="s">
        <v>25</v>
      </c>
      <c r="S9" s="628">
        <f t="shared" si="0"/>
        <v>100</v>
      </c>
      <c r="T9" s="627" t="s">
        <v>25</v>
      </c>
      <c r="U9" s="628">
        <f t="shared" si="1"/>
        <v>100</v>
      </c>
      <c r="V9" s="627" t="s">
        <v>25</v>
      </c>
      <c r="W9" s="628">
        <f t="shared" si="2"/>
        <v>100</v>
      </c>
      <c r="X9" s="629"/>
      <c r="Y9" s="3650" t="s">
        <v>2206</v>
      </c>
      <c r="Z9" s="19" t="str">
        <f t="shared" ref="Z9:Z14" si="7">Q9</f>
        <v>用途</v>
      </c>
      <c r="AA9" s="630">
        <f t="shared" si="3"/>
        <v>1</v>
      </c>
      <c r="AB9" s="630">
        <f t="shared" si="4"/>
        <v>1</v>
      </c>
      <c r="AC9" s="630">
        <f t="shared" si="5"/>
        <v>1</v>
      </c>
    </row>
    <row r="10" spans="1:29" s="317" customFormat="1" ht="27">
      <c r="A10" s="312"/>
      <c r="B10" s="313" t="s">
        <v>2207</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31"/>
      <c r="Q10" s="1297" t="str">
        <f t="shared" si="6"/>
        <v>土地使用年限（年）</v>
      </c>
      <c r="R10" s="627" t="s">
        <v>25</v>
      </c>
      <c r="S10" s="628">
        <f t="shared" si="0"/>
        <v>100</v>
      </c>
      <c r="T10" s="627" t="s">
        <v>25</v>
      </c>
      <c r="U10" s="628">
        <f t="shared" si="1"/>
        <v>100</v>
      </c>
      <c r="V10" s="627" t="s">
        <v>25</v>
      </c>
      <c r="W10" s="628">
        <f t="shared" si="2"/>
        <v>100</v>
      </c>
      <c r="X10" s="629"/>
      <c r="Y10" s="3650"/>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31"/>
      <c r="Q11" s="1297">
        <f t="shared" si="6"/>
        <v>111</v>
      </c>
      <c r="R11" s="627" t="s">
        <v>25</v>
      </c>
      <c r="S11" s="628">
        <f t="shared" si="0"/>
        <v>100</v>
      </c>
      <c r="T11" s="627" t="s">
        <v>25</v>
      </c>
      <c r="U11" s="628">
        <f t="shared" si="1"/>
        <v>100</v>
      </c>
      <c r="V11" s="627" t="s">
        <v>25</v>
      </c>
      <c r="W11" s="628">
        <f t="shared" si="2"/>
        <v>100</v>
      </c>
      <c r="X11" s="629"/>
      <c r="Y11" s="3650"/>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
      <c r="A14" s="329" t="s">
        <v>2209</v>
      </c>
      <c r="B14" s="22" t="s">
        <v>2347</v>
      </c>
      <c r="C14" s="1549" t="str">
        <f>IF(B1="工业",估价对象房地状况!G4,估价对象房地状况!C6)</f>
        <v>一般</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48" t="s">
        <v>2210</v>
      </c>
      <c r="Q14" s="1304" t="str">
        <f t="shared" si="6"/>
        <v>交通便捷度</v>
      </c>
      <c r="R14" s="631" t="s">
        <v>25</v>
      </c>
      <c r="S14" s="632">
        <f t="shared" si="0"/>
        <v>100</v>
      </c>
      <c r="T14" s="631" t="s">
        <v>25</v>
      </c>
      <c r="U14" s="632">
        <f t="shared" si="1"/>
        <v>100</v>
      </c>
      <c r="V14" s="631" t="s">
        <v>25</v>
      </c>
      <c r="W14" s="632">
        <f t="shared" si="2"/>
        <v>100</v>
      </c>
      <c r="X14" s="1305"/>
      <c r="Y14" s="3648" t="s">
        <v>2210</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49"/>
      <c r="Q15" s="1304"/>
      <c r="R15" s="631"/>
      <c r="S15" s="632"/>
      <c r="T15" s="631"/>
      <c r="U15" s="632"/>
      <c r="V15" s="631"/>
      <c r="W15" s="632"/>
      <c r="X15" s="1305"/>
      <c r="Y15" s="3649"/>
      <c r="Z15" s="1306"/>
      <c r="AA15" s="1307">
        <v>1</v>
      </c>
      <c r="AB15" s="1307">
        <v>1</v>
      </c>
      <c r="AC15" s="1307">
        <v>1</v>
      </c>
    </row>
    <row r="16" spans="1:29" ht="15">
      <c r="A16" s="318"/>
      <c r="B16" s="513" t="s">
        <v>2325</v>
      </c>
      <c r="C16" s="153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49"/>
      <c r="Q16" s="1304" t="str">
        <f>B16</f>
        <v>公共配套设施</v>
      </c>
      <c r="R16" s="631" t="s">
        <v>25</v>
      </c>
      <c r="S16" s="632">
        <f>F16</f>
        <v>100</v>
      </c>
      <c r="T16" s="631" t="s">
        <v>25</v>
      </c>
      <c r="U16" s="632">
        <f>H16</f>
        <v>100</v>
      </c>
      <c r="V16" s="631" t="s">
        <v>25</v>
      </c>
      <c r="W16" s="632">
        <f>J16</f>
        <v>100</v>
      </c>
      <c r="X16" s="1305"/>
      <c r="Y16" s="3649"/>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49"/>
      <c r="Q17" s="1304"/>
      <c r="R17" s="631"/>
      <c r="S17" s="632"/>
      <c r="T17" s="631"/>
      <c r="U17" s="632"/>
      <c r="V17" s="631"/>
      <c r="W17" s="632"/>
      <c r="X17" s="1305"/>
      <c r="Y17" s="3649"/>
      <c r="Z17" s="1306"/>
      <c r="AA17" s="1307">
        <v>1</v>
      </c>
      <c r="AB17" s="1307">
        <v>1</v>
      </c>
      <c r="AC17" s="1307">
        <v>1</v>
      </c>
    </row>
    <row r="18" spans="1:29" ht="15">
      <c r="A18" s="318"/>
      <c r="B18" s="515" t="s">
        <v>2326</v>
      </c>
      <c r="C18" s="153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49"/>
      <c r="Q18" s="1304" t="str">
        <f>B18</f>
        <v>基础设施水平</v>
      </c>
      <c r="R18" s="631" t="s">
        <v>25</v>
      </c>
      <c r="S18" s="632">
        <f>F18</f>
        <v>100</v>
      </c>
      <c r="T18" s="631" t="s">
        <v>25</v>
      </c>
      <c r="U18" s="632">
        <f>H18</f>
        <v>100</v>
      </c>
      <c r="V18" s="631" t="s">
        <v>25</v>
      </c>
      <c r="W18" s="632">
        <f>J18</f>
        <v>100</v>
      </c>
      <c r="X18" s="1305"/>
      <c r="Y18" s="3649"/>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49"/>
      <c r="Q19" s="1304"/>
      <c r="R19" s="631"/>
      <c r="S19" s="632"/>
      <c r="T19" s="631"/>
      <c r="U19" s="632"/>
      <c r="V19" s="631"/>
      <c r="W19" s="632"/>
      <c r="X19" s="1305"/>
      <c r="Y19" s="3649"/>
      <c r="Z19" s="1306"/>
      <c r="AA19" s="1307">
        <v>1</v>
      </c>
      <c r="AB19" s="1307">
        <v>1</v>
      </c>
      <c r="AC19" s="1307">
        <v>1</v>
      </c>
    </row>
    <row r="20" spans="1:29" ht="15">
      <c r="A20" s="318"/>
      <c r="B20" s="340" t="s">
        <v>2348</v>
      </c>
      <c r="C20" s="1535"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49"/>
      <c r="Q20" s="1304" t="str">
        <f>B20</f>
        <v>自然及人文环境</v>
      </c>
      <c r="R20" s="631" t="s">
        <v>25</v>
      </c>
      <c r="S20" s="632">
        <f>F20</f>
        <v>100</v>
      </c>
      <c r="T20" s="631" t="s">
        <v>25</v>
      </c>
      <c r="U20" s="632">
        <f>H20</f>
        <v>100</v>
      </c>
      <c r="V20" s="631" t="s">
        <v>25</v>
      </c>
      <c r="W20" s="632">
        <f>J20</f>
        <v>100</v>
      </c>
      <c r="X20" s="1305"/>
      <c r="Y20" s="3649"/>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49"/>
      <c r="Q21" s="1304"/>
      <c r="R21" s="631"/>
      <c r="S21" s="632"/>
      <c r="T21" s="631"/>
      <c r="U21" s="632"/>
      <c r="V21" s="631"/>
      <c r="W21" s="632"/>
      <c r="X21" s="1305"/>
      <c r="Y21" s="3649"/>
      <c r="Z21" s="1306"/>
      <c r="AA21" s="1307">
        <v>1</v>
      </c>
      <c r="AB21" s="1307">
        <v>1</v>
      </c>
      <c r="AC21" s="1307">
        <v>1</v>
      </c>
    </row>
    <row r="22" spans="1:29" ht="15">
      <c r="A22" s="318"/>
      <c r="B22" s="340" t="s">
        <v>2349</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49"/>
      <c r="Q22" s="1304" t="str">
        <f>B22</f>
        <v>楼层</v>
      </c>
      <c r="R22" s="631" t="s">
        <v>25</v>
      </c>
      <c r="S22" s="632">
        <f>F22</f>
        <v>100</v>
      </c>
      <c r="T22" s="631" t="s">
        <v>25</v>
      </c>
      <c r="U22" s="632">
        <f>H22</f>
        <v>100</v>
      </c>
      <c r="V22" s="631" t="s">
        <v>25</v>
      </c>
      <c r="W22" s="632">
        <f>J22</f>
        <v>100</v>
      </c>
      <c r="X22" s="1305"/>
      <c r="Y22" s="3649"/>
      <c r="Z22" s="1306" t="str">
        <f>Q22</f>
        <v>楼层</v>
      </c>
      <c r="AA22" s="1307">
        <f t="shared" si="3"/>
        <v>1</v>
      </c>
      <c r="AB22" s="1307">
        <f t="shared" si="4"/>
        <v>1</v>
      </c>
      <c r="AC22" s="1307">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49"/>
      <c r="Q23" s="1304">
        <f>B23</f>
        <v>111</v>
      </c>
      <c r="R23" s="631" t="s">
        <v>25</v>
      </c>
      <c r="S23" s="632">
        <f>F23</f>
        <v>100</v>
      </c>
      <c r="T23" s="631" t="s">
        <v>25</v>
      </c>
      <c r="U23" s="632">
        <f>H23</f>
        <v>100</v>
      </c>
      <c r="V23" s="631" t="s">
        <v>25</v>
      </c>
      <c r="W23" s="632">
        <f>J23</f>
        <v>100</v>
      </c>
      <c r="X23" s="1305"/>
      <c r="Y23" s="3649"/>
      <c r="Z23" s="1306">
        <f>Q23</f>
        <v>111</v>
      </c>
      <c r="AA23" s="1307">
        <f t="shared" si="3"/>
        <v>1</v>
      </c>
      <c r="AB23" s="1307">
        <f t="shared" si="4"/>
        <v>1</v>
      </c>
      <c r="AC23" s="1307">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49"/>
      <c r="Q24" s="1304">
        <f t="shared" ref="Q24:Q34" si="11">B24</f>
        <v>111</v>
      </c>
      <c r="R24" s="631" t="s">
        <v>25</v>
      </c>
      <c r="S24" s="632">
        <f>F24</f>
        <v>100</v>
      </c>
      <c r="T24" s="631" t="s">
        <v>25</v>
      </c>
      <c r="U24" s="632">
        <f>H24</f>
        <v>100</v>
      </c>
      <c r="V24" s="631" t="s">
        <v>25</v>
      </c>
      <c r="W24" s="632">
        <f>J24</f>
        <v>100</v>
      </c>
      <c r="X24" s="1305"/>
      <c r="Y24" s="3649"/>
      <c r="Z24" s="1306">
        <f>Q24</f>
        <v>111</v>
      </c>
      <c r="AA24" s="1307">
        <f t="shared" si="3"/>
        <v>1</v>
      </c>
      <c r="AB24" s="1307">
        <f t="shared" si="4"/>
        <v>1</v>
      </c>
      <c r="AC24" s="1307">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649"/>
      <c r="Q25" s="1297">
        <f t="shared" si="11"/>
        <v>111</v>
      </c>
      <c r="R25" s="627" t="s">
        <v>25</v>
      </c>
      <c r="S25" s="628">
        <f>F25</f>
        <v>100</v>
      </c>
      <c r="T25" s="627" t="s">
        <v>25</v>
      </c>
      <c r="U25" s="628">
        <f>H25</f>
        <v>100</v>
      </c>
      <c r="V25" s="627" t="s">
        <v>25</v>
      </c>
      <c r="W25" s="628">
        <f>J25</f>
        <v>100</v>
      </c>
      <c r="X25" s="629"/>
      <c r="Y25" s="3649"/>
      <c r="Z25" s="19">
        <f>Q25</f>
        <v>111</v>
      </c>
      <c r="AA25" s="1307">
        <f>D25/F25</f>
        <v>1</v>
      </c>
      <c r="AB25" s="1307">
        <f>D25/H25</f>
        <v>1</v>
      </c>
      <c r="AC25" s="1307">
        <f>D25/J25</f>
        <v>1</v>
      </c>
    </row>
    <row r="26" spans="1:29" ht="28.5">
      <c r="A26" s="354" t="s">
        <v>2214</v>
      </c>
      <c r="B26" s="24" t="s">
        <v>2352</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636" t="s">
        <v>2216</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7" t="s">
        <v>2216</v>
      </c>
      <c r="Z26" s="1306" t="str">
        <f t="shared" ref="Z26:Z34" si="15">Q26</f>
        <v>公共部分装修</v>
      </c>
      <c r="AA26" s="1307">
        <f t="shared" si="3"/>
        <v>1</v>
      </c>
      <c r="AB26" s="1307">
        <f t="shared" si="4"/>
        <v>1</v>
      </c>
      <c r="AC26" s="1307">
        <f t="shared" si="5"/>
        <v>1</v>
      </c>
    </row>
    <row r="27" spans="1:29" s="359" customFormat="1" ht="15">
      <c r="A27" s="356"/>
      <c r="B27" s="313" t="s">
        <v>2353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37"/>
      <c r="Q27" s="633" t="str">
        <f t="shared" si="11"/>
        <v>成新率</v>
      </c>
      <c r="R27" s="634" t="s">
        <v>25</v>
      </c>
      <c r="S27" s="635" t="e">
        <f t="shared" si="12"/>
        <v>#N/A</v>
      </c>
      <c r="T27" s="634" t="s">
        <v>25</v>
      </c>
      <c r="U27" s="635" t="e">
        <f t="shared" si="13"/>
        <v>#N/A</v>
      </c>
      <c r="V27" s="634" t="s">
        <v>25</v>
      </c>
      <c r="W27" s="635" t="e">
        <f t="shared" si="14"/>
        <v>#N/A</v>
      </c>
      <c r="X27" s="636"/>
      <c r="Y27" s="3637"/>
      <c r="Z27" s="637" t="str">
        <f t="shared" si="15"/>
        <v>成新率</v>
      </c>
      <c r="AA27" s="1307" t="e">
        <f t="shared" si="3"/>
        <v>#N/A</v>
      </c>
      <c r="AB27" s="1307" t="e">
        <f t="shared" si="4"/>
        <v>#N/A</v>
      </c>
      <c r="AC27" s="1307" t="e">
        <f t="shared" si="5"/>
        <v>#N/A</v>
      </c>
    </row>
    <row r="28" spans="1:29" ht="15">
      <c r="A28" s="360"/>
      <c r="B28" s="313" t="s">
        <v>2354</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37"/>
      <c r="Q28" s="1304" t="str">
        <f t="shared" si="11"/>
        <v>物业等级</v>
      </c>
      <c r="R28" s="631" t="s">
        <v>25</v>
      </c>
      <c r="S28" s="632">
        <f t="shared" si="12"/>
        <v>100</v>
      </c>
      <c r="T28" s="631" t="s">
        <v>25</v>
      </c>
      <c r="U28" s="632">
        <f t="shared" si="13"/>
        <v>100</v>
      </c>
      <c r="V28" s="631" t="s">
        <v>25</v>
      </c>
      <c r="W28" s="632">
        <f t="shared" si="14"/>
        <v>100</v>
      </c>
      <c r="X28" s="1305"/>
      <c r="Y28" s="3637"/>
      <c r="Z28" s="1306" t="str">
        <f t="shared" si="15"/>
        <v>物业等级</v>
      </c>
      <c r="AA28" s="1307">
        <f t="shared" si="3"/>
        <v>1</v>
      </c>
      <c r="AB28" s="1307">
        <f t="shared" si="4"/>
        <v>1</v>
      </c>
      <c r="AC28" s="1307">
        <f t="shared" si="5"/>
        <v>1</v>
      </c>
    </row>
    <row r="29" spans="1:29" ht="15">
      <c r="A29" s="360"/>
      <c r="B29" s="313" t="s">
        <v>2375</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37"/>
      <c r="Q29" s="1304" t="str">
        <f t="shared" si="11"/>
        <v>有无电梯</v>
      </c>
      <c r="R29" s="631" t="s">
        <v>25</v>
      </c>
      <c r="S29" s="632">
        <f t="shared" si="12"/>
        <v>100</v>
      </c>
      <c r="T29" s="631" t="s">
        <v>25</v>
      </c>
      <c r="U29" s="632">
        <f t="shared" si="13"/>
        <v>100</v>
      </c>
      <c r="V29" s="631" t="s">
        <v>25</v>
      </c>
      <c r="W29" s="632">
        <f t="shared" si="14"/>
        <v>100</v>
      </c>
      <c r="X29" s="1305"/>
      <c r="Y29" s="3637"/>
      <c r="Z29" s="1306" t="str">
        <f t="shared" si="15"/>
        <v>有无电梯</v>
      </c>
      <c r="AA29" s="1307">
        <f t="shared" si="3"/>
        <v>1</v>
      </c>
      <c r="AB29" s="1307">
        <f t="shared" si="4"/>
        <v>1</v>
      </c>
      <c r="AC29" s="1307">
        <f t="shared" si="5"/>
        <v>1</v>
      </c>
    </row>
    <row r="30" spans="1:29" ht="15">
      <c r="A30" s="360"/>
      <c r="B30" s="313" t="s">
        <v>2376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37"/>
      <c r="Q30" s="1304" t="str">
        <f t="shared" si="11"/>
        <v>建筑面积</v>
      </c>
      <c r="R30" s="631" t="s">
        <v>25</v>
      </c>
      <c r="S30" s="632" t="e">
        <f t="shared" si="12"/>
        <v>#N/A</v>
      </c>
      <c r="T30" s="631" t="s">
        <v>25</v>
      </c>
      <c r="U30" s="632" t="e">
        <f t="shared" si="13"/>
        <v>#N/A</v>
      </c>
      <c r="V30" s="631" t="s">
        <v>25</v>
      </c>
      <c r="W30" s="632" t="e">
        <f t="shared" si="14"/>
        <v>#N/A</v>
      </c>
      <c r="X30" s="1305"/>
      <c r="Y30" s="3637"/>
      <c r="Z30" s="1306" t="str">
        <f t="shared" si="15"/>
        <v>建筑面积</v>
      </c>
      <c r="AA30" s="1307" t="e">
        <f t="shared" si="3"/>
        <v>#N/A</v>
      </c>
      <c r="AB30" s="1307" t="e">
        <f t="shared" si="4"/>
        <v>#N/A</v>
      </c>
      <c r="AC30" s="1307" t="e">
        <f t="shared" si="5"/>
        <v>#N/A</v>
      </c>
    </row>
    <row r="31" spans="1:29" s="25" customFormat="1" ht="15">
      <c r="A31" s="361"/>
      <c r="B31" s="313" t="s">
        <v>2377</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37"/>
      <c r="Q31" s="1297" t="str">
        <f t="shared" si="11"/>
        <v>是否封闭</v>
      </c>
      <c r="R31" s="627" t="s">
        <v>25</v>
      </c>
      <c r="S31" s="628">
        <f t="shared" si="12"/>
        <v>100</v>
      </c>
      <c r="T31" s="627" t="s">
        <v>25</v>
      </c>
      <c r="U31" s="628">
        <f t="shared" si="13"/>
        <v>100</v>
      </c>
      <c r="V31" s="627" t="s">
        <v>25</v>
      </c>
      <c r="W31" s="628">
        <f t="shared" si="14"/>
        <v>100</v>
      </c>
      <c r="X31" s="629"/>
      <c r="Y31" s="3637"/>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37" t="s">
        <v>2216</v>
      </c>
      <c r="Q32" s="1304">
        <f t="shared" si="11"/>
        <v>111</v>
      </c>
      <c r="R32" s="631" t="s">
        <v>25</v>
      </c>
      <c r="S32" s="632">
        <f t="shared" si="12"/>
        <v>100</v>
      </c>
      <c r="T32" s="631" t="s">
        <v>25</v>
      </c>
      <c r="U32" s="632">
        <f t="shared" si="13"/>
        <v>100</v>
      </c>
      <c r="V32" s="631" t="s">
        <v>25</v>
      </c>
      <c r="W32" s="632">
        <f t="shared" si="14"/>
        <v>100</v>
      </c>
      <c r="X32" s="1305"/>
      <c r="Y32" s="3637" t="s">
        <v>2216</v>
      </c>
      <c r="Z32" s="1306">
        <f t="shared" si="15"/>
        <v>111</v>
      </c>
      <c r="AA32" s="1307">
        <f t="shared" si="3"/>
        <v>1</v>
      </c>
      <c r="AB32" s="1307">
        <f t="shared" si="4"/>
        <v>1</v>
      </c>
      <c r="AC32" s="1307">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37"/>
      <c r="Q33" s="1304">
        <f t="shared" si="11"/>
        <v>111</v>
      </c>
      <c r="R33" s="631" t="s">
        <v>25</v>
      </c>
      <c r="S33" s="632">
        <f t="shared" si="12"/>
        <v>100</v>
      </c>
      <c r="T33" s="631" t="s">
        <v>25</v>
      </c>
      <c r="U33" s="632">
        <f t="shared" si="13"/>
        <v>100</v>
      </c>
      <c r="V33" s="631" t="s">
        <v>25</v>
      </c>
      <c r="W33" s="632">
        <f t="shared" si="14"/>
        <v>100</v>
      </c>
      <c r="X33" s="1305"/>
      <c r="Y33" s="3637"/>
      <c r="Z33" s="1306">
        <f t="shared" si="15"/>
        <v>111</v>
      </c>
      <c r="AA33" s="1307">
        <f t="shared" si="3"/>
        <v>1</v>
      </c>
      <c r="AB33" s="1307">
        <f t="shared" si="4"/>
        <v>1</v>
      </c>
      <c r="AC33" s="1307">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637"/>
      <c r="Q34" s="1304">
        <f t="shared" si="11"/>
        <v>111</v>
      </c>
      <c r="R34" s="631" t="s">
        <v>25</v>
      </c>
      <c r="S34" s="632">
        <f t="shared" si="12"/>
        <v>100</v>
      </c>
      <c r="T34" s="631" t="s">
        <v>25</v>
      </c>
      <c r="U34" s="632">
        <f t="shared" si="13"/>
        <v>100</v>
      </c>
      <c r="V34" s="631" t="s">
        <v>25</v>
      </c>
      <c r="W34" s="632">
        <f t="shared" si="14"/>
        <v>100</v>
      </c>
      <c r="X34" s="1305"/>
      <c r="Y34" s="3637"/>
      <c r="Z34" s="1306">
        <f t="shared" si="15"/>
        <v>111</v>
      </c>
      <c r="AA34" s="1307">
        <f t="shared" si="3"/>
        <v>1</v>
      </c>
      <c r="AB34" s="1307">
        <f t="shared" si="4"/>
        <v>1</v>
      </c>
      <c r="AC34" s="1307">
        <f t="shared" si="5"/>
        <v>1</v>
      </c>
    </row>
    <row r="35" spans="1:29" ht="15">
      <c r="A35" s="367" t="s">
        <v>2228</v>
      </c>
      <c r="B35" s="368"/>
      <c r="C35" s="1124" t="s">
        <v>1</v>
      </c>
      <c r="D35" s="1125"/>
      <c r="E35" s="1126"/>
      <c r="F35" s="1127"/>
      <c r="G35" s="1128"/>
      <c r="H35" s="1129"/>
      <c r="I35" s="1126"/>
      <c r="J35" s="1129"/>
      <c r="K35" s="640"/>
      <c r="L35" s="3004"/>
      <c r="N35" s="2993"/>
      <c r="P35" s="3631" t="str">
        <f>A35</f>
        <v>成交单价（元/平方米）</v>
      </c>
      <c r="Q35" s="3631"/>
      <c r="R35" s="3632">
        <f>E35</f>
        <v>0</v>
      </c>
      <c r="S35" s="3632"/>
      <c r="T35" s="3632">
        <f>G35</f>
        <v>0</v>
      </c>
      <c r="U35" s="3632"/>
      <c r="V35" s="3632">
        <f>I35</f>
        <v>0</v>
      </c>
      <c r="W35" s="3632"/>
      <c r="X35" s="618"/>
      <c r="Y35" s="638"/>
      <c r="Z35" s="618"/>
      <c r="AA35" s="618"/>
      <c r="AB35" s="618"/>
      <c r="AC35" s="618"/>
    </row>
    <row r="36" spans="1:29" ht="15.75" thickBot="1">
      <c r="A36" s="374" t="s">
        <v>2311</v>
      </c>
      <c r="B36" s="375"/>
      <c r="C36" s="1130" t="e">
        <f>R37</f>
        <v>#DIV/0!</v>
      </c>
      <c r="D36" s="1765" t="s">
        <v>2683</v>
      </c>
      <c r="E36" s="1131" t="e">
        <f>R36</f>
        <v>#DIV/0!</v>
      </c>
      <c r="F36" s="1767"/>
      <c r="G36" s="1130" t="e">
        <f>T36</f>
        <v>#DIV/0!</v>
      </c>
      <c r="H36" s="1767"/>
      <c r="I36" s="1131" t="e">
        <f>V36</f>
        <v>#DIV/0!</v>
      </c>
      <c r="J36" s="1767"/>
      <c r="K36" s="2479">
        <f>F36+H36+J36</f>
        <v>0</v>
      </c>
      <c r="L36" s="3004"/>
      <c r="N36" s="2993"/>
      <c r="P36" s="3631" t="str">
        <f>A36</f>
        <v>比较价值（元/平方米）</v>
      </c>
      <c r="Q36" s="3631"/>
      <c r="R36" s="3632" t="e">
        <f>IF(E1="售价",ROUND(PRODUCT(R35,AA7:AA34),0),ROUND(PRODUCT(R35,AA7:AA34),1))</f>
        <v>#DIV/0!</v>
      </c>
      <c r="S36" s="3632"/>
      <c r="T36" s="3632" t="e">
        <f>IF(E1="售价",ROUND(PRODUCT(T35,AB7:AB34),0),ROUND(PRODUCT(T35,AB7:AB34),1))</f>
        <v>#DIV/0!</v>
      </c>
      <c r="U36" s="3632"/>
      <c r="V36" s="3632" t="e">
        <f>IF(E1="售价",ROUND(PRODUCT(V35,AC7:AC34),0),ROUND(PRODUCT(V35,AC7:AC34),1))</f>
        <v>#DIV/0!</v>
      </c>
      <c r="W36" s="3632"/>
      <c r="X36" s="618"/>
      <c r="Y36" s="618"/>
      <c r="Z36" s="618"/>
      <c r="AA36" s="618"/>
      <c r="AB36" s="618"/>
      <c r="AC36" s="618"/>
    </row>
    <row r="37" spans="1:29" ht="15.75" thickBot="1">
      <c r="A37" s="378" t="s">
        <v>2334</v>
      </c>
      <c r="B37" s="379"/>
      <c r="C37" s="1132" t="e">
        <f>R37</f>
        <v>#DIV/0!</v>
      </c>
      <c r="D37" s="1132"/>
      <c r="E37" s="1132"/>
      <c r="F37" s="1132"/>
      <c r="G37" s="1132"/>
      <c r="H37" s="1132"/>
      <c r="I37" s="1132"/>
      <c r="J37" s="1132"/>
      <c r="K37" s="641"/>
      <c r="L37" s="3004"/>
      <c r="P37" s="3633" t="str">
        <f>A37</f>
        <v>估价对象XX用房的比较价值（楼面单价，元/平方米）</v>
      </c>
      <c r="Q37" s="3634"/>
      <c r="R37" s="3635" t="e">
        <f>IF(E1="售价",ROUND(IF(D36="简单平均",AVERAGE(R36:W36),R36*F36+T36*H36+V36*J36),0),ROUND(IF(D36="简单平均",AVERAGE(R36:V36),R36*F36+T36*H36+V36*J36),1))</f>
        <v>#DIV/0!</v>
      </c>
      <c r="S37" s="3635"/>
      <c r="T37" s="3635"/>
      <c r="U37" s="3635"/>
      <c r="V37" s="3635"/>
      <c r="W37" s="3635"/>
      <c r="X37" s="618"/>
      <c r="Y37" s="618"/>
      <c r="Z37" s="618"/>
      <c r="AA37" s="618"/>
      <c r="AB37" s="618"/>
      <c r="AC37" s="618"/>
    </row>
    <row r="38" spans="1:29">
      <c r="G38" s="3007"/>
    </row>
    <row r="40" spans="1:29" ht="13.5" customHeight="1">
      <c r="C40" s="383" t="s">
        <v>2313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2316</v>
      </c>
      <c r="B45" s="618"/>
      <c r="C45" s="621"/>
      <c r="D45" s="621"/>
      <c r="E45" s="621"/>
      <c r="F45" s="622"/>
      <c r="G45" s="622"/>
      <c r="H45" s="621"/>
      <c r="I45" s="621"/>
      <c r="J45" s="621"/>
      <c r="K45" s="623"/>
      <c r="L45" s="624"/>
      <c r="M45" s="621"/>
      <c r="N45" s="3010"/>
      <c r="O45" s="3010"/>
      <c r="P45" s="389"/>
      <c r="Q45" s="390"/>
    </row>
    <row r="46" spans="1:29" s="394" customFormat="1" ht="15">
      <c r="A46" s="391" t="s">
        <v>2198</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2236</v>
      </c>
      <c r="B48" s="401"/>
      <c r="C48" s="402"/>
      <c r="D48" s="403"/>
      <c r="E48" s="403"/>
      <c r="F48" s="403"/>
      <c r="G48" s="403"/>
      <c r="H48" s="403"/>
      <c r="I48" s="403"/>
      <c r="J48" s="403"/>
      <c r="K48" s="403"/>
      <c r="L48" s="403"/>
      <c r="M48" s="404"/>
      <c r="N48" s="403"/>
      <c r="O48" s="405"/>
      <c r="P48" s="390"/>
      <c r="Q48" s="390"/>
    </row>
    <row r="49" spans="1:17" s="25" customFormat="1" ht="15">
      <c r="A49" s="406" t="s">
        <v>2200</v>
      </c>
      <c r="B49" s="396"/>
      <c r="C49" s="407" t="s">
        <v>2201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2239</v>
      </c>
      <c r="B51" s="413" t="s">
        <v>2204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2207</v>
      </c>
      <c r="C53" s="426" t="s">
        <v>2240</v>
      </c>
      <c r="D53" s="426" t="s">
        <v>2241</v>
      </c>
      <c r="E53" s="426" t="s">
        <v>2242</v>
      </c>
      <c r="F53" s="426" t="s">
        <v>2243</v>
      </c>
      <c r="G53" s="426" t="s">
        <v>2244</v>
      </c>
      <c r="H53" s="426" t="s">
        <v>2245</v>
      </c>
      <c r="I53" s="426" t="s">
        <v>2246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2209</v>
      </c>
      <c r="B61" s="413" t="s">
        <v>2253</v>
      </c>
      <c r="C61" s="461" t="s">
        <v>2248</v>
      </c>
      <c r="D61" s="461" t="s">
        <v>2249</v>
      </c>
      <c r="E61" s="461" t="s">
        <v>2250</v>
      </c>
      <c r="F61" s="461" t="s">
        <v>2251</v>
      </c>
      <c r="G61" s="461" t="s">
        <v>2252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2254</v>
      </c>
      <c r="C63" s="466" t="s">
        <v>2248</v>
      </c>
      <c r="D63" s="466" t="s">
        <v>2249</v>
      </c>
      <c r="E63" s="466" t="s">
        <v>2250</v>
      </c>
      <c r="F63" s="466" t="s">
        <v>2251</v>
      </c>
      <c r="G63" s="466" t="s">
        <v>2252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2326</v>
      </c>
      <c r="C65" s="426" t="s">
        <v>2255</v>
      </c>
      <c r="D65" s="426" t="s">
        <v>2256</v>
      </c>
      <c r="E65" s="426" t="s">
        <v>2257</v>
      </c>
      <c r="F65" s="426" t="s">
        <v>2258</v>
      </c>
      <c r="G65" s="426" t="s">
        <v>2259</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2260</v>
      </c>
      <c r="C67" s="466" t="s">
        <v>2248</v>
      </c>
      <c r="D67" s="466" t="s">
        <v>2249</v>
      </c>
      <c r="E67" s="466" t="s">
        <v>2250</v>
      </c>
      <c r="F67" s="466" t="s">
        <v>2251</v>
      </c>
      <c r="G67" s="466" t="s">
        <v>2252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2214</v>
      </c>
      <c r="B77" s="413" t="s">
        <v>2267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2379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V8" sqref="V8"/>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2381</v>
      </c>
      <c r="B1" s="1920"/>
      <c r="C1" s="1921" t="s">
        <v>2382</v>
      </c>
      <c r="D1" s="1920"/>
      <c r="E1" s="1920"/>
      <c r="F1" s="1922" t="s">
        <v>2183</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2383</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2384</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2185</v>
      </c>
      <c r="B4" s="1632"/>
      <c r="C4" s="3583" t="s">
        <v>2186</v>
      </c>
      <c r="D4" s="3584"/>
      <c r="E4" s="3585" t="s">
        <v>2187</v>
      </c>
      <c r="F4" s="3586"/>
      <c r="G4" s="3583" t="s">
        <v>2188</v>
      </c>
      <c r="H4" s="3584"/>
      <c r="I4" s="3583" t="s">
        <v>2189</v>
      </c>
      <c r="J4" s="3584"/>
      <c r="K4" s="1934" t="s">
        <v>2190</v>
      </c>
      <c r="L4" s="2964"/>
      <c r="M4" s="2965"/>
      <c r="N4" s="2965"/>
      <c r="O4" s="2965"/>
      <c r="P4" s="3587" t="s">
        <v>2191</v>
      </c>
      <c r="Q4" s="3588"/>
      <c r="R4" s="3571" t="s">
        <v>2187</v>
      </c>
      <c r="S4" s="3572"/>
      <c r="T4" s="3571" t="s">
        <v>2188</v>
      </c>
      <c r="U4" s="3572"/>
      <c r="V4" s="3593" t="s">
        <v>2189</v>
      </c>
      <c r="W4" s="3593"/>
      <c r="X4" s="1634"/>
      <c r="Y4" s="3571" t="s">
        <v>2191</v>
      </c>
      <c r="Z4" s="3572"/>
      <c r="AA4" s="3580" t="s">
        <v>2187</v>
      </c>
      <c r="AB4" s="3581" t="s">
        <v>2188</v>
      </c>
      <c r="AC4" s="3580" t="s">
        <v>2189</v>
      </c>
    </row>
    <row r="5" spans="1:30" ht="15">
      <c r="A5" s="1636"/>
      <c r="B5" s="1637"/>
      <c r="C5" s="3596" t="s">
        <v>2192</v>
      </c>
      <c r="D5" s="3597"/>
      <c r="E5" s="3594" t="s">
        <v>2193</v>
      </c>
      <c r="F5" s="3595"/>
      <c r="G5" s="3596" t="s">
        <v>2194</v>
      </c>
      <c r="H5" s="3597"/>
      <c r="I5" s="3596" t="s">
        <v>2195</v>
      </c>
      <c r="J5" s="3597"/>
      <c r="K5" s="1934"/>
      <c r="L5" s="2964"/>
      <c r="M5" s="2965"/>
      <c r="N5" s="2965"/>
      <c r="O5" s="2965"/>
      <c r="P5" s="3589"/>
      <c r="Q5" s="3590"/>
      <c r="R5" s="3573"/>
      <c r="S5" s="3574"/>
      <c r="T5" s="3573"/>
      <c r="U5" s="3574"/>
      <c r="V5" s="3593"/>
      <c r="W5" s="3593"/>
      <c r="X5" s="1634"/>
      <c r="Y5" s="3573"/>
      <c r="Z5" s="3574"/>
      <c r="AA5" s="3581"/>
      <c r="AB5" s="3581"/>
      <c r="AC5" s="3581"/>
    </row>
    <row r="6" spans="1:30" ht="15.75" thickBot="1">
      <c r="A6" s="1639"/>
      <c r="B6" s="1640"/>
      <c r="C6" s="3598" t="s">
        <v>2196</v>
      </c>
      <c r="D6" s="3599"/>
      <c r="E6" s="3600" t="s">
        <v>2196</v>
      </c>
      <c r="F6" s="3601"/>
      <c r="G6" s="3598" t="s">
        <v>2196</v>
      </c>
      <c r="H6" s="3599"/>
      <c r="I6" s="3598" t="s">
        <v>2196</v>
      </c>
      <c r="J6" s="3599"/>
      <c r="K6" s="1934" t="s">
        <v>2197</v>
      </c>
      <c r="L6" s="2964"/>
      <c r="M6" s="2965"/>
      <c r="N6" s="2965"/>
      <c r="O6" s="2965"/>
      <c r="P6" s="3591"/>
      <c r="Q6" s="3592"/>
      <c r="R6" s="3573"/>
      <c r="S6" s="3574"/>
      <c r="T6" s="3575"/>
      <c r="U6" s="3576"/>
      <c r="V6" s="3593"/>
      <c r="W6" s="3593"/>
      <c r="X6" s="1634"/>
      <c r="Y6" s="3575"/>
      <c r="Z6" s="3576"/>
      <c r="AA6" s="3582"/>
      <c r="AB6" s="3582"/>
      <c r="AC6" s="3582"/>
    </row>
    <row r="7" spans="1:30" s="1653" customFormat="1" ht="15.75" thickBot="1">
      <c r="A7" s="1641" t="s">
        <v>2198</v>
      </c>
      <c r="B7" s="1642"/>
      <c r="C7" s="1643">
        <f>'数据-取费表'!B2</f>
        <v>44664</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569" t="s">
        <v>2199</v>
      </c>
      <c r="Q7" s="3577"/>
      <c r="R7" s="1649" t="s">
        <v>25</v>
      </c>
      <c r="S7" s="1650">
        <f t="shared" ref="S7:S15" si="0">F7</f>
        <v>0</v>
      </c>
      <c r="T7" s="1649" t="s">
        <v>25</v>
      </c>
      <c r="U7" s="1650">
        <f t="shared" ref="U7:U15" si="1">H7</f>
        <v>0</v>
      </c>
      <c r="V7" s="1649" t="s">
        <v>25</v>
      </c>
      <c r="W7" s="1650">
        <f t="shared" ref="W7:W15" si="2">J7</f>
        <v>0</v>
      </c>
      <c r="X7" s="1651"/>
      <c r="Y7" s="3569" t="s">
        <v>2199</v>
      </c>
      <c r="Z7" s="3570"/>
      <c r="AA7" s="1652" t="e">
        <f>D7/F7</f>
        <v>#DIV/0!</v>
      </c>
      <c r="AB7" s="1652" t="e">
        <f>D7/H7</f>
        <v>#DIV/0!</v>
      </c>
      <c r="AC7" s="1652" t="e">
        <f>D7/J7</f>
        <v>#DIV/0!</v>
      </c>
    </row>
    <row r="8" spans="1:30" s="1653" customFormat="1" ht="15.75" thickBot="1">
      <c r="A8" s="1641" t="s">
        <v>2200</v>
      </c>
      <c r="B8" s="1642"/>
      <c r="C8" s="1654" t="s">
        <v>2385</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569" t="s">
        <v>2202</v>
      </c>
      <c r="Q8" s="3570"/>
      <c r="R8" s="1649" t="s">
        <v>25</v>
      </c>
      <c r="S8" s="1650">
        <f t="shared" si="0"/>
        <v>0</v>
      </c>
      <c r="T8" s="1649" t="s">
        <v>25</v>
      </c>
      <c r="U8" s="1650">
        <f t="shared" si="1"/>
        <v>0</v>
      </c>
      <c r="V8" s="1649" t="s">
        <v>25</v>
      </c>
      <c r="W8" s="1650">
        <f t="shared" si="2"/>
        <v>0</v>
      </c>
      <c r="X8" s="1651"/>
      <c r="Y8" s="3569" t="s">
        <v>2202</v>
      </c>
      <c r="Z8" s="3570"/>
      <c r="AA8" s="1652" t="e">
        <f t="shared" ref="AA8:AA45" si="3">D8/F8</f>
        <v>#DIV/0!</v>
      </c>
      <c r="AB8" s="1652" t="e">
        <f t="shared" ref="AB8:AB45" si="4">D8/H8</f>
        <v>#DIV/0!</v>
      </c>
      <c r="AC8" s="1652" t="e">
        <f t="shared" ref="AC8:AC45" si="5">D8/J8</f>
        <v>#DIV/0!</v>
      </c>
    </row>
    <row r="9" spans="1:30" s="1653" customFormat="1">
      <c r="A9" s="1604" t="s">
        <v>2203</v>
      </c>
      <c r="B9" s="1656" t="s">
        <v>2204</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561" t="s">
        <v>2205</v>
      </c>
      <c r="Q9" s="1603" t="str">
        <f t="shared" ref="Q9:Q15" si="6">B9</f>
        <v>用途</v>
      </c>
      <c r="R9" s="1649" t="s">
        <v>25</v>
      </c>
      <c r="S9" s="1650">
        <f t="shared" si="0"/>
        <v>100</v>
      </c>
      <c r="T9" s="1649" t="s">
        <v>25</v>
      </c>
      <c r="U9" s="1650">
        <f t="shared" si="1"/>
        <v>100</v>
      </c>
      <c r="V9" s="1649" t="s">
        <v>25</v>
      </c>
      <c r="W9" s="1650">
        <f t="shared" si="2"/>
        <v>100</v>
      </c>
      <c r="X9" s="1651"/>
      <c r="Y9" s="3454" t="s">
        <v>2206</v>
      </c>
      <c r="Z9" s="1662" t="str">
        <f t="shared" ref="Z9:Z15" si="7">Q9</f>
        <v>用途</v>
      </c>
      <c r="AA9" s="1652">
        <f t="shared" si="3"/>
        <v>1</v>
      </c>
      <c r="AB9" s="1652">
        <f t="shared" si="4"/>
        <v>1</v>
      </c>
      <c r="AC9" s="1652">
        <f t="shared" si="5"/>
        <v>1</v>
      </c>
    </row>
    <row r="10" spans="1:30" s="1670" customFormat="1" ht="27">
      <c r="A10" s="1663"/>
      <c r="B10" s="1664" t="s">
        <v>2207</v>
      </c>
      <c r="C10" s="1676"/>
      <c r="D10" s="1666">
        <v>100</v>
      </c>
      <c r="E10" s="1728"/>
      <c r="F10" s="1666">
        <f>ROUND(100/'数据-取费表'!B14,0)</f>
        <v>107</v>
      </c>
      <c r="G10" s="1726"/>
      <c r="H10" s="1666">
        <f>ROUND(100/'数据-取费表'!B14,0)</f>
        <v>107</v>
      </c>
      <c r="I10" s="1726"/>
      <c r="J10" s="1666">
        <f>ROUND(100/'数据-取费表'!B14,0)</f>
        <v>107</v>
      </c>
      <c r="K10" s="1938"/>
      <c r="L10" s="2966"/>
      <c r="M10" s="2967"/>
      <c r="N10" s="2967"/>
      <c r="O10" s="3012"/>
      <c r="P10" s="3561"/>
      <c r="Q10" s="1603" t="str">
        <f t="shared" si="6"/>
        <v>土地使用年限（年）</v>
      </c>
      <c r="R10" s="1649" t="s">
        <v>25</v>
      </c>
      <c r="S10" s="1650">
        <f t="shared" si="0"/>
        <v>107</v>
      </c>
      <c r="T10" s="1649" t="s">
        <v>25</v>
      </c>
      <c r="U10" s="1650">
        <f t="shared" si="1"/>
        <v>107</v>
      </c>
      <c r="V10" s="1649" t="s">
        <v>25</v>
      </c>
      <c r="W10" s="1650">
        <f t="shared" si="2"/>
        <v>107</v>
      </c>
      <c r="X10" s="1651"/>
      <c r="Y10" s="3454"/>
      <c r="Z10" s="1662" t="str">
        <f t="shared" si="7"/>
        <v>土地使用年限（年）</v>
      </c>
      <c r="AA10" s="1652">
        <f t="shared" si="3"/>
        <v>0.93457943925233644</v>
      </c>
      <c r="AB10" s="1652">
        <f t="shared" si="4"/>
        <v>0.93457943925233644</v>
      </c>
      <c r="AC10" s="1652">
        <f t="shared" si="5"/>
        <v>0.93457943925233644</v>
      </c>
    </row>
    <row r="11" spans="1:30" ht="15">
      <c r="A11" s="1671"/>
      <c r="B11" s="1664" t="s">
        <v>2208</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561"/>
      <c r="Q11" s="1603"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30" s="1653" customFormat="1" ht="15">
      <c r="A12" s="1674"/>
      <c r="B12" s="1675" t="s">
        <v>2386</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561"/>
      <c r="Q12" s="1603" t="str">
        <f t="shared" si="6"/>
        <v>配建</v>
      </c>
      <c r="R12" s="1649" t="s">
        <v>25</v>
      </c>
      <c r="S12" s="1650">
        <f t="shared" si="0"/>
        <v>100</v>
      </c>
      <c r="T12" s="1649" t="s">
        <v>25</v>
      </c>
      <c r="U12" s="1650">
        <f t="shared" si="1"/>
        <v>100</v>
      </c>
      <c r="V12" s="1649" t="s">
        <v>25</v>
      </c>
      <c r="W12" s="1650">
        <f t="shared" si="2"/>
        <v>100</v>
      </c>
      <c r="X12" s="1651"/>
      <c r="Y12" s="3454"/>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561"/>
      <c r="Q13" s="1603">
        <f t="shared" si="6"/>
        <v>111</v>
      </c>
      <c r="R13" s="1649" t="s">
        <v>25</v>
      </c>
      <c r="S13" s="1650">
        <f t="shared" si="0"/>
        <v>100</v>
      </c>
      <c r="T13" s="1649" t="s">
        <v>25</v>
      </c>
      <c r="U13" s="1650">
        <f t="shared" si="1"/>
        <v>100</v>
      </c>
      <c r="V13" s="1649" t="s">
        <v>25</v>
      </c>
      <c r="W13" s="1650">
        <f t="shared" si="2"/>
        <v>100</v>
      </c>
      <c r="X13" s="1651"/>
      <c r="Y13" s="3454"/>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561"/>
      <c r="Q14" s="1603">
        <f t="shared" si="6"/>
        <v>111</v>
      </c>
      <c r="R14" s="1649" t="s">
        <v>25</v>
      </c>
      <c r="S14" s="1650">
        <f t="shared" si="0"/>
        <v>100</v>
      </c>
      <c r="T14" s="1649" t="s">
        <v>25</v>
      </c>
      <c r="U14" s="1650">
        <f t="shared" si="1"/>
        <v>100</v>
      </c>
      <c r="V14" s="1649" t="s">
        <v>25</v>
      </c>
      <c r="W14" s="1650">
        <f t="shared" si="2"/>
        <v>100</v>
      </c>
      <c r="X14" s="1651"/>
      <c r="Y14" s="3454"/>
      <c r="Z14" s="1662">
        <f t="shared" si="7"/>
        <v>111</v>
      </c>
      <c r="AA14" s="1652">
        <f>D14/F14</f>
        <v>1</v>
      </c>
      <c r="AB14" s="1652">
        <f>D14/H14</f>
        <v>1</v>
      </c>
      <c r="AC14" s="1652">
        <f>D14/J14</f>
        <v>1</v>
      </c>
    </row>
    <row r="15" spans="1:30" ht="15">
      <c r="A15" s="1631" t="s">
        <v>2209</v>
      </c>
      <c r="B15" s="1941" t="s">
        <v>1646</v>
      </c>
      <c r="C15" s="1942">
        <f>估价对象房地状况!C15</f>
        <v>0</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578" t="s">
        <v>2210</v>
      </c>
      <c r="Q15" s="1584" t="str">
        <f t="shared" si="6"/>
        <v>居住社区成熟度</v>
      </c>
      <c r="R15" s="1694" t="s">
        <v>25</v>
      </c>
      <c r="S15" s="1695">
        <f t="shared" si="0"/>
        <v>100</v>
      </c>
      <c r="T15" s="1694" t="s">
        <v>25</v>
      </c>
      <c r="U15" s="1695">
        <f t="shared" si="1"/>
        <v>100</v>
      </c>
      <c r="V15" s="1694" t="s">
        <v>25</v>
      </c>
      <c r="W15" s="1695">
        <f t="shared" si="2"/>
        <v>100</v>
      </c>
      <c r="X15" s="1634"/>
      <c r="Y15" s="3578" t="s">
        <v>2210</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579"/>
      <c r="Q16" s="1584"/>
      <c r="R16" s="1694"/>
      <c r="S16" s="1695"/>
      <c r="T16" s="1694"/>
      <c r="U16" s="1695"/>
      <c r="V16" s="1694"/>
      <c r="W16" s="1695"/>
      <c r="X16" s="1634"/>
      <c r="Y16" s="3579"/>
      <c r="Z16" s="1696"/>
      <c r="AA16" s="1697">
        <v>1</v>
      </c>
      <c r="AB16" s="1697">
        <v>1</v>
      </c>
      <c r="AC16" s="1697">
        <v>1</v>
      </c>
    </row>
    <row r="17" spans="1:29" ht="15">
      <c r="A17" s="1636"/>
      <c r="B17" s="1945" t="s">
        <v>2295</v>
      </c>
      <c r="C17" s="1946">
        <f>估价对象房地状况!C16</f>
        <v>0</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579"/>
      <c r="Q17" s="1584" t="str">
        <f>B17</f>
        <v>商业繁华度</v>
      </c>
      <c r="R17" s="1694" t="s">
        <v>25</v>
      </c>
      <c r="S17" s="1695">
        <f>F17</f>
        <v>100</v>
      </c>
      <c r="T17" s="1694" t="s">
        <v>25</v>
      </c>
      <c r="U17" s="1695">
        <f>H17</f>
        <v>100</v>
      </c>
      <c r="V17" s="1694" t="s">
        <v>25</v>
      </c>
      <c r="W17" s="1695">
        <f>J17</f>
        <v>100</v>
      </c>
      <c r="X17" s="1634"/>
      <c r="Y17" s="3579"/>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579"/>
      <c r="Q18" s="1584"/>
      <c r="R18" s="1694"/>
      <c r="S18" s="1695"/>
      <c r="T18" s="1694"/>
      <c r="U18" s="1695"/>
      <c r="V18" s="1694"/>
      <c r="W18" s="1695"/>
      <c r="X18" s="1634"/>
      <c r="Y18" s="3579"/>
      <c r="Z18" s="1696"/>
      <c r="AA18" s="1697">
        <v>1</v>
      </c>
      <c r="AB18" s="1697">
        <v>1</v>
      </c>
      <c r="AC18" s="1697">
        <v>1</v>
      </c>
    </row>
    <row r="19" spans="1:29" ht="15">
      <c r="A19" s="1636"/>
      <c r="B19" s="1945" t="s">
        <v>2324</v>
      </c>
      <c r="C19" s="1946" t="str">
        <f>估价对象房地状况!C17</f>
        <v>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579"/>
      <c r="Q19" s="1584" t="str">
        <f>B19</f>
        <v>办公集聚程度</v>
      </c>
      <c r="R19" s="1694" t="s">
        <v>25</v>
      </c>
      <c r="S19" s="1695">
        <f>F19</f>
        <v>100</v>
      </c>
      <c r="T19" s="1694" t="s">
        <v>25</v>
      </c>
      <c r="U19" s="1695">
        <f>H19</f>
        <v>100</v>
      </c>
      <c r="V19" s="1694" t="s">
        <v>25</v>
      </c>
      <c r="W19" s="1695">
        <f>J19</f>
        <v>100</v>
      </c>
      <c r="X19" s="1634"/>
      <c r="Y19" s="3579"/>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579"/>
      <c r="Q20" s="1584"/>
      <c r="R20" s="1694"/>
      <c r="S20" s="1695"/>
      <c r="T20" s="1694"/>
      <c r="U20" s="1695"/>
      <c r="V20" s="1694"/>
      <c r="W20" s="1695"/>
      <c r="X20" s="1634"/>
      <c r="Y20" s="3579"/>
      <c r="Z20" s="1696"/>
      <c r="AA20" s="1697">
        <v>1</v>
      </c>
      <c r="AB20" s="1697">
        <v>1</v>
      </c>
      <c r="AC20" s="1697">
        <v>1</v>
      </c>
    </row>
    <row r="21" spans="1:29" ht="15">
      <c r="A21" s="1636"/>
      <c r="B21" s="1945" t="s">
        <v>2347</v>
      </c>
      <c r="C21" s="1949" t="str">
        <f>估价对象房地状况!C18</f>
        <v>一般</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579"/>
      <c r="Q21" s="1584" t="str">
        <f>B21</f>
        <v>交通便捷度</v>
      </c>
      <c r="R21" s="1694" t="s">
        <v>25</v>
      </c>
      <c r="S21" s="1695">
        <f>F21</f>
        <v>100</v>
      </c>
      <c r="T21" s="1694" t="s">
        <v>25</v>
      </c>
      <c r="U21" s="1695">
        <f>H21</f>
        <v>100</v>
      </c>
      <c r="V21" s="1694" t="s">
        <v>25</v>
      </c>
      <c r="W21" s="1695">
        <f>J21</f>
        <v>100</v>
      </c>
      <c r="X21" s="1634"/>
      <c r="Y21" s="3579"/>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579"/>
      <c r="Q22" s="1584"/>
      <c r="R22" s="1694"/>
      <c r="S22" s="1695"/>
      <c r="T22" s="1694"/>
      <c r="U22" s="1695"/>
      <c r="V22" s="1694"/>
      <c r="W22" s="1695"/>
      <c r="X22" s="1634"/>
      <c r="Y22" s="3579"/>
      <c r="Z22" s="1696"/>
      <c r="AA22" s="1697">
        <v>1</v>
      </c>
      <c r="AB22" s="1697">
        <v>1</v>
      </c>
      <c r="AC22" s="1697">
        <v>1</v>
      </c>
    </row>
    <row r="23" spans="1:29" ht="15">
      <c r="A23" s="1636"/>
      <c r="B23" s="1426" t="s">
        <v>2387</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579"/>
      <c r="Q23" s="1584" t="str">
        <f t="shared" ref="Q23:Q37" si="8">B23</f>
        <v>区域土地利用方向</v>
      </c>
      <c r="R23" s="1694" t="s">
        <v>25</v>
      </c>
      <c r="S23" s="1695">
        <f>F23</f>
        <v>100</v>
      </c>
      <c r="T23" s="1694" t="s">
        <v>25</v>
      </c>
      <c r="U23" s="1695">
        <f>H23</f>
        <v>100</v>
      </c>
      <c r="V23" s="1694" t="s">
        <v>25</v>
      </c>
      <c r="W23" s="1695">
        <f>J23</f>
        <v>100</v>
      </c>
      <c r="X23" s="1634"/>
      <c r="Y23" s="3579"/>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579"/>
      <c r="Q24" s="1584"/>
      <c r="R24" s="1694"/>
      <c r="S24" s="1695"/>
      <c r="T24" s="1694"/>
      <c r="U24" s="1695"/>
      <c r="V24" s="1694"/>
      <c r="W24" s="1695"/>
      <c r="X24" s="1634"/>
      <c r="Y24" s="3579"/>
      <c r="Z24" s="1696"/>
      <c r="AA24" s="1697"/>
      <c r="AB24" s="1697"/>
      <c r="AC24" s="1697"/>
    </row>
    <row r="25" spans="1:29" ht="27">
      <c r="A25" s="1636"/>
      <c r="B25" s="1950" t="s">
        <v>2388</v>
      </c>
      <c r="C25" s="1946" t="str">
        <f>估价对象房地状况!C20</f>
        <v>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579"/>
      <c r="Q25" s="1584" t="str">
        <f t="shared" si="8"/>
        <v>自然及人文环境状况</v>
      </c>
      <c r="R25" s="1694" t="s">
        <v>25</v>
      </c>
      <c r="S25" s="1695">
        <f>F25</f>
        <v>100</v>
      </c>
      <c r="T25" s="1694" t="s">
        <v>25</v>
      </c>
      <c r="U25" s="1695">
        <f>H25</f>
        <v>100</v>
      </c>
      <c r="V25" s="1694" t="s">
        <v>25</v>
      </c>
      <c r="W25" s="1695">
        <f>J25</f>
        <v>100</v>
      </c>
      <c r="X25" s="1634"/>
      <c r="Y25" s="3579"/>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579"/>
      <c r="Q26" s="1584"/>
      <c r="R26" s="1694"/>
      <c r="S26" s="1695"/>
      <c r="T26" s="1694"/>
      <c r="U26" s="1695"/>
      <c r="V26" s="1694"/>
      <c r="W26" s="1695"/>
      <c r="X26" s="1634"/>
      <c r="Y26" s="3579"/>
      <c r="Z26" s="1696"/>
      <c r="AA26" s="1697">
        <v>1</v>
      </c>
      <c r="AB26" s="1697">
        <v>1</v>
      </c>
      <c r="AC26" s="1697">
        <v>1</v>
      </c>
    </row>
    <row r="27" spans="1:29" ht="15">
      <c r="A27" s="1636"/>
      <c r="B27" s="1950" t="s">
        <v>2296</v>
      </c>
      <c r="C27" s="1949" t="str">
        <f>估价对象房地状况!C21</f>
        <v>较好</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579"/>
      <c r="Q27" s="1603" t="str">
        <f t="shared" ref="Q27" si="9">B27</f>
        <v>公共配套设施</v>
      </c>
      <c r="R27" s="1649" t="s">
        <v>25</v>
      </c>
      <c r="S27" s="1650">
        <f>F27</f>
        <v>100</v>
      </c>
      <c r="T27" s="1649" t="s">
        <v>25</v>
      </c>
      <c r="U27" s="1650">
        <f>H27</f>
        <v>100</v>
      </c>
      <c r="V27" s="1649" t="s">
        <v>25</v>
      </c>
      <c r="W27" s="1650">
        <f>J27</f>
        <v>100</v>
      </c>
      <c r="X27" s="1634"/>
      <c r="Y27" s="3579"/>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579"/>
      <c r="Q28" s="1584"/>
      <c r="R28" s="1694"/>
      <c r="S28" s="1695"/>
      <c r="T28" s="1694"/>
      <c r="U28" s="1695"/>
      <c r="V28" s="1694"/>
      <c r="W28" s="1695"/>
      <c r="X28" s="1634"/>
      <c r="Y28" s="3579"/>
      <c r="Z28" s="1662"/>
      <c r="AA28" s="1697">
        <v>1</v>
      </c>
      <c r="AB28" s="1697">
        <v>1</v>
      </c>
      <c r="AC28" s="1697">
        <v>1</v>
      </c>
    </row>
    <row r="29" spans="1:29" s="1653" customFormat="1" ht="15">
      <c r="A29" s="1956"/>
      <c r="B29" s="1950" t="s">
        <v>2297</v>
      </c>
      <c r="C29" s="1957" t="str">
        <f>估价对象房地状况!C22</f>
        <v>七通</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579"/>
      <c r="Q29" s="1603" t="str">
        <f t="shared" si="8"/>
        <v>基础设施水平</v>
      </c>
      <c r="R29" s="1649" t="s">
        <v>25</v>
      </c>
      <c r="S29" s="1650">
        <f>F29</f>
        <v>100</v>
      </c>
      <c r="T29" s="1649" t="s">
        <v>25</v>
      </c>
      <c r="U29" s="1650">
        <f>H29</f>
        <v>100</v>
      </c>
      <c r="V29" s="1649" t="s">
        <v>25</v>
      </c>
      <c r="W29" s="1650">
        <f>J29</f>
        <v>100</v>
      </c>
      <c r="X29" s="1651"/>
      <c r="Y29" s="3579"/>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579"/>
      <c r="Q30" s="1603"/>
      <c r="R30" s="1649"/>
      <c r="S30" s="1650"/>
      <c r="T30" s="1649"/>
      <c r="U30" s="1650"/>
      <c r="V30" s="1649"/>
      <c r="W30" s="1650"/>
      <c r="X30" s="1651"/>
      <c r="Y30" s="3579"/>
      <c r="Z30" s="1662"/>
      <c r="AA30" s="1697">
        <v>1</v>
      </c>
      <c r="AB30" s="1697">
        <v>1</v>
      </c>
      <c r="AC30" s="1697">
        <v>1</v>
      </c>
    </row>
    <row r="31" spans="1:29" ht="15">
      <c r="A31" s="1636"/>
      <c r="B31" s="1947" t="s">
        <v>2298</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579"/>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579"/>
      <c r="Z31" s="1696" t="str">
        <f t="shared" ref="Z31:Z45" si="13">Q31</f>
        <v>临街状况</v>
      </c>
      <c r="AA31" s="1697">
        <f t="shared" si="3"/>
        <v>1</v>
      </c>
      <c r="AB31" s="1697">
        <f t="shared" si="4"/>
        <v>1</v>
      </c>
      <c r="AC31" s="1697">
        <f t="shared" si="5"/>
        <v>1</v>
      </c>
    </row>
    <row r="32" spans="1:29" ht="27">
      <c r="A32" s="1636"/>
      <c r="B32" s="1950" t="s">
        <v>2328</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579"/>
      <c r="Q32" s="1584" t="str">
        <f t="shared" si="8"/>
        <v>毗邻道路的类型与等级</v>
      </c>
      <c r="R32" s="1694" t="s">
        <v>25</v>
      </c>
      <c r="S32" s="1695">
        <f t="shared" si="10"/>
        <v>100</v>
      </c>
      <c r="T32" s="1694" t="s">
        <v>25</v>
      </c>
      <c r="U32" s="1695">
        <f t="shared" si="11"/>
        <v>100</v>
      </c>
      <c r="V32" s="1694" t="s">
        <v>25</v>
      </c>
      <c r="W32" s="1695">
        <f t="shared" si="12"/>
        <v>100</v>
      </c>
      <c r="X32" s="1634"/>
      <c r="Y32" s="3579"/>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579"/>
      <c r="Q33" s="1584"/>
      <c r="R33" s="1694"/>
      <c r="S33" s="1695"/>
      <c r="T33" s="1694"/>
      <c r="U33" s="1695"/>
      <c r="V33" s="1694"/>
      <c r="W33" s="1695"/>
      <c r="X33" s="1634"/>
      <c r="Y33" s="3579"/>
      <c r="Z33" s="1696"/>
      <c r="AA33" s="1697">
        <v>1</v>
      </c>
      <c r="AB33" s="1697">
        <v>1</v>
      </c>
      <c r="AC33" s="1697">
        <v>1</v>
      </c>
    </row>
    <row r="34" spans="1:29" ht="15">
      <c r="A34" s="1636"/>
      <c r="B34" s="1959" t="s">
        <v>2389</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579"/>
      <c r="Q34" s="1584" t="str">
        <f t="shared" si="8"/>
        <v>土地级别</v>
      </c>
      <c r="R34" s="1694" t="s">
        <v>25</v>
      </c>
      <c r="S34" s="1695">
        <f t="shared" si="10"/>
        <v>100</v>
      </c>
      <c r="T34" s="1694" t="s">
        <v>25</v>
      </c>
      <c r="U34" s="1695">
        <f t="shared" si="11"/>
        <v>100</v>
      </c>
      <c r="V34" s="1694" t="s">
        <v>25</v>
      </c>
      <c r="W34" s="1695">
        <f t="shared" si="12"/>
        <v>100</v>
      </c>
      <c r="X34" s="1634"/>
      <c r="Y34" s="3579"/>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579"/>
      <c r="Q35" s="1584">
        <f t="shared" si="8"/>
        <v>111</v>
      </c>
      <c r="R35" s="1694" t="s">
        <v>25</v>
      </c>
      <c r="S35" s="1695">
        <f t="shared" si="10"/>
        <v>100</v>
      </c>
      <c r="T35" s="1694" t="s">
        <v>25</v>
      </c>
      <c r="U35" s="1695">
        <f t="shared" si="11"/>
        <v>100</v>
      </c>
      <c r="V35" s="1694" t="s">
        <v>25</v>
      </c>
      <c r="W35" s="1695">
        <f t="shared" si="12"/>
        <v>100</v>
      </c>
      <c r="X35" s="1634"/>
      <c r="Y35" s="3579"/>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566" t="s">
        <v>2216</v>
      </c>
      <c r="Q36" s="1584">
        <f t="shared" si="8"/>
        <v>111</v>
      </c>
      <c r="R36" s="1694" t="s">
        <v>25</v>
      </c>
      <c r="S36" s="1695">
        <f t="shared" si="10"/>
        <v>100</v>
      </c>
      <c r="T36" s="1694" t="s">
        <v>25</v>
      </c>
      <c r="U36" s="1695">
        <f t="shared" si="11"/>
        <v>100</v>
      </c>
      <c r="V36" s="1694" t="s">
        <v>25</v>
      </c>
      <c r="W36" s="1695">
        <f t="shared" si="12"/>
        <v>100</v>
      </c>
      <c r="X36" s="1634"/>
      <c r="Y36" s="3567" t="s">
        <v>2216</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567"/>
      <c r="Q37" s="1584">
        <f t="shared" si="8"/>
        <v>111</v>
      </c>
      <c r="R37" s="1736" t="s">
        <v>25</v>
      </c>
      <c r="S37" s="1737">
        <f t="shared" si="10"/>
        <v>100</v>
      </c>
      <c r="T37" s="1736" t="s">
        <v>25</v>
      </c>
      <c r="U37" s="1737">
        <f t="shared" si="11"/>
        <v>100</v>
      </c>
      <c r="V37" s="1736" t="s">
        <v>25</v>
      </c>
      <c r="W37" s="1737">
        <f t="shared" si="12"/>
        <v>100</v>
      </c>
      <c r="X37" s="1738"/>
      <c r="Y37" s="3567"/>
      <c r="Z37" s="1739">
        <f t="shared" si="13"/>
        <v>111</v>
      </c>
      <c r="AA37" s="1697">
        <f t="shared" si="3"/>
        <v>1</v>
      </c>
      <c r="AB37" s="1697">
        <f t="shared" si="4"/>
        <v>1</v>
      </c>
      <c r="AC37" s="1697">
        <f t="shared" si="5"/>
        <v>1</v>
      </c>
    </row>
    <row r="38" spans="1:29" ht="15">
      <c r="A38" s="1631" t="s">
        <v>2214</v>
      </c>
      <c r="B38" s="1712" t="s">
        <v>2390</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567"/>
      <c r="Q38" s="1584" t="str">
        <f>B38</f>
        <v>宗地面积</v>
      </c>
      <c r="R38" s="1694" t="s">
        <v>25</v>
      </c>
      <c r="S38" s="1695" t="e">
        <f t="shared" si="10"/>
        <v>#N/A</v>
      </c>
      <c r="T38" s="1694" t="s">
        <v>25</v>
      </c>
      <c r="U38" s="1695" t="e">
        <f t="shared" si="11"/>
        <v>#N/A</v>
      </c>
      <c r="V38" s="1694" t="s">
        <v>25</v>
      </c>
      <c r="W38" s="1695" t="e">
        <f t="shared" si="12"/>
        <v>#N/A</v>
      </c>
      <c r="X38" s="1634"/>
      <c r="Y38" s="3567"/>
      <c r="Z38" s="1696" t="str">
        <f t="shared" si="13"/>
        <v>宗地面积</v>
      </c>
      <c r="AA38" s="1697" t="e">
        <f t="shared" si="3"/>
        <v>#N/A</v>
      </c>
      <c r="AB38" s="1697" t="e">
        <f t="shared" si="4"/>
        <v>#N/A</v>
      </c>
      <c r="AC38" s="1697" t="e">
        <f t="shared" si="5"/>
        <v>#N/A</v>
      </c>
    </row>
    <row r="39" spans="1:29" ht="15">
      <c r="A39" s="1741"/>
      <c r="B39" s="1664" t="s">
        <v>2391</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567"/>
      <c r="Q39" s="1584" t="str">
        <f t="shared" ref="Q39:Q45" si="14">B39</f>
        <v>宗地形状</v>
      </c>
      <c r="R39" s="1694" t="s">
        <v>25</v>
      </c>
      <c r="S39" s="1695">
        <f t="shared" si="10"/>
        <v>100</v>
      </c>
      <c r="T39" s="1694" t="s">
        <v>25</v>
      </c>
      <c r="U39" s="1695">
        <f t="shared" si="11"/>
        <v>100</v>
      </c>
      <c r="V39" s="1694" t="s">
        <v>25</v>
      </c>
      <c r="W39" s="1695">
        <f t="shared" si="12"/>
        <v>100</v>
      </c>
      <c r="X39" s="1634"/>
      <c r="Y39" s="3567"/>
      <c r="Z39" s="1696" t="str">
        <f t="shared" si="13"/>
        <v>宗地形状</v>
      </c>
      <c r="AA39" s="1697">
        <f t="shared" si="3"/>
        <v>1</v>
      </c>
      <c r="AB39" s="1697">
        <f t="shared" si="4"/>
        <v>1</v>
      </c>
      <c r="AC39" s="1697">
        <f t="shared" si="5"/>
        <v>1</v>
      </c>
    </row>
    <row r="40" spans="1:29" ht="15">
      <c r="A40" s="1741"/>
      <c r="B40" s="1664" t="s">
        <v>2392</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567"/>
      <c r="Q40" s="1584" t="str">
        <f t="shared" si="14"/>
        <v>临街宽度及深度</v>
      </c>
      <c r="R40" s="1694" t="s">
        <v>25</v>
      </c>
      <c r="S40" s="1695">
        <f t="shared" si="10"/>
        <v>100</v>
      </c>
      <c r="T40" s="1694" t="s">
        <v>25</v>
      </c>
      <c r="U40" s="1695">
        <f t="shared" si="11"/>
        <v>100</v>
      </c>
      <c r="V40" s="1694" t="s">
        <v>25</v>
      </c>
      <c r="W40" s="1695">
        <f t="shared" si="12"/>
        <v>100</v>
      </c>
      <c r="X40" s="1634"/>
      <c r="Y40" s="3567"/>
      <c r="Z40" s="1696" t="str">
        <f t="shared" si="13"/>
        <v>临街宽度及深度</v>
      </c>
      <c r="AA40" s="1697">
        <f t="shared" si="3"/>
        <v>1</v>
      </c>
      <c r="AB40" s="1697">
        <f t="shared" si="4"/>
        <v>1</v>
      </c>
      <c r="AC40" s="1697">
        <f t="shared" si="5"/>
        <v>1</v>
      </c>
    </row>
    <row r="41" spans="1:29" s="1653" customFormat="1" ht="15">
      <c r="A41" s="1744"/>
      <c r="B41" s="1664" t="s">
        <v>2393</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567"/>
      <c r="Q41" s="1584" t="str">
        <f t="shared" si="14"/>
        <v>宗地开发程度</v>
      </c>
      <c r="R41" s="1649" t="s">
        <v>25</v>
      </c>
      <c r="S41" s="1650">
        <f t="shared" si="10"/>
        <v>100</v>
      </c>
      <c r="T41" s="1649" t="s">
        <v>25</v>
      </c>
      <c r="U41" s="1650">
        <f t="shared" si="11"/>
        <v>100</v>
      </c>
      <c r="V41" s="1649" t="s">
        <v>25</v>
      </c>
      <c r="W41" s="1650">
        <f t="shared" si="12"/>
        <v>100</v>
      </c>
      <c r="X41" s="1651"/>
      <c r="Y41" s="3567"/>
      <c r="Z41" s="1662" t="str">
        <f t="shared" si="13"/>
        <v>宗地开发程度</v>
      </c>
      <c r="AA41" s="1652">
        <f t="shared" si="3"/>
        <v>1</v>
      </c>
      <c r="AB41" s="1652">
        <f t="shared" si="4"/>
        <v>1</v>
      </c>
      <c r="AC41" s="1652">
        <f t="shared" si="5"/>
        <v>1</v>
      </c>
    </row>
    <row r="42" spans="1:29" ht="15">
      <c r="A42" s="1741"/>
      <c r="B42" s="1664" t="s">
        <v>2394</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567" t="s">
        <v>2216</v>
      </c>
      <c r="Q42" s="1584" t="str">
        <f t="shared" si="14"/>
        <v>工程地质条件</v>
      </c>
      <c r="R42" s="1694" t="s">
        <v>25</v>
      </c>
      <c r="S42" s="1695">
        <f t="shared" si="10"/>
        <v>100</v>
      </c>
      <c r="T42" s="1694" t="s">
        <v>25</v>
      </c>
      <c r="U42" s="1695">
        <f t="shared" si="11"/>
        <v>100</v>
      </c>
      <c r="V42" s="1694" t="s">
        <v>25</v>
      </c>
      <c r="W42" s="1695">
        <f t="shared" si="12"/>
        <v>100</v>
      </c>
      <c r="X42" s="1634"/>
      <c r="Y42" s="3567" t="s">
        <v>2216</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567"/>
      <c r="Q43" s="1584">
        <f t="shared" si="14"/>
        <v>111</v>
      </c>
      <c r="R43" s="1694" t="s">
        <v>25</v>
      </c>
      <c r="S43" s="1695">
        <f t="shared" si="10"/>
        <v>100</v>
      </c>
      <c r="T43" s="1694" t="s">
        <v>25</v>
      </c>
      <c r="U43" s="1695">
        <f t="shared" si="11"/>
        <v>100</v>
      </c>
      <c r="V43" s="1694" t="s">
        <v>25</v>
      </c>
      <c r="W43" s="1695">
        <f t="shared" si="12"/>
        <v>100</v>
      </c>
      <c r="X43" s="1634"/>
      <c r="Y43" s="3567"/>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567"/>
      <c r="Q44" s="1584">
        <f t="shared" si="14"/>
        <v>111</v>
      </c>
      <c r="R44" s="1694" t="s">
        <v>25</v>
      </c>
      <c r="S44" s="1695">
        <f t="shared" si="10"/>
        <v>100</v>
      </c>
      <c r="T44" s="1694" t="s">
        <v>25</v>
      </c>
      <c r="U44" s="1695">
        <f t="shared" si="11"/>
        <v>100</v>
      </c>
      <c r="V44" s="1694" t="s">
        <v>25</v>
      </c>
      <c r="W44" s="1695">
        <f t="shared" si="12"/>
        <v>100</v>
      </c>
      <c r="X44" s="1634"/>
      <c r="Y44" s="3567"/>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567"/>
      <c r="Q45" s="1584">
        <f t="shared" si="14"/>
        <v>111</v>
      </c>
      <c r="R45" s="1736" t="s">
        <v>25</v>
      </c>
      <c r="S45" s="1737">
        <f t="shared" si="10"/>
        <v>100</v>
      </c>
      <c r="T45" s="1736" t="s">
        <v>25</v>
      </c>
      <c r="U45" s="1737">
        <f t="shared" si="11"/>
        <v>100</v>
      </c>
      <c r="V45" s="1736" t="s">
        <v>25</v>
      </c>
      <c r="W45" s="1737">
        <f t="shared" si="12"/>
        <v>100</v>
      </c>
      <c r="X45" s="1738"/>
      <c r="Y45" s="3567"/>
      <c r="Z45" s="1739">
        <f t="shared" si="13"/>
        <v>111</v>
      </c>
      <c r="AA45" s="1697">
        <f t="shared" si="3"/>
        <v>1</v>
      </c>
      <c r="AB45" s="1697">
        <f t="shared" si="4"/>
        <v>1</v>
      </c>
      <c r="AC45" s="1697">
        <f t="shared" si="5"/>
        <v>1</v>
      </c>
    </row>
    <row r="46" spans="1:29" ht="15">
      <c r="A46" s="1750" t="s">
        <v>2358</v>
      </c>
      <c r="B46" s="1975" t="s">
        <v>2395</v>
      </c>
      <c r="C46" s="1976" t="s">
        <v>1</v>
      </c>
      <c r="D46" s="1977"/>
      <c r="E46" s="1978"/>
      <c r="F46" s="1979"/>
      <c r="G46" s="1980"/>
      <c r="H46" s="1981"/>
      <c r="I46" s="1978"/>
      <c r="J46" s="1981"/>
      <c r="K46" s="1982"/>
      <c r="L46" s="2970"/>
      <c r="N46" s="2965"/>
      <c r="P46" s="3561" t="str">
        <f>A46</f>
        <v>成交单价</v>
      </c>
      <c r="Q46" s="3561"/>
      <c r="R46" s="3593">
        <f>E46</f>
        <v>0</v>
      </c>
      <c r="S46" s="3593"/>
      <c r="T46" s="3593">
        <f>G46</f>
        <v>0</v>
      </c>
      <c r="U46" s="3593"/>
      <c r="V46" s="3593">
        <f>I46</f>
        <v>0</v>
      </c>
      <c r="W46" s="3593"/>
      <c r="X46" s="1760"/>
      <c r="Y46" s="1761"/>
      <c r="Z46" s="1760"/>
      <c r="AA46" s="1760"/>
      <c r="AB46" s="1760"/>
      <c r="AC46" s="1760"/>
    </row>
    <row r="47" spans="1:29" ht="15.75" thickBot="1">
      <c r="A47" s="1762" t="s">
        <v>2311</v>
      </c>
      <c r="B47" s="1983"/>
      <c r="C47" s="1984" t="e">
        <f>R48</f>
        <v>#DIV/0!</v>
      </c>
      <c r="D47" s="1765" t="s">
        <v>2683</v>
      </c>
      <c r="E47" s="1984" t="e">
        <f>R47</f>
        <v>#DIV/0!</v>
      </c>
      <c r="F47" s="1767"/>
      <c r="G47" s="1985" t="e">
        <f>T47</f>
        <v>#DIV/0!</v>
      </c>
      <c r="H47" s="1767"/>
      <c r="I47" s="1984" t="e">
        <f>V47</f>
        <v>#DIV/0!</v>
      </c>
      <c r="J47" s="1767"/>
      <c r="K47" s="2479">
        <f>F47+H47+J47</f>
        <v>0</v>
      </c>
      <c r="L47" s="2970"/>
      <c r="P47" s="3561" t="str">
        <f>A47</f>
        <v>比较价值（元/平方米）</v>
      </c>
      <c r="Q47" s="3561"/>
      <c r="R47" s="3673" t="e">
        <f>ROUND(PRODUCT(R46,AA7:AA45),0)</f>
        <v>#DIV/0!</v>
      </c>
      <c r="S47" s="3673"/>
      <c r="T47" s="3673" t="e">
        <f>ROUND(PRODUCT(T46,AB7:AB45),0)</f>
        <v>#DIV/0!</v>
      </c>
      <c r="U47" s="3673"/>
      <c r="V47" s="3673" t="e">
        <f>ROUND(PRODUCT(V46,AC7:AC45),0)</f>
        <v>#DIV/0!</v>
      </c>
      <c r="W47" s="3673"/>
      <c r="X47" s="1760"/>
      <c r="Y47" s="1760"/>
      <c r="Z47" s="1760"/>
      <c r="AA47" s="1760"/>
      <c r="AB47" s="1760"/>
      <c r="AC47" s="1760"/>
    </row>
    <row r="48" spans="1:29" ht="15.75" thickBot="1">
      <c r="A48" s="1768" t="s">
        <v>2334</v>
      </c>
      <c r="B48" s="1769"/>
      <c r="C48" s="1986" t="e">
        <f>R48</f>
        <v>#DIV/0!</v>
      </c>
      <c r="D48" s="1986"/>
      <c r="E48" s="1986"/>
      <c r="F48" s="1986"/>
      <c r="G48" s="1986"/>
      <c r="H48" s="1986"/>
      <c r="I48" s="1986"/>
      <c r="J48" s="1986"/>
      <c r="K48" s="1987"/>
      <c r="L48" s="2970"/>
      <c r="P48" s="3563" t="str">
        <f>A48</f>
        <v>估价对象XX用房的比较价值（楼面单价，元/平方米）</v>
      </c>
      <c r="Q48" s="3564"/>
      <c r="R48" s="3674" t="e">
        <f>ROUND(IF(D47="简单平均",AVERAGE(R47:W47),R47*F47+T47*H47+V47*J47),0)</f>
        <v>#DIV/0!</v>
      </c>
      <c r="S48" s="3674"/>
      <c r="T48" s="3674"/>
      <c r="U48" s="3674"/>
      <c r="V48" s="3674"/>
      <c r="W48" s="3674"/>
      <c r="X48" s="1760"/>
      <c r="Y48" s="1760"/>
      <c r="Z48" s="1760"/>
      <c r="AA48" s="1760"/>
      <c r="AB48" s="1760"/>
      <c r="AC48" s="1760"/>
    </row>
    <row r="49" spans="1:14">
      <c r="G49" s="2974"/>
    </row>
    <row r="51" spans="1:14" ht="13.5" customHeight="1">
      <c r="C51" s="383" t="s">
        <v>2313</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2314</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2315</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2396</v>
      </c>
      <c r="B55" s="1988" t="s">
        <v>2397</v>
      </c>
      <c r="C55" s="1989" t="s">
        <v>2398</v>
      </c>
      <c r="D55" s="1990" t="s">
        <v>2399</v>
      </c>
      <c r="E55" s="1991" t="s">
        <v>2400</v>
      </c>
      <c r="F55" s="1992" t="s">
        <v>2401</v>
      </c>
      <c r="G55" s="1887" t="s">
        <v>2402</v>
      </c>
      <c r="H55" s="1887" t="str">
        <f>项目基本情况!G8</f>
        <v>昌平区</v>
      </c>
      <c r="I55" s="1562" t="s">
        <v>2403</v>
      </c>
      <c r="J55" s="1993"/>
      <c r="K55" s="1774"/>
    </row>
    <row r="56" spans="1:14" s="2000" customFormat="1">
      <c r="A56" s="1994" t="s">
        <v>2404</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2405</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2406</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7"/>
      <c r="L58" s="2971"/>
      <c r="M58" s="1782"/>
      <c r="N58" s="1782"/>
    </row>
    <row r="59" spans="1:14" s="2000" customFormat="1">
      <c r="A59" s="2001" t="s">
        <v>2407</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2408</v>
      </c>
      <c r="B60" s="2002" t="e">
        <f t="shared" si="16"/>
        <v>#DIV/0!</v>
      </c>
      <c r="C60" s="50">
        <f t="shared" si="17"/>
        <v>0</v>
      </c>
      <c r="D60" s="2003">
        <v>0.25</v>
      </c>
      <c r="E60" s="1997">
        <v>0</v>
      </c>
      <c r="F60" s="1998" t="e">
        <f t="shared" si="15"/>
        <v>#DIV/0!</v>
      </c>
      <c r="G60" s="1999">
        <f>SUMIF(修正!$A$45:$A$56,项目基本情况!$F$9,修正!E45:E56)</f>
        <v>0</v>
      </c>
      <c r="H60" s="2004"/>
      <c r="I60" s="1782"/>
      <c r="J60" s="1782"/>
      <c r="K60" s="2977"/>
      <c r="L60" s="2971"/>
      <c r="M60" s="1782"/>
      <c r="N60" s="1782"/>
    </row>
    <row r="61" spans="1:14" s="2000" customFormat="1">
      <c r="A61" s="2001" t="s">
        <v>2409</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2410</v>
      </c>
      <c r="B62" s="2002" t="e">
        <f t="shared" si="16"/>
        <v>#DIV/0!</v>
      </c>
      <c r="C62" s="50">
        <f t="shared" si="17"/>
        <v>0</v>
      </c>
      <c r="D62" s="2003">
        <v>0.25</v>
      </c>
      <c r="E62" s="1997">
        <v>0</v>
      </c>
      <c r="F62" s="1998" t="e">
        <f t="shared" si="15"/>
        <v>#DIV/0!</v>
      </c>
      <c r="G62" s="1999">
        <f>SUMIF(修正!A45:A56,项目基本情况!F9,修正!G45:G56)</f>
        <v>0</v>
      </c>
      <c r="H62" s="2004"/>
      <c r="I62" s="1782"/>
      <c r="J62" s="1782"/>
      <c r="K62" s="2977"/>
      <c r="L62" s="2971"/>
      <c r="M62" s="1782"/>
      <c r="N62" s="1782"/>
    </row>
    <row r="63" spans="1:14" s="2000" customFormat="1">
      <c r="A63" s="2001" t="s">
        <v>2411</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2412</v>
      </c>
      <c r="B64" s="2002" t="e">
        <f t="shared" si="16"/>
        <v>#DIV/0!</v>
      </c>
      <c r="C64" s="50">
        <f t="shared" si="17"/>
        <v>0</v>
      </c>
      <c r="D64" s="2003">
        <v>0.25</v>
      </c>
      <c r="E64" s="1997">
        <v>0</v>
      </c>
      <c r="F64" s="1998" t="e">
        <f t="shared" si="15"/>
        <v>#DIV/0!</v>
      </c>
      <c r="G64" s="1999">
        <f>G63</f>
        <v>0</v>
      </c>
      <c r="H64" s="2004"/>
      <c r="I64" s="1782"/>
      <c r="J64" s="1782"/>
      <c r="K64" s="2977"/>
      <c r="L64" s="2971"/>
      <c r="M64" s="1782"/>
      <c r="N64" s="1782"/>
    </row>
    <row r="65" spans="1:17" s="2000" customFormat="1">
      <c r="A65" s="2001" t="s">
        <v>2413</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2414</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2022-4-1</v>
      </c>
      <c r="D68" s="2009">
        <f>EDATE(C68,-3)</f>
        <v>44562</v>
      </c>
      <c r="E68" s="2009">
        <f t="shared" ref="E68:O68" si="18">EDATE(D68,-3)</f>
        <v>44470</v>
      </c>
      <c r="F68" s="2009">
        <f t="shared" si="18"/>
        <v>44378</v>
      </c>
      <c r="G68" s="2009">
        <f t="shared" si="18"/>
        <v>44287</v>
      </c>
      <c r="H68" s="2009">
        <f t="shared" si="18"/>
        <v>44197</v>
      </c>
      <c r="I68" s="2009">
        <f t="shared" si="18"/>
        <v>44105</v>
      </c>
      <c r="J68" s="2009">
        <f t="shared" si="18"/>
        <v>44013</v>
      </c>
      <c r="K68" s="2009">
        <f t="shared" si="18"/>
        <v>43922</v>
      </c>
      <c r="L68" s="2009">
        <f t="shared" si="18"/>
        <v>43831</v>
      </c>
      <c r="M68" s="2009">
        <f t="shared" si="18"/>
        <v>43739</v>
      </c>
      <c r="N68" s="2009">
        <f t="shared" si="18"/>
        <v>43647</v>
      </c>
      <c r="O68" s="2009">
        <f t="shared" si="18"/>
        <v>43556</v>
      </c>
    </row>
    <row r="69" spans="1:17" ht="21.75" thickBot="1">
      <c r="A69" s="1785" t="s">
        <v>2316</v>
      </c>
      <c r="B69" s="1760"/>
      <c r="C69" s="1786"/>
      <c r="D69" s="1786"/>
      <c r="E69" s="1786"/>
      <c r="F69" s="1786"/>
      <c r="G69" s="1786"/>
      <c r="H69" s="1786"/>
      <c r="I69" s="2011"/>
      <c r="J69" s="2011"/>
      <c r="K69" s="2012"/>
      <c r="L69" s="2013"/>
      <c r="M69" s="2011"/>
      <c r="N69" s="2011"/>
      <c r="O69" s="2011"/>
      <c r="P69" s="2014"/>
      <c r="Q69" s="1790"/>
    </row>
    <row r="70" spans="1:17" s="2019" customFormat="1" ht="15">
      <c r="A70" s="2015" t="s">
        <v>2415</v>
      </c>
      <c r="B70" s="2016"/>
      <c r="C70" s="2017" t="str">
        <f>YEAR(C68)&amp;"-"&amp;ROUNDUP(MONTH(C68)/3,0)</f>
        <v>2022-2</v>
      </c>
      <c r="D70" s="2017" t="str">
        <f>YEAR(D68)&amp;"-"&amp;ROUNDUP(MONTH(D68)/3,0)</f>
        <v>2022-1</v>
      </c>
      <c r="E70" s="2017" t="str">
        <f t="shared" ref="E70:O70" si="19">YEAR(E68)&amp;"-"&amp;ROUNDUP(MONTH(E68)/3,0)</f>
        <v>2021-4</v>
      </c>
      <c r="F70" s="2017" t="str">
        <f t="shared" si="19"/>
        <v>2021-3</v>
      </c>
      <c r="G70" s="2017" t="str">
        <f t="shared" si="19"/>
        <v>2021-2</v>
      </c>
      <c r="H70" s="2017" t="str">
        <f t="shared" si="19"/>
        <v>2021-1</v>
      </c>
      <c r="I70" s="2017" t="str">
        <f t="shared" si="19"/>
        <v>2020-4</v>
      </c>
      <c r="J70" s="2017" t="str">
        <f t="shared" si="19"/>
        <v>2020-3</v>
      </c>
      <c r="K70" s="2017" t="str">
        <f t="shared" si="19"/>
        <v>2020-2</v>
      </c>
      <c r="L70" s="2017" t="str">
        <f t="shared" si="19"/>
        <v>2020-1</v>
      </c>
      <c r="M70" s="2017" t="str">
        <f t="shared" si="19"/>
        <v>2019-4</v>
      </c>
      <c r="N70" s="2017" t="str">
        <f t="shared" si="19"/>
        <v>2019-3</v>
      </c>
      <c r="O70" s="2017" t="str">
        <f t="shared" si="19"/>
        <v>2019-2</v>
      </c>
      <c r="P70" s="2018"/>
    </row>
    <row r="71" spans="1:17" s="1653" customFormat="1" ht="29.25" customHeight="1">
      <c r="A71" s="2020" t="s">
        <v>2416</v>
      </c>
      <c r="B71" s="2021" t="str">
        <f>"北京市平均增长率"&amp;TEXT(SUMIF(基准地价修正!N21:N25,A71,基准地价修正!P21:P25),"0.00%")</f>
        <v>北京市平均增长率0.00%</v>
      </c>
      <c r="C71" s="1874">
        <v>100</v>
      </c>
      <c r="D71" s="1870"/>
      <c r="E71" s="1870"/>
      <c r="F71" s="1870"/>
      <c r="G71" s="1870"/>
      <c r="H71" s="1870"/>
      <c r="I71" s="1870"/>
      <c r="J71" s="1870"/>
      <c r="K71" s="1870"/>
      <c r="L71" s="1870"/>
      <c r="M71" s="2022"/>
      <c r="N71" s="1870"/>
      <c r="O71" s="2023"/>
      <c r="P71" s="1790"/>
    </row>
    <row r="72" spans="1:17" s="1653" customFormat="1" ht="15.75" thickBot="1">
      <c r="A72" s="1803" t="s">
        <v>2236</v>
      </c>
      <c r="B72" s="1804"/>
      <c r="C72" s="1805"/>
      <c r="D72" s="1806"/>
      <c r="E72" s="1806"/>
      <c r="F72" s="1806"/>
      <c r="G72" s="1806"/>
      <c r="H72" s="1806"/>
      <c r="I72" s="1806"/>
      <c r="J72" s="1806"/>
      <c r="K72" s="1806"/>
      <c r="L72" s="1806"/>
      <c r="M72" s="1807"/>
      <c r="N72" s="1806"/>
      <c r="O72" s="2024"/>
      <c r="P72" s="1790"/>
      <c r="Q72" s="1790"/>
    </row>
    <row r="73" spans="1:17" s="1653" customFormat="1" ht="15">
      <c r="A73" s="1808" t="s">
        <v>2200</v>
      </c>
      <c r="B73" s="1798"/>
      <c r="C73" s="1809" t="s">
        <v>2201</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2239</v>
      </c>
      <c r="B75" s="1816" t="s">
        <v>2204</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2207</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2208</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2209</v>
      </c>
      <c r="B88" s="1816" t="s">
        <v>2247</v>
      </c>
      <c r="C88" s="1854" t="s">
        <v>2248</v>
      </c>
      <c r="D88" s="1854" t="s">
        <v>2249</v>
      </c>
      <c r="E88" s="1854" t="s">
        <v>2250</v>
      </c>
      <c r="F88" s="1854" t="s">
        <v>2251</v>
      </c>
      <c r="G88" s="1854" t="s">
        <v>2252</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2417</v>
      </c>
      <c r="C90" s="579" t="s">
        <v>2248</v>
      </c>
      <c r="D90" s="579" t="s">
        <v>2249</v>
      </c>
      <c r="E90" s="579" t="s">
        <v>2250</v>
      </c>
      <c r="F90" s="579" t="s">
        <v>2251</v>
      </c>
      <c r="G90" s="579" t="s">
        <v>2252</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2335</v>
      </c>
      <c r="C92" s="579" t="s">
        <v>2248</v>
      </c>
      <c r="D92" s="579" t="s">
        <v>2249</v>
      </c>
      <c r="E92" s="579" t="s">
        <v>2250</v>
      </c>
      <c r="F92" s="579" t="s">
        <v>2251</v>
      </c>
      <c r="G92" s="579" t="s">
        <v>2252</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2253</v>
      </c>
      <c r="C94" s="579" t="s">
        <v>2248</v>
      </c>
      <c r="D94" s="579" t="s">
        <v>2249</v>
      </c>
      <c r="E94" s="579" t="s">
        <v>2250</v>
      </c>
      <c r="F94" s="579" t="s">
        <v>2251</v>
      </c>
      <c r="G94" s="579" t="s">
        <v>2252</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2418</v>
      </c>
      <c r="C96" s="579" t="s">
        <v>2248</v>
      </c>
      <c r="D96" s="579" t="s">
        <v>2249</v>
      </c>
      <c r="E96" s="579" t="s">
        <v>2250</v>
      </c>
      <c r="F96" s="579" t="s">
        <v>2251</v>
      </c>
      <c r="G96" s="579" t="s">
        <v>2252</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2419</v>
      </c>
      <c r="C98" s="1854" t="s">
        <v>2248</v>
      </c>
      <c r="D98" s="1854" t="s">
        <v>2249</v>
      </c>
      <c r="E98" s="1854" t="s">
        <v>2250</v>
      </c>
      <c r="F98" s="1854" t="s">
        <v>2251</v>
      </c>
      <c r="G98" s="1854" t="s">
        <v>2252</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2296</v>
      </c>
      <c r="C100" s="1854" t="s">
        <v>2248</v>
      </c>
      <c r="D100" s="1854" t="s">
        <v>2249</v>
      </c>
      <c r="E100" s="1854" t="s">
        <v>2250</v>
      </c>
      <c r="F100" s="1854" t="s">
        <v>2251</v>
      </c>
      <c r="G100" s="1854" t="s">
        <v>2252</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2297</v>
      </c>
      <c r="C102" s="1828" t="s">
        <v>2255</v>
      </c>
      <c r="D102" s="1828" t="s">
        <v>2256</v>
      </c>
      <c r="E102" s="1828" t="s">
        <v>2257</v>
      </c>
      <c r="F102" s="1828" t="s">
        <v>2258</v>
      </c>
      <c r="G102" s="1828" t="s">
        <v>2259</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2420</v>
      </c>
      <c r="D104" s="1828" t="s">
        <v>2421</v>
      </c>
      <c r="E104" s="1828" t="s">
        <v>2422</v>
      </c>
      <c r="F104" s="1828" t="s">
        <v>2423</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2328</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2389</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2214</v>
      </c>
      <c r="B116" s="1816" t="s">
        <v>2424</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2425</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2426</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2427</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2428</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V8" sqref="V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2381</v>
      </c>
      <c r="B1" s="289"/>
      <c r="C1" s="290" t="s">
        <v>2429</v>
      </c>
      <c r="D1" s="614"/>
      <c r="E1" s="614"/>
      <c r="F1" s="613" t="s">
        <v>2183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2383</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2384</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2185</v>
      </c>
      <c r="B4" s="295"/>
      <c r="C4" s="3654" t="s">
        <v>2186</v>
      </c>
      <c r="D4" s="3655"/>
      <c r="E4" s="3656" t="s">
        <v>2187</v>
      </c>
      <c r="F4" s="3657"/>
      <c r="G4" s="3654" t="s">
        <v>2188</v>
      </c>
      <c r="H4" s="3655"/>
      <c r="I4" s="3654" t="s">
        <v>2189</v>
      </c>
      <c r="J4" s="3655"/>
      <c r="K4" s="496" t="s">
        <v>2190</v>
      </c>
      <c r="L4" s="2992"/>
      <c r="M4" s="2993"/>
      <c r="N4" s="2993"/>
      <c r="O4" s="2993"/>
      <c r="P4" s="3658" t="s">
        <v>2191</v>
      </c>
      <c r="Q4" s="3659"/>
      <c r="R4" s="3641" t="s">
        <v>2187</v>
      </c>
      <c r="S4" s="3642"/>
      <c r="T4" s="3641" t="s">
        <v>2188</v>
      </c>
      <c r="U4" s="3642"/>
      <c r="V4" s="3664" t="s">
        <v>2189</v>
      </c>
      <c r="W4" s="3664"/>
      <c r="X4" s="1305"/>
      <c r="Y4" s="3641" t="s">
        <v>2191</v>
      </c>
      <c r="Z4" s="3642"/>
      <c r="AA4" s="3651" t="s">
        <v>2187</v>
      </c>
      <c r="AB4" s="3652" t="s">
        <v>2188</v>
      </c>
      <c r="AC4" s="3651" t="s">
        <v>2189</v>
      </c>
    </row>
    <row r="5" spans="1:29" ht="15">
      <c r="A5" s="297"/>
      <c r="B5" s="298"/>
      <c r="C5" s="3667" t="s">
        <v>2192</v>
      </c>
      <c r="D5" s="3668"/>
      <c r="E5" s="3665" t="s">
        <v>2193</v>
      </c>
      <c r="F5" s="3666"/>
      <c r="G5" s="3667" t="s">
        <v>2194</v>
      </c>
      <c r="H5" s="3668"/>
      <c r="I5" s="3667" t="s">
        <v>2195</v>
      </c>
      <c r="J5" s="3668"/>
      <c r="K5" s="496"/>
      <c r="L5" s="2992"/>
      <c r="M5" s="2993"/>
      <c r="N5" s="2993"/>
      <c r="O5" s="2993"/>
      <c r="P5" s="3660"/>
      <c r="Q5" s="3661"/>
      <c r="R5" s="3643"/>
      <c r="S5" s="3644"/>
      <c r="T5" s="3643"/>
      <c r="U5" s="3644"/>
      <c r="V5" s="3664"/>
      <c r="W5" s="3664"/>
      <c r="X5" s="1305"/>
      <c r="Y5" s="3643"/>
      <c r="Z5" s="3644"/>
      <c r="AA5" s="3652"/>
      <c r="AB5" s="3652"/>
      <c r="AC5" s="3652"/>
    </row>
    <row r="6" spans="1:29" ht="15.75" thickBot="1">
      <c r="A6" s="299"/>
      <c r="B6" s="300"/>
      <c r="C6" s="3669" t="s">
        <v>2196</v>
      </c>
      <c r="D6" s="3670"/>
      <c r="E6" s="3671" t="s">
        <v>2196</v>
      </c>
      <c r="F6" s="3672"/>
      <c r="G6" s="3669" t="s">
        <v>2196</v>
      </c>
      <c r="H6" s="3670"/>
      <c r="I6" s="3669" t="s">
        <v>2196</v>
      </c>
      <c r="J6" s="3670"/>
      <c r="K6" s="496" t="s">
        <v>2197</v>
      </c>
      <c r="L6" s="2992"/>
      <c r="M6" s="2993"/>
      <c r="N6" s="2993"/>
      <c r="O6" s="2993"/>
      <c r="P6" s="3662"/>
      <c r="Q6" s="3663"/>
      <c r="R6" s="3643"/>
      <c r="S6" s="3644"/>
      <c r="T6" s="3645"/>
      <c r="U6" s="3646"/>
      <c r="V6" s="3664"/>
      <c r="W6" s="3664"/>
      <c r="X6" s="1305"/>
      <c r="Y6" s="3645"/>
      <c r="Z6" s="3646"/>
      <c r="AA6" s="3653"/>
      <c r="AB6" s="3653"/>
      <c r="AC6" s="3653"/>
    </row>
    <row r="7" spans="1:29" s="25" customFormat="1" ht="15.75" thickBot="1">
      <c r="A7" s="301" t="s">
        <v>2198</v>
      </c>
      <c r="B7" s="302"/>
      <c r="C7" s="303">
        <f>'数据-取费表'!B2</f>
        <v>44664</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39" t="s">
        <v>2199</v>
      </c>
      <c r="Q7" s="3647"/>
      <c r="R7" s="627" t="s">
        <v>25</v>
      </c>
      <c r="S7" s="628">
        <f t="shared" ref="S7:S15" si="0">F7</f>
        <v>0</v>
      </c>
      <c r="T7" s="627" t="s">
        <v>25</v>
      </c>
      <c r="U7" s="628">
        <f t="shared" ref="U7:U15" si="1">H7</f>
        <v>0</v>
      </c>
      <c r="V7" s="627" t="s">
        <v>25</v>
      </c>
      <c r="W7" s="628">
        <f t="shared" ref="W7:W15" si="2">J7</f>
        <v>0</v>
      </c>
      <c r="X7" s="629"/>
      <c r="Y7" s="3639" t="s">
        <v>2199</v>
      </c>
      <c r="Z7" s="3640"/>
      <c r="AA7" s="630" t="e">
        <f>D7/F7</f>
        <v>#DIV/0!</v>
      </c>
      <c r="AB7" s="630" t="e">
        <f>D7/H7</f>
        <v>#DIV/0!</v>
      </c>
      <c r="AC7" s="630" t="e">
        <f>D7/J7</f>
        <v>#DIV/0!</v>
      </c>
    </row>
    <row r="8" spans="1:29" s="25" customFormat="1" ht="15.75" thickBot="1">
      <c r="A8" s="301" t="s">
        <v>2200</v>
      </c>
      <c r="B8" s="302"/>
      <c r="C8" s="307" t="s">
        <v>2385</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39" t="s">
        <v>2202</v>
      </c>
      <c r="Q8" s="3640"/>
      <c r="R8" s="627" t="s">
        <v>25</v>
      </c>
      <c r="S8" s="628">
        <f t="shared" si="0"/>
        <v>0</v>
      </c>
      <c r="T8" s="627" t="s">
        <v>25</v>
      </c>
      <c r="U8" s="628">
        <f t="shared" si="1"/>
        <v>0</v>
      </c>
      <c r="V8" s="627" t="s">
        <v>25</v>
      </c>
      <c r="W8" s="628">
        <f t="shared" si="2"/>
        <v>0</v>
      </c>
      <c r="X8" s="629"/>
      <c r="Y8" s="3639" t="s">
        <v>2202</v>
      </c>
      <c r="Z8" s="3640"/>
      <c r="AA8" s="630" t="e">
        <f t="shared" ref="AA8:AA40" si="3">D8/F8</f>
        <v>#DIV/0!</v>
      </c>
      <c r="AB8" s="630" t="e">
        <f t="shared" ref="AB8:AB40" si="4">D8/H8</f>
        <v>#DIV/0!</v>
      </c>
      <c r="AC8" s="630" t="e">
        <f t="shared" ref="AC8:AC40" si="5">D8/J8</f>
        <v>#DIV/0!</v>
      </c>
    </row>
    <row r="9" spans="1:29" s="25" customFormat="1">
      <c r="A9" s="308" t="s">
        <v>2203</v>
      </c>
      <c r="B9" s="24" t="s">
        <v>2204</v>
      </c>
      <c r="C9" s="1554" t="s">
        <v>2430</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31" t="s">
        <v>2205</v>
      </c>
      <c r="Q9" s="1297" t="str">
        <f t="shared" ref="Q9:Q15" si="6">B9</f>
        <v>用途</v>
      </c>
      <c r="R9" s="627" t="s">
        <v>25</v>
      </c>
      <c r="S9" s="628">
        <f t="shared" si="0"/>
        <v>100</v>
      </c>
      <c r="T9" s="627" t="s">
        <v>25</v>
      </c>
      <c r="U9" s="628">
        <f t="shared" si="1"/>
        <v>100</v>
      </c>
      <c r="V9" s="627" t="s">
        <v>25</v>
      </c>
      <c r="W9" s="628">
        <f t="shared" si="2"/>
        <v>100</v>
      </c>
      <c r="X9" s="629"/>
      <c r="Y9" s="3650" t="s">
        <v>2206</v>
      </c>
      <c r="Z9" s="19" t="str">
        <f t="shared" ref="Z9:Z15" si="7">Q9</f>
        <v>用途</v>
      </c>
      <c r="AA9" s="630">
        <f t="shared" si="3"/>
        <v>1</v>
      </c>
      <c r="AB9" s="630">
        <f t="shared" si="4"/>
        <v>1</v>
      </c>
      <c r="AC9" s="630">
        <f t="shared" si="5"/>
        <v>1</v>
      </c>
    </row>
    <row r="10" spans="1:29" s="317" customFormat="1" ht="27">
      <c r="A10" s="312"/>
      <c r="B10" s="313" t="s">
        <v>2207</v>
      </c>
      <c r="C10" s="322"/>
      <c r="D10" s="29">
        <v>100</v>
      </c>
      <c r="E10" s="322"/>
      <c r="F10" s="29">
        <f>ROUND(100/'数据-取费表'!B14,0)</f>
        <v>107</v>
      </c>
      <c r="G10" s="322"/>
      <c r="H10" s="29">
        <f>ROUND(100/'数据-取费表'!B14,0)</f>
        <v>107</v>
      </c>
      <c r="I10" s="322"/>
      <c r="J10" s="29">
        <f>ROUND(100/'数据-取费表'!B14,0)</f>
        <v>107</v>
      </c>
      <c r="K10" s="553"/>
      <c r="L10" s="2997"/>
      <c r="M10" s="2998"/>
      <c r="N10" s="2998"/>
      <c r="O10" s="2999"/>
      <c r="P10" s="3631"/>
      <c r="Q10" s="1297" t="str">
        <f t="shared" si="6"/>
        <v>土地使用年限（年）</v>
      </c>
      <c r="R10" s="627" t="s">
        <v>25</v>
      </c>
      <c r="S10" s="628">
        <f t="shared" si="0"/>
        <v>107</v>
      </c>
      <c r="T10" s="627" t="s">
        <v>25</v>
      </c>
      <c r="U10" s="628">
        <f t="shared" si="1"/>
        <v>107</v>
      </c>
      <c r="V10" s="627" t="s">
        <v>25</v>
      </c>
      <c r="W10" s="628">
        <f t="shared" si="2"/>
        <v>107</v>
      </c>
      <c r="X10" s="629"/>
      <c r="Y10" s="3650"/>
      <c r="Z10" s="19" t="str">
        <f t="shared" si="7"/>
        <v>土地使用年限（年）</v>
      </c>
      <c r="AA10" s="630">
        <f t="shared" si="3"/>
        <v>0.93457943925233644</v>
      </c>
      <c r="AB10" s="630">
        <f t="shared" si="4"/>
        <v>0.93457943925233644</v>
      </c>
      <c r="AC10" s="630">
        <f t="shared" si="5"/>
        <v>0.93457943925233644</v>
      </c>
    </row>
    <row r="11" spans="1:29" ht="15">
      <c r="A11" s="318"/>
      <c r="B11" s="313" t="s">
        <v>2208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31"/>
      <c r="Q11" s="1297" t="str">
        <f t="shared" si="6"/>
        <v>容积率</v>
      </c>
      <c r="R11" s="627" t="s">
        <v>25</v>
      </c>
      <c r="S11" s="628" t="e">
        <f t="shared" si="0"/>
        <v>#N/A</v>
      </c>
      <c r="T11" s="627" t="s">
        <v>25</v>
      </c>
      <c r="U11" s="628" t="e">
        <f t="shared" si="1"/>
        <v>#N/A</v>
      </c>
      <c r="V11" s="627" t="s">
        <v>25</v>
      </c>
      <c r="W11" s="628" t="e">
        <f t="shared" si="2"/>
        <v>#N/A</v>
      </c>
      <c r="X11" s="629"/>
      <c r="Y11" s="3650"/>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31"/>
      <c r="Q12" s="1297">
        <f t="shared" si="6"/>
        <v>111</v>
      </c>
      <c r="R12" s="627" t="s">
        <v>25</v>
      </c>
      <c r="S12" s="628">
        <f t="shared" si="0"/>
        <v>100</v>
      </c>
      <c r="T12" s="627" t="s">
        <v>25</v>
      </c>
      <c r="U12" s="628">
        <f t="shared" si="1"/>
        <v>100</v>
      </c>
      <c r="V12" s="627" t="s">
        <v>25</v>
      </c>
      <c r="W12" s="628">
        <f t="shared" si="2"/>
        <v>100</v>
      </c>
      <c r="X12" s="629"/>
      <c r="Y12" s="3650"/>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31"/>
      <c r="Q13" s="1297">
        <f t="shared" si="6"/>
        <v>111</v>
      </c>
      <c r="R13" s="627" t="s">
        <v>25</v>
      </c>
      <c r="S13" s="628">
        <f t="shared" si="0"/>
        <v>100</v>
      </c>
      <c r="T13" s="627" t="s">
        <v>25</v>
      </c>
      <c r="U13" s="628">
        <f t="shared" si="1"/>
        <v>100</v>
      </c>
      <c r="V13" s="627" t="s">
        <v>25</v>
      </c>
      <c r="W13" s="628">
        <f t="shared" si="2"/>
        <v>100</v>
      </c>
      <c r="X13" s="629"/>
      <c r="Y13" s="3650"/>
      <c r="Z13" s="19">
        <f t="shared" si="7"/>
        <v>111</v>
      </c>
      <c r="AA13" s="630">
        <f t="shared" si="3"/>
        <v>1</v>
      </c>
      <c r="AB13" s="630">
        <f t="shared" si="4"/>
        <v>1</v>
      </c>
      <c r="AC13" s="630">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31"/>
      <c r="Q14" s="1297">
        <f t="shared" si="6"/>
        <v>111</v>
      </c>
      <c r="R14" s="627" t="s">
        <v>25</v>
      </c>
      <c r="S14" s="628">
        <f t="shared" si="0"/>
        <v>100</v>
      </c>
      <c r="T14" s="627" t="s">
        <v>25</v>
      </c>
      <c r="U14" s="628">
        <f t="shared" si="1"/>
        <v>100</v>
      </c>
      <c r="V14" s="627" t="s">
        <v>25</v>
      </c>
      <c r="W14" s="628">
        <f t="shared" si="2"/>
        <v>100</v>
      </c>
      <c r="X14" s="629"/>
      <c r="Y14" s="3650"/>
      <c r="Z14" s="19">
        <f t="shared" si="7"/>
        <v>111</v>
      </c>
      <c r="AA14" s="630">
        <f t="shared" si="3"/>
        <v>1</v>
      </c>
      <c r="AB14" s="630">
        <f t="shared" si="4"/>
        <v>1</v>
      </c>
      <c r="AC14" s="630">
        <f t="shared" si="5"/>
        <v>1</v>
      </c>
    </row>
    <row r="15" spans="1:29" ht="57">
      <c r="A15" s="329" t="s">
        <v>2209</v>
      </c>
      <c r="B15" s="511" t="s">
        <v>2431</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48" t="s">
        <v>2210</v>
      </c>
      <c r="Q15" s="1304" t="str">
        <f t="shared" si="6"/>
        <v>产业集聚程度</v>
      </c>
      <c r="R15" s="631" t="s">
        <v>25</v>
      </c>
      <c r="S15" s="632">
        <f t="shared" si="0"/>
        <v>100</v>
      </c>
      <c r="T15" s="631" t="s">
        <v>25</v>
      </c>
      <c r="U15" s="632">
        <f t="shared" si="1"/>
        <v>100</v>
      </c>
      <c r="V15" s="631" t="s">
        <v>25</v>
      </c>
      <c r="W15" s="632">
        <f t="shared" si="2"/>
        <v>100</v>
      </c>
      <c r="X15" s="1305"/>
      <c r="Y15" s="3648" t="s">
        <v>2210</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49"/>
      <c r="Q16" s="1304"/>
      <c r="R16" s="631"/>
      <c r="S16" s="632"/>
      <c r="T16" s="631"/>
      <c r="U16" s="632"/>
      <c r="V16" s="631"/>
      <c r="W16" s="632"/>
      <c r="X16" s="1305"/>
      <c r="Y16" s="3649"/>
      <c r="Z16" s="1306"/>
      <c r="AA16" s="1307">
        <v>1</v>
      </c>
      <c r="AB16" s="1307">
        <v>1</v>
      </c>
      <c r="AC16" s="1307">
        <v>1</v>
      </c>
    </row>
    <row r="17" spans="1:29" ht="85.5">
      <c r="A17" s="318"/>
      <c r="B17" s="513" t="s">
        <v>2347</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49"/>
      <c r="Q17" s="1304" t="str">
        <f>B17</f>
        <v>交通便捷度</v>
      </c>
      <c r="R17" s="631" t="s">
        <v>25</v>
      </c>
      <c r="S17" s="632">
        <f>F17</f>
        <v>100</v>
      </c>
      <c r="T17" s="631" t="s">
        <v>25</v>
      </c>
      <c r="U17" s="632">
        <f>H17</f>
        <v>100</v>
      </c>
      <c r="V17" s="631" t="s">
        <v>25</v>
      </c>
      <c r="W17" s="632">
        <f>J17</f>
        <v>100</v>
      </c>
      <c r="X17" s="1305"/>
      <c r="Y17" s="3649"/>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4"/>
      <c r="J18" s="336"/>
      <c r="K18" s="553"/>
      <c r="L18" s="3002"/>
      <c r="M18" s="2993"/>
      <c r="N18" s="2993"/>
      <c r="O18" s="3001"/>
      <c r="P18" s="3649"/>
      <c r="Q18" s="1304"/>
      <c r="R18" s="631"/>
      <c r="S18" s="632"/>
      <c r="T18" s="631"/>
      <c r="U18" s="632"/>
      <c r="V18" s="631"/>
      <c r="W18" s="632"/>
      <c r="X18" s="1305"/>
      <c r="Y18" s="3649"/>
      <c r="Z18" s="1306"/>
      <c r="AA18" s="1307">
        <v>1</v>
      </c>
      <c r="AB18" s="1307">
        <v>1</v>
      </c>
      <c r="AC18" s="1307">
        <v>1</v>
      </c>
    </row>
    <row r="19" spans="1:29" ht="15">
      <c r="A19" s="318"/>
      <c r="B19" s="513" t="s">
        <v>2387</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49"/>
      <c r="Q19" s="1304" t="str">
        <f t="shared" ref="Q19:Q33" si="8">B19</f>
        <v>区域土地利用方向</v>
      </c>
      <c r="R19" s="631" t="s">
        <v>25</v>
      </c>
      <c r="S19" s="632">
        <f>F19</f>
        <v>100</v>
      </c>
      <c r="T19" s="631" t="s">
        <v>25</v>
      </c>
      <c r="U19" s="632">
        <f>H19</f>
        <v>100</v>
      </c>
      <c r="V19" s="631" t="s">
        <v>25</v>
      </c>
      <c r="W19" s="632">
        <f>J19</f>
        <v>100</v>
      </c>
      <c r="X19" s="1305"/>
      <c r="Y19" s="3649"/>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49"/>
      <c r="Q20" s="1304"/>
      <c r="R20" s="631"/>
      <c r="S20" s="632"/>
      <c r="T20" s="631"/>
      <c r="U20" s="632"/>
      <c r="V20" s="631"/>
      <c r="W20" s="632"/>
      <c r="X20" s="1305"/>
      <c r="Y20" s="3649"/>
      <c r="Z20" s="1306"/>
      <c r="AA20" s="1307"/>
      <c r="AB20" s="1307"/>
      <c r="AC20" s="1307"/>
    </row>
    <row r="21" spans="1:29" ht="71.25">
      <c r="A21" s="297"/>
      <c r="B21" s="513" t="s">
        <v>2432</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49"/>
      <c r="Q21" s="1304" t="str">
        <f t="shared" si="8"/>
        <v>环境状况</v>
      </c>
      <c r="R21" s="631" t="s">
        <v>25</v>
      </c>
      <c r="S21" s="632">
        <f>F21</f>
        <v>100</v>
      </c>
      <c r="T21" s="631" t="s">
        <v>25</v>
      </c>
      <c r="U21" s="632">
        <f>H21</f>
        <v>100</v>
      </c>
      <c r="V21" s="631" t="s">
        <v>25</v>
      </c>
      <c r="W21" s="632">
        <f>J21</f>
        <v>100</v>
      </c>
      <c r="X21" s="1305"/>
      <c r="Y21" s="3649"/>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49"/>
      <c r="Q22" s="1304"/>
      <c r="R22" s="631"/>
      <c r="S22" s="632"/>
      <c r="T22" s="631"/>
      <c r="U22" s="632"/>
      <c r="V22" s="631"/>
      <c r="W22" s="632"/>
      <c r="X22" s="1305"/>
      <c r="Y22" s="3649"/>
      <c r="Z22" s="1306"/>
      <c r="AA22" s="1307">
        <v>1</v>
      </c>
      <c r="AB22" s="1307">
        <v>1</v>
      </c>
      <c r="AC22" s="1307">
        <v>1</v>
      </c>
    </row>
    <row r="23" spans="1:29" s="25" customFormat="1" ht="42.75">
      <c r="A23" s="531"/>
      <c r="B23" s="513" t="s">
        <v>2296</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49"/>
      <c r="Q23" s="1297" t="str">
        <f t="shared" si="8"/>
        <v>公共配套设施</v>
      </c>
      <c r="R23" s="627" t="s">
        <v>25</v>
      </c>
      <c r="S23" s="628">
        <f>F23</f>
        <v>100</v>
      </c>
      <c r="T23" s="627" t="s">
        <v>25</v>
      </c>
      <c r="U23" s="628">
        <f>H23</f>
        <v>100</v>
      </c>
      <c r="V23" s="627" t="s">
        <v>25</v>
      </c>
      <c r="W23" s="628">
        <f>J23</f>
        <v>100</v>
      </c>
      <c r="X23" s="629"/>
      <c r="Y23" s="3649"/>
      <c r="Z23" s="19" t="str">
        <f>Q23</f>
        <v>公共配套设施</v>
      </c>
      <c r="AA23" s="1307">
        <f>D23/F23</f>
        <v>1</v>
      </c>
      <c r="AB23" s="1307">
        <f>D23/H23</f>
        <v>1</v>
      </c>
      <c r="AC23" s="1307">
        <f>D23/J23</f>
        <v>1</v>
      </c>
    </row>
    <row r="24" spans="1:29" s="25" customFormat="1" ht="15">
      <c r="A24" s="531"/>
      <c r="B24" s="514"/>
      <c r="C24" s="1564"/>
      <c r="D24" s="336"/>
      <c r="E24" s="1106"/>
      <c r="F24" s="336"/>
      <c r="G24" s="1106"/>
      <c r="H24" s="336"/>
      <c r="I24" s="335"/>
      <c r="J24" s="336"/>
      <c r="K24" s="553"/>
      <c r="L24" s="2994"/>
      <c r="M24" s="2995"/>
      <c r="N24" s="2995"/>
      <c r="O24" s="2996"/>
      <c r="P24" s="3649"/>
      <c r="Q24" s="1297"/>
      <c r="R24" s="627"/>
      <c r="S24" s="628"/>
      <c r="T24" s="627"/>
      <c r="U24" s="628"/>
      <c r="V24" s="627"/>
      <c r="W24" s="628"/>
      <c r="X24" s="629"/>
      <c r="Y24" s="3649"/>
      <c r="Z24" s="19"/>
      <c r="AA24" s="630">
        <v>1</v>
      </c>
      <c r="AB24" s="630">
        <v>1</v>
      </c>
      <c r="AC24" s="630">
        <v>1</v>
      </c>
    </row>
    <row r="25" spans="1:29" s="25" customFormat="1" ht="28.5">
      <c r="A25" s="531"/>
      <c r="B25" s="515" t="s">
        <v>2297</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49"/>
      <c r="Q25" s="1297" t="str">
        <f t="shared" ref="Q25" si="9">B25</f>
        <v>基础设施水平</v>
      </c>
      <c r="R25" s="627" t="s">
        <v>25</v>
      </c>
      <c r="S25" s="628">
        <f>F25</f>
        <v>100</v>
      </c>
      <c r="T25" s="627" t="s">
        <v>25</v>
      </c>
      <c r="U25" s="628">
        <f>H25</f>
        <v>100</v>
      </c>
      <c r="V25" s="627" t="s">
        <v>25</v>
      </c>
      <c r="W25" s="628">
        <f>J25</f>
        <v>100</v>
      </c>
      <c r="X25" s="629"/>
      <c r="Y25" s="3649"/>
      <c r="Z25" s="19" t="str">
        <f>Q25</f>
        <v>基础设施水平</v>
      </c>
      <c r="AA25" s="1307">
        <f>D25/F25</f>
        <v>1</v>
      </c>
      <c r="AB25" s="1307">
        <f>D25/H25</f>
        <v>1</v>
      </c>
      <c r="AC25" s="1307">
        <f>D25/J25</f>
        <v>1</v>
      </c>
    </row>
    <row r="26" spans="1:29" s="25" customFormat="1" ht="15">
      <c r="A26" s="531"/>
      <c r="B26" s="514"/>
      <c r="C26" s="1564"/>
      <c r="D26" s="336"/>
      <c r="E26" s="1555"/>
      <c r="F26" s="336"/>
      <c r="G26" s="1555"/>
      <c r="H26" s="336"/>
      <c r="I26" s="1555"/>
      <c r="J26" s="336"/>
      <c r="K26" s="553"/>
      <c r="L26" s="2994"/>
      <c r="M26" s="2995"/>
      <c r="N26" s="2995"/>
      <c r="O26" s="2996"/>
      <c r="P26" s="3649"/>
      <c r="Q26" s="1297"/>
      <c r="R26" s="627"/>
      <c r="S26" s="628"/>
      <c r="T26" s="627"/>
      <c r="U26" s="628"/>
      <c r="V26" s="627"/>
      <c r="W26" s="628"/>
      <c r="X26" s="629"/>
      <c r="Y26" s="3649"/>
      <c r="Z26" s="19"/>
      <c r="AA26" s="630">
        <v>1</v>
      </c>
      <c r="AB26" s="630">
        <v>1</v>
      </c>
      <c r="AC26" s="630">
        <v>1</v>
      </c>
    </row>
    <row r="27" spans="1:29" ht="15">
      <c r="A27" s="318"/>
      <c r="B27" s="514" t="s">
        <v>2298</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49"/>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9"/>
      <c r="Z27" s="1306" t="str">
        <f t="shared" ref="Z27:Z40" si="13">Q27</f>
        <v>临街状况</v>
      </c>
      <c r="AA27" s="1307">
        <f t="shared" si="3"/>
        <v>1</v>
      </c>
      <c r="AB27" s="1307">
        <f t="shared" si="4"/>
        <v>1</v>
      </c>
      <c r="AC27" s="1307">
        <f t="shared" si="5"/>
        <v>1</v>
      </c>
    </row>
    <row r="28" spans="1:29" ht="27">
      <c r="A28" s="318"/>
      <c r="B28" s="515" t="s">
        <v>2328</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49"/>
      <c r="Q28" s="1304" t="str">
        <f t="shared" si="8"/>
        <v>毗邻道路的类型与等级</v>
      </c>
      <c r="R28" s="631" t="s">
        <v>25</v>
      </c>
      <c r="S28" s="632">
        <f t="shared" si="10"/>
        <v>100</v>
      </c>
      <c r="T28" s="631" t="s">
        <v>25</v>
      </c>
      <c r="U28" s="632">
        <f t="shared" si="11"/>
        <v>100</v>
      </c>
      <c r="V28" s="631" t="s">
        <v>25</v>
      </c>
      <c r="W28" s="632">
        <f t="shared" si="12"/>
        <v>100</v>
      </c>
      <c r="X28" s="1305"/>
      <c r="Y28" s="3649"/>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49"/>
      <c r="Q29" s="1304"/>
      <c r="R29" s="631"/>
      <c r="S29" s="632"/>
      <c r="T29" s="631"/>
      <c r="U29" s="632"/>
      <c r="V29" s="631"/>
      <c r="W29" s="632"/>
      <c r="X29" s="1305"/>
      <c r="Y29" s="3649"/>
      <c r="Z29" s="1306"/>
      <c r="AA29" s="1307">
        <v>1</v>
      </c>
      <c r="AB29" s="1307">
        <v>1</v>
      </c>
      <c r="AC29" s="1307">
        <v>1</v>
      </c>
    </row>
    <row r="30" spans="1:29" ht="15">
      <c r="A30" s="318"/>
      <c r="B30" s="535" t="s">
        <v>2389</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49"/>
      <c r="Q30" s="1304" t="str">
        <f t="shared" si="8"/>
        <v>土地级别</v>
      </c>
      <c r="R30" s="631" t="s">
        <v>25</v>
      </c>
      <c r="S30" s="632">
        <f t="shared" si="10"/>
        <v>100</v>
      </c>
      <c r="T30" s="631" t="s">
        <v>25</v>
      </c>
      <c r="U30" s="632">
        <f t="shared" si="11"/>
        <v>100</v>
      </c>
      <c r="V30" s="631" t="s">
        <v>25</v>
      </c>
      <c r="W30" s="632">
        <f t="shared" si="12"/>
        <v>100</v>
      </c>
      <c r="X30" s="1305"/>
      <c r="Y30" s="3649"/>
      <c r="Z30" s="1306" t="str">
        <f t="shared" si="13"/>
        <v>土地级别</v>
      </c>
      <c r="AA30" s="1307">
        <f t="shared" si="3"/>
        <v>1</v>
      </c>
      <c r="AB30" s="1307">
        <f t="shared" si="4"/>
        <v>1</v>
      </c>
      <c r="AC30" s="1307">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49"/>
      <c r="Q31" s="1304">
        <f t="shared" si="8"/>
        <v>111</v>
      </c>
      <c r="R31" s="631" t="s">
        <v>25</v>
      </c>
      <c r="S31" s="632">
        <f t="shared" si="10"/>
        <v>100</v>
      </c>
      <c r="T31" s="631" t="s">
        <v>25</v>
      </c>
      <c r="U31" s="632">
        <f t="shared" si="11"/>
        <v>100</v>
      </c>
      <c r="V31" s="631" t="s">
        <v>25</v>
      </c>
      <c r="W31" s="632">
        <f t="shared" si="12"/>
        <v>100</v>
      </c>
      <c r="X31" s="1305"/>
      <c r="Y31" s="3649"/>
      <c r="Z31" s="1306">
        <f t="shared" si="13"/>
        <v>111</v>
      </c>
      <c r="AA31" s="1307">
        <f t="shared" si="3"/>
        <v>1</v>
      </c>
      <c r="AB31" s="1307">
        <f t="shared" si="4"/>
        <v>1</v>
      </c>
      <c r="AC31" s="1307">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36" t="s">
        <v>2216</v>
      </c>
      <c r="Q32" s="1304">
        <f t="shared" si="8"/>
        <v>111</v>
      </c>
      <c r="R32" s="631" t="s">
        <v>25</v>
      </c>
      <c r="S32" s="632">
        <f t="shared" si="10"/>
        <v>100</v>
      </c>
      <c r="T32" s="631" t="s">
        <v>25</v>
      </c>
      <c r="U32" s="632">
        <f t="shared" si="11"/>
        <v>100</v>
      </c>
      <c r="V32" s="631" t="s">
        <v>25</v>
      </c>
      <c r="W32" s="632">
        <f t="shared" si="12"/>
        <v>100</v>
      </c>
      <c r="X32" s="1305"/>
      <c r="Y32" s="3637" t="s">
        <v>2216</v>
      </c>
      <c r="Z32" s="1306">
        <f t="shared" si="13"/>
        <v>111</v>
      </c>
      <c r="AA32" s="1307">
        <f t="shared" si="3"/>
        <v>1</v>
      </c>
      <c r="AB32" s="1307">
        <f t="shared" si="4"/>
        <v>1</v>
      </c>
      <c r="AC32" s="1307">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37"/>
      <c r="Q33" s="1304">
        <f t="shared" si="8"/>
        <v>111</v>
      </c>
      <c r="R33" s="634" t="s">
        <v>25</v>
      </c>
      <c r="S33" s="635">
        <f t="shared" si="10"/>
        <v>100</v>
      </c>
      <c r="T33" s="634" t="s">
        <v>25</v>
      </c>
      <c r="U33" s="635">
        <f t="shared" si="11"/>
        <v>100</v>
      </c>
      <c r="V33" s="634" t="s">
        <v>25</v>
      </c>
      <c r="W33" s="635">
        <f t="shared" si="12"/>
        <v>100</v>
      </c>
      <c r="X33" s="636"/>
      <c r="Y33" s="3637"/>
      <c r="Z33" s="637">
        <f t="shared" si="13"/>
        <v>111</v>
      </c>
      <c r="AA33" s="1307">
        <f t="shared" si="3"/>
        <v>1</v>
      </c>
      <c r="AB33" s="1307">
        <f t="shared" si="4"/>
        <v>1</v>
      </c>
      <c r="AC33" s="1307">
        <f t="shared" si="5"/>
        <v>1</v>
      </c>
    </row>
    <row r="34" spans="1:29" ht="15">
      <c r="A34" s="360" t="s">
        <v>2214</v>
      </c>
      <c r="B34" s="345" t="s">
        <v>2390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37"/>
      <c r="Q34" s="1304" t="str">
        <f>B34</f>
        <v>宗地面积</v>
      </c>
      <c r="R34" s="631" t="s">
        <v>25</v>
      </c>
      <c r="S34" s="632" t="e">
        <f t="shared" si="10"/>
        <v>#N/A</v>
      </c>
      <c r="T34" s="631" t="s">
        <v>25</v>
      </c>
      <c r="U34" s="632" t="e">
        <f t="shared" si="11"/>
        <v>#N/A</v>
      </c>
      <c r="V34" s="631" t="s">
        <v>25</v>
      </c>
      <c r="W34" s="632" t="e">
        <f t="shared" si="12"/>
        <v>#N/A</v>
      </c>
      <c r="X34" s="1305"/>
      <c r="Y34" s="3637"/>
      <c r="Z34" s="1306" t="str">
        <f t="shared" si="13"/>
        <v>宗地面积</v>
      </c>
      <c r="AA34" s="1307" t="e">
        <f t="shared" si="3"/>
        <v>#N/A</v>
      </c>
      <c r="AB34" s="1307" t="e">
        <f t="shared" si="4"/>
        <v>#N/A</v>
      </c>
      <c r="AC34" s="1307" t="e">
        <f t="shared" si="5"/>
        <v>#N/A</v>
      </c>
    </row>
    <row r="35" spans="1:29" ht="15">
      <c r="A35" s="360"/>
      <c r="B35" s="313" t="s">
        <v>2391</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637"/>
      <c r="Q35" s="1304" t="str">
        <f t="shared" ref="Q35:Q40" si="14">B35</f>
        <v>宗地形状</v>
      </c>
      <c r="R35" s="631" t="s">
        <v>25</v>
      </c>
      <c r="S35" s="632">
        <f t="shared" si="10"/>
        <v>100</v>
      </c>
      <c r="T35" s="631" t="s">
        <v>25</v>
      </c>
      <c r="U35" s="632">
        <f t="shared" si="11"/>
        <v>100</v>
      </c>
      <c r="V35" s="631" t="s">
        <v>25</v>
      </c>
      <c r="W35" s="632">
        <f t="shared" si="12"/>
        <v>100</v>
      </c>
      <c r="X35" s="1305"/>
      <c r="Y35" s="3637"/>
      <c r="Z35" s="1306" t="str">
        <f t="shared" si="13"/>
        <v>宗地形状</v>
      </c>
      <c r="AA35" s="1307">
        <f t="shared" si="3"/>
        <v>1</v>
      </c>
      <c r="AB35" s="1307">
        <f t="shared" si="4"/>
        <v>1</v>
      </c>
      <c r="AC35" s="1307">
        <f t="shared" si="5"/>
        <v>1</v>
      </c>
    </row>
    <row r="36" spans="1:29" s="25" customFormat="1" ht="15">
      <c r="A36" s="361"/>
      <c r="B36" s="313" t="s">
        <v>2393</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637"/>
      <c r="Q36" s="1304" t="str">
        <f t="shared" si="14"/>
        <v>宗地开发程度</v>
      </c>
      <c r="R36" s="627" t="s">
        <v>25</v>
      </c>
      <c r="S36" s="628">
        <f t="shared" si="10"/>
        <v>100</v>
      </c>
      <c r="T36" s="627" t="s">
        <v>25</v>
      </c>
      <c r="U36" s="628">
        <f t="shared" si="11"/>
        <v>100</v>
      </c>
      <c r="V36" s="627" t="s">
        <v>25</v>
      </c>
      <c r="W36" s="628">
        <f t="shared" si="12"/>
        <v>100</v>
      </c>
      <c r="X36" s="629"/>
      <c r="Y36" s="3637"/>
      <c r="Z36" s="19" t="str">
        <f t="shared" si="13"/>
        <v>宗地开发程度</v>
      </c>
      <c r="AA36" s="630">
        <f t="shared" si="3"/>
        <v>1</v>
      </c>
      <c r="AB36" s="630">
        <f t="shared" si="4"/>
        <v>1</v>
      </c>
      <c r="AC36" s="630">
        <f t="shared" si="5"/>
        <v>1</v>
      </c>
    </row>
    <row r="37" spans="1:29" ht="15">
      <c r="A37" s="360"/>
      <c r="B37" s="313" t="s">
        <v>2394</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637" t="s">
        <v>2216</v>
      </c>
      <c r="Q37" s="1304" t="str">
        <f t="shared" si="14"/>
        <v>工程地质条件</v>
      </c>
      <c r="R37" s="631" t="s">
        <v>25</v>
      </c>
      <c r="S37" s="632">
        <f t="shared" si="10"/>
        <v>100</v>
      </c>
      <c r="T37" s="631" t="s">
        <v>25</v>
      </c>
      <c r="U37" s="632">
        <f t="shared" si="11"/>
        <v>100</v>
      </c>
      <c r="V37" s="631" t="s">
        <v>25</v>
      </c>
      <c r="W37" s="632">
        <f t="shared" si="12"/>
        <v>100</v>
      </c>
      <c r="X37" s="1305"/>
      <c r="Y37" s="3637" t="s">
        <v>2216</v>
      </c>
      <c r="Z37" s="1306" t="str">
        <f t="shared" si="13"/>
        <v>工程地质条件</v>
      </c>
      <c r="AA37" s="1307">
        <f t="shared" si="3"/>
        <v>1</v>
      </c>
      <c r="AB37" s="1307">
        <f t="shared" si="4"/>
        <v>1</v>
      </c>
      <c r="AC37" s="1307">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37"/>
      <c r="Q38" s="1304">
        <f t="shared" si="14"/>
        <v>111</v>
      </c>
      <c r="R38" s="631" t="s">
        <v>25</v>
      </c>
      <c r="S38" s="632">
        <f t="shared" si="10"/>
        <v>100</v>
      </c>
      <c r="T38" s="631" t="s">
        <v>25</v>
      </c>
      <c r="U38" s="632">
        <f t="shared" si="11"/>
        <v>100</v>
      </c>
      <c r="V38" s="631" t="s">
        <v>25</v>
      </c>
      <c r="W38" s="632">
        <f t="shared" si="12"/>
        <v>100</v>
      </c>
      <c r="X38" s="1305"/>
      <c r="Y38" s="3637"/>
      <c r="Z38" s="1306">
        <f t="shared" si="13"/>
        <v>111</v>
      </c>
      <c r="AA38" s="1307">
        <f t="shared" si="3"/>
        <v>1</v>
      </c>
      <c r="AB38" s="1307">
        <f t="shared" si="4"/>
        <v>1</v>
      </c>
      <c r="AC38" s="1307">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37"/>
      <c r="Q39" s="1304">
        <f t="shared" si="14"/>
        <v>111</v>
      </c>
      <c r="R39" s="631" t="s">
        <v>25</v>
      </c>
      <c r="S39" s="632">
        <f t="shared" si="10"/>
        <v>100</v>
      </c>
      <c r="T39" s="631" t="s">
        <v>25</v>
      </c>
      <c r="U39" s="632">
        <f t="shared" si="11"/>
        <v>100</v>
      </c>
      <c r="V39" s="631" t="s">
        <v>25</v>
      </c>
      <c r="W39" s="632">
        <f t="shared" si="12"/>
        <v>100</v>
      </c>
      <c r="X39" s="1305"/>
      <c r="Y39" s="3637"/>
      <c r="Z39" s="1306">
        <f t="shared" si="13"/>
        <v>111</v>
      </c>
      <c r="AA39" s="1307">
        <f t="shared" si="3"/>
        <v>1</v>
      </c>
      <c r="AB39" s="1307">
        <f t="shared" si="4"/>
        <v>1</v>
      </c>
      <c r="AC39" s="1307">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37"/>
      <c r="Q40" s="1304">
        <f t="shared" si="14"/>
        <v>111</v>
      </c>
      <c r="R40" s="634" t="s">
        <v>25</v>
      </c>
      <c r="S40" s="635">
        <f t="shared" si="10"/>
        <v>100</v>
      </c>
      <c r="T40" s="634" t="s">
        <v>25</v>
      </c>
      <c r="U40" s="635">
        <f t="shared" si="11"/>
        <v>100</v>
      </c>
      <c r="V40" s="634" t="s">
        <v>25</v>
      </c>
      <c r="W40" s="635">
        <f t="shared" si="12"/>
        <v>100</v>
      </c>
      <c r="X40" s="636"/>
      <c r="Y40" s="3637"/>
      <c r="Z40" s="637">
        <f t="shared" si="13"/>
        <v>111</v>
      </c>
      <c r="AA40" s="1307">
        <f t="shared" si="3"/>
        <v>1</v>
      </c>
      <c r="AB40" s="1307">
        <f t="shared" si="4"/>
        <v>1</v>
      </c>
      <c r="AC40" s="1307">
        <f t="shared" si="5"/>
        <v>1</v>
      </c>
    </row>
    <row r="41" spans="1:29" ht="15">
      <c r="A41" s="367" t="s">
        <v>2358</v>
      </c>
      <c r="B41" s="1559" t="s">
        <v>2433</v>
      </c>
      <c r="C41" s="562" t="s">
        <v>1</v>
      </c>
      <c r="D41" s="369"/>
      <c r="E41" s="370"/>
      <c r="F41" s="371"/>
      <c r="G41" s="372"/>
      <c r="H41" s="373"/>
      <c r="I41" s="370"/>
      <c r="J41" s="373"/>
      <c r="K41" s="640"/>
      <c r="L41" s="3004"/>
      <c r="M41" s="2993"/>
      <c r="N41" s="2993"/>
      <c r="P41" s="3631" t="str">
        <f>A41</f>
        <v>成交单价</v>
      </c>
      <c r="Q41" s="3631"/>
      <c r="R41" s="3664">
        <f>E41</f>
        <v>0</v>
      </c>
      <c r="S41" s="3664"/>
      <c r="T41" s="3664">
        <f>G41</f>
        <v>0</v>
      </c>
      <c r="U41" s="3664"/>
      <c r="V41" s="3664">
        <f>I41</f>
        <v>0</v>
      </c>
      <c r="W41" s="3664"/>
      <c r="X41" s="618"/>
      <c r="Y41" s="638"/>
      <c r="Z41" s="618"/>
      <c r="AA41" s="618"/>
      <c r="AB41" s="618"/>
      <c r="AC41" s="618"/>
    </row>
    <row r="42" spans="1:29" ht="15.75" thickBot="1">
      <c r="A42" s="374" t="s">
        <v>2311</v>
      </c>
      <c r="B42" s="563"/>
      <c r="C42" s="377" t="e">
        <f>R43</f>
        <v>#DIV/0!</v>
      </c>
      <c r="D42" s="1765" t="s">
        <v>2683</v>
      </c>
      <c r="E42" s="377" t="e">
        <f>R42</f>
        <v>#DIV/0!</v>
      </c>
      <c r="F42" s="1767"/>
      <c r="G42" s="376" t="e">
        <f>T42</f>
        <v>#DIV/0!</v>
      </c>
      <c r="H42" s="1767"/>
      <c r="I42" s="377" t="e">
        <f>V42</f>
        <v>#DIV/0!</v>
      </c>
      <c r="J42" s="1767"/>
      <c r="K42" s="2479">
        <f>F42+H42+J42</f>
        <v>0</v>
      </c>
      <c r="L42" s="3004"/>
      <c r="M42" s="2993"/>
      <c r="N42" s="2993"/>
      <c r="P42" s="3631" t="str">
        <f>A42</f>
        <v>比较价值（元/平方米）</v>
      </c>
      <c r="Q42" s="3631"/>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2334</v>
      </c>
      <c r="B43" s="379"/>
      <c r="C43" s="380" t="e">
        <f>R43</f>
        <v>#DIV/0!</v>
      </c>
      <c r="D43" s="380"/>
      <c r="E43" s="380"/>
      <c r="F43" s="380"/>
      <c r="G43" s="380"/>
      <c r="H43" s="380"/>
      <c r="I43" s="380"/>
      <c r="J43" s="380"/>
      <c r="K43" s="641"/>
      <c r="L43" s="3004"/>
      <c r="M43" s="2993"/>
      <c r="N43" s="2993"/>
      <c r="P43" s="3633" t="str">
        <f>A43</f>
        <v>估价对象XX用房的比较价值（楼面单价，元/平方米）</v>
      </c>
      <c r="Q43" s="3634"/>
      <c r="R43" s="3675" t="e">
        <f>ROUND(IF(D42="简单平均",AVERAGE(R42:W42),R42*F42+T42*H42+V42*J42),0)</f>
        <v>#DIV/0!</v>
      </c>
      <c r="S43" s="3675"/>
      <c r="T43" s="3675"/>
      <c r="U43" s="3675"/>
      <c r="V43" s="3675"/>
      <c r="W43" s="3675"/>
      <c r="X43" s="618"/>
      <c r="Y43" s="618"/>
      <c r="Z43" s="618"/>
      <c r="AA43" s="618"/>
      <c r="AB43" s="618"/>
      <c r="AC43" s="618"/>
    </row>
    <row r="44" spans="1:29">
      <c r="G44" s="3007"/>
      <c r="M44" s="2993"/>
      <c r="N44" s="2993"/>
    </row>
    <row r="45" spans="1:29">
      <c r="M45" s="2993"/>
      <c r="N45" s="2993"/>
    </row>
    <row r="46" spans="1:29" ht="13.5" customHeight="1">
      <c r="C46" s="383" t="s">
        <v>2313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2396</v>
      </c>
      <c r="B50" s="565" t="s">
        <v>2397</v>
      </c>
      <c r="C50" s="1560" t="s">
        <v>2398</v>
      </c>
      <c r="D50" s="1561" t="s">
        <v>2399</v>
      </c>
      <c r="E50" s="566" t="s">
        <v>2400</v>
      </c>
      <c r="F50" s="567" t="s">
        <v>2401</v>
      </c>
      <c r="G50" s="1306" t="s">
        <v>2434</v>
      </c>
      <c r="H50" s="1306" t="str">
        <f>项目基本情况!G8</f>
        <v>昌平区</v>
      </c>
      <c r="I50" s="1280" t="s">
        <v>2403</v>
      </c>
      <c r="J50" s="958"/>
      <c r="K50" s="956"/>
    </row>
    <row r="51" spans="1:17" s="572" customFormat="1">
      <c r="A51" s="568" t="s">
        <v>2404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2407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2408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2409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2414</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2316</v>
      </c>
      <c r="B64" s="618"/>
      <c r="C64" s="621"/>
      <c r="D64" s="621"/>
      <c r="E64" s="621"/>
      <c r="F64" s="622"/>
      <c r="G64" s="622"/>
      <c r="H64" s="621"/>
      <c r="I64" s="963"/>
      <c r="J64" s="963"/>
      <c r="K64" s="961"/>
      <c r="L64" s="962"/>
      <c r="M64" s="963"/>
      <c r="N64" s="963"/>
      <c r="O64" s="963"/>
      <c r="P64" s="389"/>
      <c r="Q64" s="390"/>
    </row>
    <row r="65" spans="1:17" s="394" customFormat="1" ht="15">
      <c r="A65" s="1563" t="s">
        <v>2415</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68" t="s">
        <v>2435</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2236</v>
      </c>
      <c r="B67" s="401"/>
      <c r="C67" s="402"/>
      <c r="D67" s="403"/>
      <c r="E67" s="403"/>
      <c r="F67" s="403"/>
      <c r="G67" s="403"/>
      <c r="H67" s="403"/>
      <c r="I67" s="403"/>
      <c r="J67" s="403"/>
      <c r="K67" s="403"/>
      <c r="L67" s="403"/>
      <c r="M67" s="404"/>
      <c r="N67" s="403"/>
      <c r="O67" s="1156"/>
      <c r="P67" s="390"/>
      <c r="Q67" s="390"/>
    </row>
    <row r="68" spans="1:17" s="25" customFormat="1" ht="15">
      <c r="A68" s="406" t="s">
        <v>2200</v>
      </c>
      <c r="B68" s="396"/>
      <c r="C68" s="407" t="s">
        <v>2201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2239</v>
      </c>
      <c r="B70" s="413" t="s">
        <v>2204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2209</v>
      </c>
      <c r="B83" s="413" t="s">
        <v>2343</v>
      </c>
      <c r="C83" s="461" t="s">
        <v>2248</v>
      </c>
      <c r="D83" s="461" t="s">
        <v>2249</v>
      </c>
      <c r="E83" s="461" t="s">
        <v>2250</v>
      </c>
      <c r="F83" s="461" t="s">
        <v>2251</v>
      </c>
      <c r="G83" s="461" t="s">
        <v>2252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2253</v>
      </c>
      <c r="C85" s="466" t="s">
        <v>2248</v>
      </c>
      <c r="D85" s="466" t="s">
        <v>2249</v>
      </c>
      <c r="E85" s="466" t="s">
        <v>2250</v>
      </c>
      <c r="F85" s="466" t="s">
        <v>2251</v>
      </c>
      <c r="G85" s="466" t="s">
        <v>2252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2418</v>
      </c>
      <c r="C87" s="461" t="s">
        <v>2248</v>
      </c>
      <c r="D87" s="461" t="s">
        <v>2249</v>
      </c>
      <c r="E87" s="461" t="s">
        <v>2250</v>
      </c>
      <c r="F87" s="461" t="s">
        <v>2251</v>
      </c>
      <c r="G87" s="461" t="s">
        <v>2252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2419</v>
      </c>
      <c r="C89" s="461" t="s">
        <v>2248</v>
      </c>
      <c r="D89" s="461" t="s">
        <v>2249</v>
      </c>
      <c r="E89" s="461" t="s">
        <v>2250</v>
      </c>
      <c r="F89" s="461" t="s">
        <v>2251</v>
      </c>
      <c r="G89" s="461" t="s">
        <v>2252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2296</v>
      </c>
      <c r="C91" s="461" t="s">
        <v>2248</v>
      </c>
      <c r="D91" s="461" t="s">
        <v>2249</v>
      </c>
      <c r="E91" s="461" t="s">
        <v>2250</v>
      </c>
      <c r="F91" s="461" t="s">
        <v>2251</v>
      </c>
      <c r="G91" s="461" t="s">
        <v>2252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2297</v>
      </c>
      <c r="C93" s="426" t="s">
        <v>2255</v>
      </c>
      <c r="D93" s="426" t="s">
        <v>2256</v>
      </c>
      <c r="E93" s="426" t="s">
        <v>2257</v>
      </c>
      <c r="F93" s="426" t="s">
        <v>2258</v>
      </c>
      <c r="G93" s="426" t="s">
        <v>2259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2420</v>
      </c>
      <c r="D95" s="426" t="s">
        <v>2421</v>
      </c>
      <c r="E95" s="426" t="s">
        <v>2422</v>
      </c>
      <c r="F95" s="426" t="s">
        <v>2423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2389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2214</v>
      </c>
      <c r="B107" s="413" t="s">
        <v>2424</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2436</v>
      </c>
      <c r="B1" s="2066"/>
      <c r="C1" s="2067" t="s">
        <v>2437</v>
      </c>
      <c r="D1" s="2068">
        <f>SUM(D29:D30,D33:D39)</f>
        <v>718.89</v>
      </c>
      <c r="E1" s="2068"/>
      <c r="F1" s="2068"/>
      <c r="G1" s="2068"/>
      <c r="H1" s="2068"/>
      <c r="I1" s="2068"/>
      <c r="J1" s="2068"/>
      <c r="K1" s="3017"/>
      <c r="L1" s="2069" t="s">
        <v>2438</v>
      </c>
      <c r="M1" s="2070">
        <f>SUMPRODUCT((区片价!B5:B9=I2)*(区片价!C3:F3=E2)*(区片价!C5:F9))</f>
        <v>0</v>
      </c>
      <c r="N1" s="2071">
        <f>SUMPRODUCT((因素修正幅度!B5:B9=I2)*(因素修正幅度!C3:F3=E2)*(因素修正幅度!C5:F9))</f>
        <v>0</v>
      </c>
      <c r="O1" s="3017"/>
      <c r="P1" s="3017"/>
      <c r="Q1" s="3017"/>
      <c r="R1" s="2072" t="s">
        <v>2439</v>
      </c>
      <c r="S1" s="2072" t="s">
        <v>2440</v>
      </c>
      <c r="T1" s="2072" t="s">
        <v>2441</v>
      </c>
      <c r="U1" s="2072" t="s">
        <v>2442</v>
      </c>
      <c r="V1" s="2072" t="s">
        <v>2443</v>
      </c>
      <c r="W1" s="2073"/>
      <c r="X1" s="2073"/>
      <c r="Y1" s="2073"/>
      <c r="Z1" s="2073"/>
      <c r="AA1" s="2073"/>
      <c r="AB1" s="2073"/>
      <c r="AC1" s="2073"/>
      <c r="AD1" s="2074"/>
      <c r="AE1" s="2074"/>
      <c r="AF1" s="2074"/>
      <c r="AG1" s="2074"/>
      <c r="AH1" s="2074"/>
      <c r="AI1" s="2074"/>
      <c r="AJ1" s="2075"/>
    </row>
    <row r="2" spans="1:36" ht="24.75">
      <c r="A2" s="1929" t="s">
        <v>2444</v>
      </c>
      <c r="B2" s="1627">
        <f>C26</f>
        <v>0</v>
      </c>
      <c r="C2" s="2076" t="s">
        <v>2445</v>
      </c>
      <c r="D2" s="1570" t="s">
        <v>2446</v>
      </c>
      <c r="E2" s="2077" t="s">
        <v>2822</v>
      </c>
      <c r="F2" s="1570" t="s">
        <v>2447</v>
      </c>
      <c r="G2" s="2078">
        <f>项目基本情况!F9</f>
        <v>0</v>
      </c>
      <c r="H2" s="1571" t="s">
        <v>2448</v>
      </c>
      <c r="I2" s="2078">
        <f>项目基本情况!F10</f>
        <v>0</v>
      </c>
      <c r="J2" s="2079"/>
      <c r="K2" s="3017"/>
      <c r="L2" s="2080" t="s">
        <v>2449</v>
      </c>
      <c r="M2" s="2081">
        <f>SUMPRODUCT((区片价!B10:B28=I2)*(区片价!C3:F3=E2)*(区片价!C10:F28))</f>
        <v>0</v>
      </c>
      <c r="N2" s="2082">
        <f>SUMPRODUCT((因素修正幅度!B10:B28=I2)*(因素修正幅度!C3:F3=E2)*(因素修正幅度!C10:F28))</f>
        <v>0</v>
      </c>
      <c r="O2" s="3017"/>
      <c r="P2" s="3017"/>
      <c r="Q2" s="3017"/>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5.5">
      <c r="A3" s="1627" t="s">
        <v>2450</v>
      </c>
      <c r="B3" s="1627">
        <f>ROUND(B2/D1,0)</f>
        <v>0</v>
      </c>
      <c r="C3" s="2076" t="s">
        <v>2451</v>
      </c>
      <c r="D3" s="1570" t="s">
        <v>2452</v>
      </c>
      <c r="E3" s="2077" t="s">
        <v>2824</v>
      </c>
      <c r="F3" s="1572" t="s">
        <v>2453</v>
      </c>
      <c r="G3" s="2084">
        <f>项目基本情况!C15</f>
        <v>0</v>
      </c>
      <c r="H3" s="50" t="s">
        <v>2454</v>
      </c>
      <c r="I3" s="2085"/>
      <c r="J3" s="2079" t="s">
        <v>2455</v>
      </c>
      <c r="K3" s="3017"/>
      <c r="L3" s="2080" t="s">
        <v>2456</v>
      </c>
      <c r="M3" s="2081">
        <f>SUMPRODUCT((区片价!B29:B48=I2)*(区片价!C3:F3=E2)*(区片价!C29:F48))</f>
        <v>0</v>
      </c>
      <c r="N3" s="2082">
        <f>SUMPRODUCT((因素修正幅度!B29:B48=I2)*(因素修正幅度!C3:F3=E2)*(因素修正幅度!C29:F48))</f>
        <v>0</v>
      </c>
      <c r="O3" s="3017"/>
      <c r="P3" s="3017"/>
      <c r="Q3" s="3017"/>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75">
      <c r="A4" s="3679"/>
      <c r="B4" s="3680"/>
      <c r="C4" s="3680"/>
      <c r="D4" s="3681"/>
      <c r="E4" s="3681"/>
      <c r="F4" s="3681"/>
      <c r="G4" s="3681"/>
      <c r="H4" s="3681"/>
      <c r="I4" s="3681"/>
      <c r="J4" s="3682"/>
      <c r="K4" s="3017"/>
      <c r="L4" s="2080" t="s">
        <v>2457</v>
      </c>
      <c r="M4" s="2081">
        <f>SUMPRODUCT((区片价!B49:B75=I2)*(区片价!C3:F3=E2)*(区片价!C49:F75))</f>
        <v>0</v>
      </c>
      <c r="N4" s="2082">
        <f>SUMPRODUCT((因素修正幅度!B49:B75=I2)*(因素修正幅度!C3:F3=E2)*(因素修正幅度!C49:F75))</f>
        <v>0</v>
      </c>
      <c r="O4" s="3017"/>
      <c r="P4" s="3017"/>
      <c r="Q4" s="3017"/>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75" thickBot="1">
      <c r="A5" s="1573" t="s">
        <v>2458</v>
      </c>
      <c r="B5" s="1573" t="s">
        <v>2459</v>
      </c>
      <c r="C5" s="2086">
        <f>ROUND(IF(E2="商业",C6*C7+C16,(IF(E2="住宅",C6*C12+C16,C6+C16))),0)</f>
        <v>0</v>
      </c>
      <c r="D5" s="2087">
        <f>ROUND(C6+C16,0)</f>
        <v>0</v>
      </c>
      <c r="E5" s="2087"/>
      <c r="F5" s="2088"/>
      <c r="G5" s="2089"/>
      <c r="H5" s="2089"/>
      <c r="I5" s="2089"/>
      <c r="J5" s="2046"/>
      <c r="K5" s="1635"/>
      <c r="L5" s="2080" t="s">
        <v>2460</v>
      </c>
      <c r="M5" s="2081">
        <f>SUMPRODUCT((区片价!B76:B109=I2)*(区片价!C3:F3=E2)*(区片价!C76:F109))</f>
        <v>0</v>
      </c>
      <c r="N5" s="2082">
        <f>SUMPRODUCT((因素修正幅度!B76:B109=I2)*(因素修正幅度!C3:F3=E2)*(因素修正幅度!C76:F109))</f>
        <v>0</v>
      </c>
      <c r="O5" s="3017"/>
      <c r="P5" s="3017"/>
      <c r="Q5" s="3017"/>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75" thickBot="1">
      <c r="A6" s="2094">
        <v>1</v>
      </c>
      <c r="B6" s="1574" t="s">
        <v>2461</v>
      </c>
      <c r="C6" s="2095">
        <f>SUMIF(L1:L12,G2,M1:M12)</f>
        <v>0</v>
      </c>
      <c r="D6" s="2096" t="s">
        <v>2462</v>
      </c>
      <c r="E6" s="1574"/>
      <c r="F6" s="1574"/>
      <c r="G6" s="2097"/>
      <c r="H6" s="2097"/>
      <c r="I6" s="2097"/>
      <c r="J6" s="2098"/>
      <c r="K6" s="3018"/>
      <c r="L6" s="2080" t="s">
        <v>2463</v>
      </c>
      <c r="M6" s="2081">
        <f>SUMPRODUCT((区片价!B110:B157=I2)*(区片价!C3:F3=E2)*(区片价!C110:F157))</f>
        <v>0</v>
      </c>
      <c r="N6" s="2082">
        <f>SUMPRODUCT((因素修正幅度!B110:B157=I2)*(因素修正幅度!C3:F3=E2)*(因素修正幅度!C110:F157))</f>
        <v>0</v>
      </c>
      <c r="O6" s="3017"/>
      <c r="P6" s="3017"/>
      <c r="Q6" s="3017"/>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683" t="str">
        <f>IF(E2="商业",IF(C8="不临58条商业街","",2),"")</f>
        <v/>
      </c>
      <c r="B7" s="1575" t="s">
        <v>2464</v>
      </c>
      <c r="C7" s="2099" t="e">
        <f>IF(C8="不临58条商业街",1,ROUND(1+(1.6*E8+1.2*E9+0.8*E10+0.4*E11)*C9,4))</f>
        <v>#DIV/0!</v>
      </c>
      <c r="D7" s="2100" t="s">
        <v>2465</v>
      </c>
      <c r="E7" s="2101"/>
      <c r="F7" s="2102"/>
      <c r="G7" s="2102"/>
      <c r="H7" s="2102"/>
      <c r="I7" s="2102"/>
      <c r="J7" s="2103"/>
      <c r="K7" s="3018"/>
      <c r="L7" s="2080" t="s">
        <v>2466</v>
      </c>
      <c r="M7" s="2081">
        <f>SUMPRODUCT((区片价!B158:B205=I2)*(区片价!C3:F3=E2)*(区片价!C158:F205))</f>
        <v>0</v>
      </c>
      <c r="N7" s="2082">
        <f>SUMPRODUCT((因素修正幅度!B158:B205=I2)*(因素修正幅度!C3:F3=E2)*(因素修正幅度!C158:F205))</f>
        <v>0</v>
      </c>
      <c r="O7" s="3017"/>
      <c r="P7" s="3017"/>
      <c r="Q7" s="3017"/>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2467</v>
      </c>
      <c r="X7" s="2105">
        <f>G2</f>
        <v>0</v>
      </c>
      <c r="Y7" s="2105" t="s">
        <v>2468</v>
      </c>
      <c r="Z7" s="2106">
        <f>G3</f>
        <v>0</v>
      </c>
      <c r="AA7" s="2073"/>
      <c r="AB7" s="2073"/>
      <c r="AC7" s="2073"/>
      <c r="AD7" s="2074"/>
      <c r="AE7" s="2074"/>
      <c r="AF7" s="2074"/>
      <c r="AG7" s="2074"/>
      <c r="AH7" s="2074"/>
      <c r="AI7" s="2074"/>
      <c r="AJ7" s="2075"/>
    </row>
    <row r="8" spans="1:36" ht="15">
      <c r="A8" s="3684"/>
      <c r="B8" s="50" t="s">
        <v>2469</v>
      </c>
      <c r="C8" s="2107"/>
      <c r="D8" s="65" t="s">
        <v>89</v>
      </c>
      <c r="E8" s="2108" t="e">
        <f>ROUND(C11/E7,4)</f>
        <v>#DIV/0!</v>
      </c>
      <c r="F8" s="2109" t="s">
        <v>2470</v>
      </c>
      <c r="G8" s="2110"/>
      <c r="H8" s="2110"/>
      <c r="I8" s="2110"/>
      <c r="J8" s="2111"/>
      <c r="K8" s="3017"/>
      <c r="L8" s="2080" t="s">
        <v>2471</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1"/>
        <v>0</v>
      </c>
      <c r="U8" s="2083"/>
      <c r="V8" s="2072">
        <f t="shared" si="0"/>
        <v>0</v>
      </c>
      <c r="W8" s="3677" t="s">
        <v>2472</v>
      </c>
      <c r="X8" s="3678"/>
      <c r="Y8" s="2112" t="s">
        <v>2473</v>
      </c>
      <c r="Z8" s="2112" t="s">
        <v>2474</v>
      </c>
      <c r="AA8" s="2112" t="s">
        <v>2475</v>
      </c>
      <c r="AB8" s="2112" t="s">
        <v>2476</v>
      </c>
      <c r="AC8" s="2112" t="s">
        <v>2477</v>
      </c>
      <c r="AD8" s="2112" t="s">
        <v>2478</v>
      </c>
      <c r="AE8" s="2112" t="s">
        <v>2479</v>
      </c>
      <c r="AF8" s="2112" t="s">
        <v>2480</v>
      </c>
      <c r="AG8" s="2112" t="s">
        <v>2481</v>
      </c>
      <c r="AH8" s="2112" t="s">
        <v>2482</v>
      </c>
      <c r="AI8" s="2112" t="s">
        <v>2483</v>
      </c>
      <c r="AJ8" s="2112" t="s">
        <v>2484</v>
      </c>
    </row>
    <row r="9" spans="1:36" ht="15">
      <c r="A9" s="3684"/>
      <c r="B9" s="50" t="s">
        <v>2485</v>
      </c>
      <c r="C9" s="2113">
        <f>SUMIF(修正!C59:C119,C8,修正!E59:E119)</f>
        <v>0</v>
      </c>
      <c r="D9" s="50" t="s">
        <v>90</v>
      </c>
      <c r="E9" s="50" t="e">
        <f>ROUND(C11/E7,4)</f>
        <v>#DIV/0!</v>
      </c>
      <c r="F9" s="2109" t="s">
        <v>2486</v>
      </c>
      <c r="G9" s="2110"/>
      <c r="H9" s="2110"/>
      <c r="I9" s="2110"/>
      <c r="J9" s="2111"/>
      <c r="K9" s="3017"/>
      <c r="L9" s="2080" t="s">
        <v>2487</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1"/>
        <v>0</v>
      </c>
      <c r="U9" s="2083"/>
      <c r="V9" s="2072">
        <f t="shared" ref="V9:V16" si="2">ROUND(T9*U9,0)</f>
        <v>0</v>
      </c>
      <c r="W9" s="3678" t="s">
        <v>2488</v>
      </c>
      <c r="X9" s="2114" t="s">
        <v>2489</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684"/>
      <c r="B10" s="50" t="s">
        <v>2490</v>
      </c>
      <c r="C10" s="50">
        <f>SUMIF(修正!C59:C119,C8,修正!F59:F119)</f>
        <v>0</v>
      </c>
      <c r="D10" s="50" t="s">
        <v>91</v>
      </c>
      <c r="E10" s="50" t="e">
        <f>ROUND(C11/E7,4)</f>
        <v>#DIV/0!</v>
      </c>
      <c r="F10" s="2109" t="s">
        <v>2491</v>
      </c>
      <c r="G10" s="2110"/>
      <c r="H10" s="2110"/>
      <c r="I10" s="2110"/>
      <c r="J10" s="2111"/>
      <c r="K10" s="3017"/>
      <c r="L10" s="2080" t="s">
        <v>2492</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1"/>
        <v>0</v>
      </c>
      <c r="U10" s="2083"/>
      <c r="V10" s="2072">
        <f t="shared" si="2"/>
        <v>0</v>
      </c>
      <c r="W10" s="3678"/>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84"/>
      <c r="B11" s="1576" t="s">
        <v>2493</v>
      </c>
      <c r="C11" s="1576">
        <f>C10/4</f>
        <v>0</v>
      </c>
      <c r="D11" s="1576" t="s">
        <v>92</v>
      </c>
      <c r="E11" s="1576" t="e">
        <f>ROUND(C11/E7,4)</f>
        <v>#DIV/0!</v>
      </c>
      <c r="F11" s="2118" t="s">
        <v>2494</v>
      </c>
      <c r="G11" s="2119"/>
      <c r="H11" s="2119"/>
      <c r="I11" s="2119"/>
      <c r="J11" s="2120"/>
      <c r="K11" s="3017"/>
      <c r="L11" s="2080" t="s">
        <v>2495</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1"/>
        <v>0</v>
      </c>
      <c r="U11" s="2083"/>
      <c r="V11" s="2072">
        <f t="shared" si="2"/>
        <v>0</v>
      </c>
      <c r="W11" s="3678" t="s">
        <v>2496</v>
      </c>
      <c r="X11" s="2121" t="s">
        <v>2497</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5" thickBot="1">
      <c r="A12" s="3683">
        <f>IF(E2="住宅",2,"")</f>
        <v>2</v>
      </c>
      <c r="B12" s="1577" t="s">
        <v>2498</v>
      </c>
      <c r="C12" s="2099">
        <f>ROUND(C15*D15*E15*F15*G15*H15*I15*J15,4)</f>
        <v>1.32</v>
      </c>
      <c r="D12" s="2123" t="s">
        <v>2499</v>
      </c>
      <c r="E12" s="2124"/>
      <c r="F12" s="2124"/>
      <c r="G12" s="2124"/>
      <c r="H12" s="2124"/>
      <c r="I12" s="2124"/>
      <c r="J12" s="2125"/>
      <c r="K12" s="3017"/>
      <c r="L12" s="2126" t="s">
        <v>2500</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1"/>
        <v>0</v>
      </c>
      <c r="U12" s="2083"/>
      <c r="V12" s="2072">
        <f t="shared" si="2"/>
        <v>0</v>
      </c>
      <c r="W12" s="3678"/>
      <c r="X12" s="2129" t="s">
        <v>2501</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685"/>
      <c r="B13" s="1578" t="s">
        <v>2502</v>
      </c>
      <c r="C13" s="2130" t="s">
        <v>2503</v>
      </c>
      <c r="D13" s="1579" t="s">
        <v>2504</v>
      </c>
      <c r="E13" s="1579" t="s">
        <v>2505</v>
      </c>
      <c r="F13" s="264" t="s">
        <v>2506</v>
      </c>
      <c r="G13" s="2131" t="s">
        <v>2507</v>
      </c>
      <c r="H13" s="2131" t="s">
        <v>2507</v>
      </c>
      <c r="I13" s="2131" t="s">
        <v>2507</v>
      </c>
      <c r="J13" s="2132" t="s">
        <v>2507</v>
      </c>
      <c r="K13" s="3017"/>
      <c r="L13" s="3017"/>
      <c r="M13" s="3017"/>
      <c r="N13" s="3017"/>
      <c r="O13" s="3017"/>
      <c r="P13" s="3017"/>
      <c r="Q13" s="3017"/>
      <c r="R13" s="2072">
        <v>12</v>
      </c>
      <c r="S13" s="2083"/>
      <c r="T13" s="2072">
        <f t="shared" si="1"/>
        <v>0</v>
      </c>
      <c r="U13" s="2083"/>
      <c r="V13" s="2072">
        <f t="shared" si="2"/>
        <v>0</v>
      </c>
      <c r="W13" s="3678"/>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685"/>
      <c r="B14" s="1579"/>
      <c r="C14" s="2133" t="s">
        <v>2508</v>
      </c>
      <c r="D14" s="2134" t="s">
        <v>2509</v>
      </c>
      <c r="E14" s="2134" t="s">
        <v>2509</v>
      </c>
      <c r="F14" s="2135" t="s">
        <v>2510</v>
      </c>
      <c r="G14" s="2136" t="s">
        <v>2511</v>
      </c>
      <c r="H14" s="2137"/>
      <c r="I14" s="2138"/>
      <c r="J14" s="2139"/>
      <c r="K14" s="3017"/>
      <c r="L14" s="3017"/>
      <c r="M14" s="3017"/>
      <c r="N14" s="3017"/>
      <c r="O14" s="3017"/>
      <c r="P14" s="3017"/>
      <c r="Q14" s="3017"/>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686"/>
      <c r="B15" s="1580" t="s">
        <v>2512</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87">
        <f>IF(E2="办公",2,IF(E2="工业",2,IF(E2="住宅",3,IF(E2="商业",IF(C8="不临58条商业街",2,3)))))</f>
        <v>3</v>
      </c>
      <c r="B16" s="1599" t="s">
        <v>2518</v>
      </c>
      <c r="C16" s="1575">
        <f>ROUND(IF(F17="与级别开发程度一致",0,(G17-E17)/C17),0)</f>
        <v>0</v>
      </c>
      <c r="D16" s="3700" t="s">
        <v>2522</v>
      </c>
      <c r="E16" s="3701"/>
      <c r="F16" s="3700" t="s">
        <v>2519</v>
      </c>
      <c r="G16" s="3701"/>
      <c r="H16" s="2143"/>
      <c r="I16" s="2143"/>
      <c r="J16" s="2144"/>
      <c r="K16" s="2143"/>
      <c r="L16" s="2143"/>
      <c r="M16" s="2143"/>
      <c r="N16" s="2143"/>
      <c r="O16" s="2145"/>
      <c r="P16" s="3017"/>
      <c r="Q16" s="3017"/>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688"/>
      <c r="B17" s="1600" t="s">
        <v>2521</v>
      </c>
      <c r="C17" s="2146">
        <f>SUMPRODUCT((修正!A2:A5=E2)*(修正!B1:M1=G2)*(修正!B2:M5))</f>
        <v>0</v>
      </c>
      <c r="D17" s="2140" t="str">
        <f>IF(OR(G2="八级",G2="九级",G2="十级",G2="十一级",G2="十二级"),"五通一平","七通一平")</f>
        <v>七通一平</v>
      </c>
      <c r="E17" s="2147">
        <f>SUMPRODUCT((修正!B1:M1=G2)*(修正!B15:M15))</f>
        <v>0</v>
      </c>
      <c r="F17" s="2148" t="s">
        <v>2825</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2524</v>
      </c>
      <c r="B18" s="1598" t="s">
        <v>2525</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2526</v>
      </c>
      <c r="B19" s="1581" t="s">
        <v>2527</v>
      </c>
      <c r="C19" s="2157">
        <f>ROUND(IF(H19="按公示增长率计算",SUMPRODUCT((地价!A3:A37=YEAR(G19)&amp;"-"&amp;ROUNDUP(MONTH(G19)/3,0))*(地价!X2:AB2=E2)*(地价!X3:AB37)),IF(H19="地价指数",M20/M19,(1+I19)^O19)),4)</f>
        <v>0</v>
      </c>
      <c r="D19" s="2158" t="s">
        <v>2528</v>
      </c>
      <c r="E19" s="2159">
        <v>41640</v>
      </c>
      <c r="F19" s="2158" t="s">
        <v>2529</v>
      </c>
      <c r="G19" s="2160">
        <f>'数据-取费表'!B2</f>
        <v>44664</v>
      </c>
      <c r="H19" s="2161" t="s">
        <v>2663</v>
      </c>
      <c r="I19" s="2162" t="str">
        <f>IF(H19="季度增幅（自定义）",SUMIF(N21:N24,E2,O21:O24),"")</f>
        <v/>
      </c>
      <c r="J19" s="2163"/>
      <c r="K19" s="3019"/>
      <c r="L19" s="2044" t="s">
        <v>2530</v>
      </c>
      <c r="M19" s="2164">
        <f>ROUND(SUMIF(地价!B2:F2,E2,地价!B37:F37),0)</f>
        <v>423</v>
      </c>
      <c r="N19" s="2165" t="s">
        <v>2531</v>
      </c>
      <c r="O19" s="2166">
        <f>ROUNDDOWN(DATEDIF(E19,G19,"M")/3,0)</f>
        <v>33</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2532</v>
      </c>
      <c r="B20" s="1582" t="s">
        <v>2533</v>
      </c>
      <c r="C20" s="2169">
        <f>ROUND(POWER(1+G20,J20-I20)*(POWER(1+G20,I20)-1)/(POWER(1+G20,J20)-1),4)</f>
        <v>0.87980000000000003</v>
      </c>
      <c r="D20" s="2170" t="s">
        <v>2534</v>
      </c>
      <c r="E20" s="3122">
        <f>存贷款利率!E20/100</f>
        <v>4.3499999999999997E-2</v>
      </c>
      <c r="F20" s="2170" t="s">
        <v>2523</v>
      </c>
      <c r="G20" s="3123">
        <f>SUMIF(M26:P26,E2,M28:P28)</f>
        <v>0.05</v>
      </c>
      <c r="H20" s="2170" t="s">
        <v>2535</v>
      </c>
      <c r="I20" s="2171">
        <f>'数据-取费表'!B13</f>
        <v>39</v>
      </c>
      <c r="J20" s="2172">
        <f>IF(E2="住宅",70,IF(E2="商业",40,50))</f>
        <v>70</v>
      </c>
      <c r="K20" s="3019"/>
      <c r="L20" s="2173" t="s">
        <v>2536</v>
      </c>
      <c r="M20" s="2174">
        <f>ROUND(SUMPRODUCT((地价!A4:A37=YEAR(G19)&amp;"-"&amp;ROUNDUP(MONTH(G19)/3,0))*(地价!B2:F2=E2)*(地价!B4:F37)),0)</f>
        <v>0</v>
      </c>
      <c r="N20" s="2175" t="s">
        <v>2537</v>
      </c>
      <c r="O20" s="2176" t="s">
        <v>2538</v>
      </c>
      <c r="P20" s="2177" t="s">
        <v>2539</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2540</v>
      </c>
      <c r="B21" s="1583" t="s">
        <v>2541</v>
      </c>
      <c r="C21" s="2179">
        <f>IF(B21="容积率修正",IF(G3&lt;=10,D22,J22),C23)</f>
        <v>0</v>
      </c>
      <c r="D21" s="2180"/>
      <c r="E21" s="2180"/>
      <c r="F21" s="2180"/>
      <c r="G21" s="2180"/>
      <c r="H21" s="2180"/>
      <c r="I21" s="2180"/>
      <c r="J21" s="2045"/>
      <c r="K21" s="3019"/>
      <c r="L21" s="3019"/>
      <c r="M21" s="3019"/>
      <c r="N21" s="2181" t="s">
        <v>2542</v>
      </c>
      <c r="O21" s="2182"/>
      <c r="P21" s="2183">
        <f>SUMPRODUCT((地价!A3:A37=YEAR(G19)&amp;"-"&amp;ROUNDUP(MONTH(G19)/3,0))*(地价!AD2:AH2=N21)*(地价!AD3:AH37))</f>
        <v>0</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2543</v>
      </c>
      <c r="C22" s="2040" t="s">
        <v>2544</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9"/>
      <c r="L22" s="3019"/>
      <c r="M22" s="3019"/>
      <c r="N22" s="2181" t="s">
        <v>2545</v>
      </c>
      <c r="O22" s="2182"/>
      <c r="P22" s="2183">
        <f>SUMPRODUCT((地价!A3:A37=YEAR(G19)&amp;"-"&amp;ROUNDUP(MONTH(G19)/3,0))*(地价!AD2:AH2=N22)*(地价!AD3:AH37))</f>
        <v>0</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2546</v>
      </c>
      <c r="C23" s="2185" t="e">
        <f>ROUND(IF(G3&gt;1,IF(I3&lt;7,SUMPRODUCT((B93:B98=I3)*(C92:N92=G2)*(C93:N98)),SUMIF(C92:N92,G2,C100:N100)),IF(I3&lt;7,SUMPRODUCT((B102:B107=I3)*(C92:N92=G2)*(C102:N107)),SUMIF(C92:N92,G2,C109:N109))),4)</f>
        <v>#DIV/0!</v>
      </c>
      <c r="D23" s="2137"/>
      <c r="E23" s="2137"/>
      <c r="F23" s="2186"/>
      <c r="G23" s="2187"/>
      <c r="H23" s="1588"/>
      <c r="I23" s="2040"/>
      <c r="J23" s="2184"/>
      <c r="K23" s="3017"/>
      <c r="L23" s="3017"/>
      <c r="M23" s="3017"/>
      <c r="N23" s="2181" t="s">
        <v>2547</v>
      </c>
      <c r="O23" s="2182"/>
      <c r="P23" s="2183">
        <f>SUMPRODUCT((地价!A3:A37=YEAR(G19)&amp;"-"&amp;ROUNDUP(MONTH(G19)/3,0))*(地价!AD2:AH2=N23)*(地价!AD3:AH37))</f>
        <v>0</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2548</v>
      </c>
      <c r="B24" s="1585" t="s">
        <v>2549</v>
      </c>
      <c r="C24" s="2189">
        <f>SUMIF(A46:A88,E2,B46:B88)</f>
        <v>1</v>
      </c>
      <c r="D24" s="2190"/>
      <c r="E24" s="2191"/>
      <c r="F24" s="2191"/>
      <c r="G24" s="2191"/>
      <c r="H24" s="2191"/>
      <c r="I24" s="2191"/>
      <c r="J24" s="2192"/>
      <c r="K24" s="3019"/>
      <c r="L24" s="3019"/>
      <c r="M24" s="3019"/>
      <c r="N24" s="2193" t="s">
        <v>2550</v>
      </c>
      <c r="O24" s="2194"/>
      <c r="P24" s="2195">
        <f>SUMPRODUCT((地价!A3:A37=YEAR(G19)&amp;"-"&amp;ROUNDUP(MONTH(G19)/3,0))*(地价!AD2:AH2=N24)*(地价!AD3:AH37))</f>
        <v>0</v>
      </c>
      <c r="Q24" s="3019"/>
      <c r="R24" s="3017"/>
      <c r="S24" s="3017"/>
      <c r="T24" s="3017"/>
      <c r="U24" s="3017"/>
      <c r="V24" s="3017"/>
      <c r="W24" s="3017"/>
      <c r="X24" s="1591"/>
      <c r="Y24" s="1591"/>
      <c r="Z24" s="1591"/>
      <c r="AA24" s="1591"/>
      <c r="AB24" s="1591"/>
      <c r="AC24" s="1591"/>
      <c r="AD24" s="1591"/>
      <c r="AE24" s="2156"/>
      <c r="AF24" s="2156"/>
    </row>
    <row r="25" spans="1:35" ht="15" thickBot="1">
      <c r="A25" s="1686" t="s">
        <v>2551</v>
      </c>
      <c r="B25" s="1586" t="s">
        <v>2552</v>
      </c>
      <c r="C25" s="2196"/>
      <c r="D25" s="2102"/>
      <c r="E25" s="2102"/>
      <c r="F25" s="2197"/>
      <c r="G25" s="2102"/>
      <c r="H25" s="2102"/>
      <c r="I25" s="2102"/>
      <c r="J25" s="2103"/>
      <c r="K25" s="3017"/>
      <c r="L25" s="3017"/>
      <c r="M25" s="3017"/>
      <c r="N25" s="3020" t="s">
        <v>2553</v>
      </c>
      <c r="O25" s="3021"/>
      <c r="P25" s="3022">
        <f>SUMPRODUCT((地价!A3:A37=YEAR(G19)&amp;"-"&amp;ROUNDUP(MONTH(G19)/3,0))*(地价!AD2:AH2=N25)*(地价!AD3:AH37))</f>
        <v>0</v>
      </c>
      <c r="Q25" s="3017"/>
      <c r="R25" s="3017"/>
      <c r="S25" s="3017"/>
      <c r="T25" s="3017"/>
      <c r="U25" s="3017"/>
      <c r="V25" s="3017"/>
      <c r="W25" s="3017"/>
      <c r="X25" s="1591"/>
      <c r="Y25" s="1591"/>
      <c r="Z25" s="1591"/>
      <c r="AA25" s="1591"/>
      <c r="AB25" s="1591"/>
      <c r="AC25" s="1591"/>
      <c r="AD25" s="1591"/>
      <c r="AE25" s="1591"/>
      <c r="AF25" s="1591"/>
    </row>
    <row r="26" spans="1:35" ht="15">
      <c r="A26" s="1671"/>
      <c r="B26" s="2040" t="s">
        <v>2554</v>
      </c>
      <c r="C26" s="2857">
        <f>IF(B21="容积率修正",E29+SUM(E33:E39),SUM(V2:V16)+SUM(E33:E39))</f>
        <v>0</v>
      </c>
      <c r="D26" s="2198"/>
      <c r="E26" s="2137"/>
      <c r="F26" s="1446"/>
      <c r="G26" s="2137"/>
      <c r="H26" s="2137"/>
      <c r="I26" s="2137"/>
      <c r="J26" s="2199"/>
      <c r="K26" s="3017"/>
      <c r="L26" s="3023" t="s">
        <v>2513</v>
      </c>
      <c r="M26" s="2100" t="s">
        <v>2514</v>
      </c>
      <c r="N26" s="2100" t="s">
        <v>2515</v>
      </c>
      <c r="O26" s="2100" t="s">
        <v>2516</v>
      </c>
      <c r="P26" s="3024" t="s">
        <v>2517</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2555</v>
      </c>
      <c r="C27" s="2200">
        <f>E30+SUM(I33:I39)</f>
        <v>0</v>
      </c>
      <c r="D27" s="2149"/>
      <c r="E27" s="2201"/>
      <c r="F27" s="2202"/>
      <c r="G27" s="2201"/>
      <c r="H27" s="2201"/>
      <c r="I27" s="2201"/>
      <c r="J27" s="2203"/>
      <c r="K27" s="3017"/>
      <c r="L27" s="2204" t="s">
        <v>2520</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2556</v>
      </c>
      <c r="C28" s="2207" t="s">
        <v>2557</v>
      </c>
      <c r="D28" s="2207" t="s">
        <v>2558</v>
      </c>
      <c r="E28" s="1586" t="s">
        <v>2559</v>
      </c>
      <c r="F28" s="2208"/>
      <c r="G28" s="2124"/>
      <c r="H28" s="2124"/>
      <c r="I28" s="2124"/>
      <c r="J28" s="2125"/>
      <c r="K28" s="3017"/>
      <c r="L28" s="2209" t="s">
        <v>2523</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2560</v>
      </c>
      <c r="C29" s="54">
        <f>ROUND(C5*C18*C19*C20*C21*C24,0)</f>
        <v>0</v>
      </c>
      <c r="D29" s="2212">
        <f>项目基本情况!C12</f>
        <v>718.89</v>
      </c>
      <c r="E29" s="1999">
        <f>ROUND(C29*D29,0)</f>
        <v>0</v>
      </c>
      <c r="F29" s="2213" t="s">
        <v>2561</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2562</v>
      </c>
      <c r="C30" s="2140">
        <f>ROUND(IF(E2="工业",C29*M39,C29*M38),0)</f>
        <v>0</v>
      </c>
      <c r="D30" s="2217"/>
      <c r="E30" s="1999">
        <f>ROUND(C30*D30,0)</f>
        <v>0</v>
      </c>
      <c r="F30" s="2218" t="s">
        <v>2563</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2564</v>
      </c>
      <c r="C31" s="2222" t="s">
        <v>2565</v>
      </c>
      <c r="D31" s="2124"/>
      <c r="E31" s="2222"/>
      <c r="F31" s="2222"/>
      <c r="G31" s="2123" t="s">
        <v>2566</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2557</v>
      </c>
      <c r="D32" s="1776" t="s">
        <v>2558</v>
      </c>
      <c r="E32" s="1776" t="s">
        <v>2559</v>
      </c>
      <c r="F32" s="50" t="s">
        <v>2567</v>
      </c>
      <c r="G32" s="2185" t="s">
        <v>2557</v>
      </c>
      <c r="H32" s="2185" t="s">
        <v>2558</v>
      </c>
      <c r="I32" s="2185" t="s">
        <v>2559</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97" t="s">
        <v>2568</v>
      </c>
      <c r="B33" s="2225" t="s">
        <v>2569</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98"/>
      <c r="B34" s="2130" t="s">
        <v>2570</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98"/>
      <c r="B35" s="2130" t="s">
        <v>2571</v>
      </c>
      <c r="C35" s="54">
        <f>ROUND(D5*C19*C20*C24*F35,0)</f>
        <v>0</v>
      </c>
      <c r="D35" s="2212"/>
      <c r="E35" s="50">
        <f t="shared" si="7"/>
        <v>0</v>
      </c>
      <c r="F35" s="50">
        <f>SUMIF(修正!A45:A56,G2,修正!D45:D56)</f>
        <v>0</v>
      </c>
      <c r="G35" s="50">
        <f>ROUND(IF(E2="工业",C35*$M$39,C35*$M$38),0)</f>
        <v>0</v>
      </c>
      <c r="H35" s="50">
        <f t="shared" si="10"/>
        <v>0</v>
      </c>
      <c r="I35" s="50">
        <f t="shared" si="9"/>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99"/>
      <c r="B36" s="2130" t="s">
        <v>2572</v>
      </c>
      <c r="C36" s="54">
        <f>ROUND(D5*C19*C20*C24*F36,0)</f>
        <v>0</v>
      </c>
      <c r="D36" s="2212"/>
      <c r="E36" s="50">
        <f t="shared" si="7"/>
        <v>0</v>
      </c>
      <c r="F36" s="50">
        <f>SUMIF(修正!A45:A56,G2,修正!E45:E56)</f>
        <v>0</v>
      </c>
      <c r="G36" s="50">
        <f>ROUND(IF(E2="工业",C36*$M$39,C36*$M$38),0)</f>
        <v>0</v>
      </c>
      <c r="H36" s="50">
        <f t="shared" si="10"/>
        <v>0</v>
      </c>
      <c r="I36" s="50">
        <f t="shared" si="9"/>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2573</v>
      </c>
      <c r="C37" s="50">
        <f>ROUND(D5*C19*C20*C24*F37,0)</f>
        <v>0</v>
      </c>
      <c r="D37" s="2212"/>
      <c r="E37" s="50">
        <f t="shared" si="7"/>
        <v>0</v>
      </c>
      <c r="F37" s="54">
        <f>SUMIF(修正!A45:A56,G2,修正!F45:F56)</f>
        <v>0</v>
      </c>
      <c r="G37" s="50">
        <f>ROUND(IF(E2="工业",C37*$M$39,C37*$M$38),0)</f>
        <v>0</v>
      </c>
      <c r="H37" s="50">
        <f t="shared" si="10"/>
        <v>0</v>
      </c>
      <c r="I37" s="50">
        <f t="shared" si="9"/>
        <v>0</v>
      </c>
      <c r="J37" s="2199"/>
      <c r="K37" s="3017"/>
      <c r="L37" s="2227" t="s">
        <v>2574</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2575</v>
      </c>
      <c r="C38" s="50">
        <f>ROUND(D5*C19*C41*C24*F38,0)</f>
        <v>0</v>
      </c>
      <c r="D38" s="2212"/>
      <c r="E38" s="50">
        <f t="shared" si="7"/>
        <v>0</v>
      </c>
      <c r="F38" s="54">
        <f>SUMIF(修正!A45:A56,G2,修正!G45:G56)</f>
        <v>0</v>
      </c>
      <c r="G38" s="50">
        <f>ROUND(IF(E2="工业",C38*$M$39,C38*$M$38),0)</f>
        <v>0</v>
      </c>
      <c r="H38" s="50">
        <f t="shared" si="10"/>
        <v>0</v>
      </c>
      <c r="I38" s="50">
        <f t="shared" si="9"/>
        <v>0</v>
      </c>
      <c r="J38" s="2199"/>
      <c r="K38" s="3017"/>
      <c r="L38" s="2228" t="s">
        <v>2576</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2577</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7"/>
      <c r="L39" s="2231" t="s">
        <v>2517</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2657</v>
      </c>
      <c r="C41" s="50">
        <f>ROUND(POWER(1+E41,H41-G41)*(POWER(1+E41,G41)-1)/(POWER(1+E41,H41)-1),4)</f>
        <v>0</v>
      </c>
      <c r="D41" s="50" t="s">
        <v>2655</v>
      </c>
      <c r="E41" s="2235">
        <f>G20</f>
        <v>0.05</v>
      </c>
      <c r="F41" s="50" t="s">
        <v>2656</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2578</v>
      </c>
      <c r="B45" s="2238"/>
      <c r="C45" s="608"/>
      <c r="D45" s="608"/>
      <c r="E45" s="608"/>
      <c r="F45" s="608"/>
      <c r="G45" s="608"/>
      <c r="H45" s="608"/>
      <c r="I45" s="608"/>
      <c r="J45" s="608"/>
      <c r="K45" s="608"/>
      <c r="L45" s="608"/>
      <c r="M45" s="608"/>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2579</v>
      </c>
      <c r="B46" s="2240">
        <f>1+E48</f>
        <v>1</v>
      </c>
      <c r="C46" s="2241"/>
      <c r="D46" s="2242"/>
      <c r="E46" s="2243"/>
      <c r="F46" s="2244"/>
      <c r="G46" s="608"/>
      <c r="H46" s="608"/>
      <c r="I46" s="608"/>
      <c r="J46" s="608"/>
      <c r="K46" s="608"/>
      <c r="L46" s="608"/>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2580</v>
      </c>
      <c r="B47" s="2247" t="s">
        <v>2581</v>
      </c>
      <c r="C47" s="2247" t="s">
        <v>2582</v>
      </c>
      <c r="D47" s="2247" t="s">
        <v>2583</v>
      </c>
      <c r="E47" s="2248" t="s">
        <v>2584</v>
      </c>
      <c r="F47" s="2198" t="s">
        <v>2585</v>
      </c>
      <c r="G47" s="2247" t="s">
        <v>2586</v>
      </c>
      <c r="H47" s="2249" t="s">
        <v>2587</v>
      </c>
      <c r="I47" s="2247" t="s">
        <v>2588</v>
      </c>
      <c r="J47" s="1874" t="s">
        <v>2589</v>
      </c>
      <c r="K47" s="1874" t="s">
        <v>2590</v>
      </c>
      <c r="L47" s="1874" t="s">
        <v>2591</v>
      </c>
      <c r="M47" s="1874" t="s">
        <v>2592</v>
      </c>
      <c r="N47" s="1874" t="s">
        <v>2593</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24.75">
      <c r="A48" s="2246" t="s">
        <v>2594</v>
      </c>
      <c r="B48" s="2250">
        <f>估价对象房地状况!C16</f>
        <v>0</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14.25">
      <c r="A49" s="2246" t="s">
        <v>2595</v>
      </c>
      <c r="B49" s="2258" t="str">
        <f>估价对象房地状况!C18</f>
        <v>一般</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2596</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2597</v>
      </c>
      <c r="B51" s="2260" t="s">
        <v>2598</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2599</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2600</v>
      </c>
      <c r="B53" s="2261" t="s">
        <v>2601</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4">
      <c r="A54" s="2262" t="s">
        <v>2602</v>
      </c>
      <c r="B54" s="2263" t="str">
        <f>估价对象房地状况!C21</f>
        <v>较好</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4">
      <c r="A55" s="2262" t="s">
        <v>2603</v>
      </c>
      <c r="B55" s="2258" t="str">
        <f>估价对象房地状况!C22</f>
        <v>七通</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24.75" thickBot="1">
      <c r="A56" s="2264" t="s">
        <v>2604</v>
      </c>
      <c r="B56" s="2265" t="str">
        <f>估价对象房地状况!C20</f>
        <v>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2605</v>
      </c>
      <c r="B57" s="2268">
        <f>1+E59</f>
        <v>1</v>
      </c>
      <c r="C57" s="2242"/>
      <c r="D57" s="2242"/>
      <c r="E57" s="2243"/>
      <c r="F57" s="2244"/>
      <c r="G57" s="608"/>
      <c r="H57" s="608"/>
      <c r="I57" s="608"/>
      <c r="J57" s="608"/>
      <c r="K57" s="608"/>
      <c r="L57" s="608"/>
      <c r="M57" s="608"/>
      <c r="N57" s="608"/>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2580</v>
      </c>
      <c r="B58" s="2258"/>
      <c r="C58" s="2247" t="s">
        <v>2582</v>
      </c>
      <c r="D58" s="2247" t="s">
        <v>2583</v>
      </c>
      <c r="E58" s="2248" t="s">
        <v>2584</v>
      </c>
      <c r="F58" s="2198" t="s">
        <v>2585</v>
      </c>
      <c r="G58" s="2247" t="s">
        <v>2606</v>
      </c>
      <c r="H58" s="2249" t="s">
        <v>2607</v>
      </c>
      <c r="I58" s="2247" t="s">
        <v>2608</v>
      </c>
      <c r="J58" s="1874" t="s">
        <v>2248</v>
      </c>
      <c r="K58" s="1874" t="s">
        <v>2249</v>
      </c>
      <c r="L58" s="1874" t="s">
        <v>2250</v>
      </c>
      <c r="M58" s="1874" t="s">
        <v>2251</v>
      </c>
      <c r="N58" s="1874" t="s">
        <v>2252</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24">
      <c r="A59" s="2246" t="s">
        <v>2609</v>
      </c>
      <c r="B59" s="2250" t="str">
        <f>估价对象房地状况!C17</f>
        <v>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14.25">
      <c r="A60" s="2246" t="s">
        <v>2595</v>
      </c>
      <c r="B60" s="2258" t="str">
        <f>估价对象房地状况!C18</f>
        <v>一般</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2596</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2597</v>
      </c>
      <c r="B62" s="2260" t="s">
        <v>2598</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2599</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2600</v>
      </c>
      <c r="B64" s="2261" t="s">
        <v>2601</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4">
      <c r="A65" s="2246" t="s">
        <v>2602</v>
      </c>
      <c r="B65" s="2263" t="str">
        <f>估价对象房地状况!C21</f>
        <v>较好</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4">
      <c r="A66" s="2246" t="s">
        <v>2603</v>
      </c>
      <c r="B66" s="2263" t="str">
        <f>估价对象房地状况!C22</f>
        <v>七通</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24.75" thickBot="1">
      <c r="A67" s="2264" t="s">
        <v>2604</v>
      </c>
      <c r="B67" s="2269" t="str">
        <f>估价对象房地状况!C20</f>
        <v>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2610</v>
      </c>
      <c r="B68" s="2268">
        <f>1+E70</f>
        <v>1</v>
      </c>
      <c r="C68" s="2242"/>
      <c r="D68" s="2242"/>
      <c r="E68" s="2243"/>
      <c r="F68" s="2244"/>
      <c r="G68" s="608"/>
      <c r="H68" s="608"/>
      <c r="I68" s="608"/>
      <c r="J68" s="608"/>
      <c r="K68" s="608"/>
      <c r="L68" s="608"/>
      <c r="M68" s="608"/>
      <c r="N68" s="608"/>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2580</v>
      </c>
      <c r="B69" s="2258"/>
      <c r="C69" s="2247" t="s">
        <v>2582</v>
      </c>
      <c r="D69" s="2247" t="s">
        <v>2583</v>
      </c>
      <c r="E69" s="2248" t="s">
        <v>2584</v>
      </c>
      <c r="F69" s="2198" t="s">
        <v>2585</v>
      </c>
      <c r="G69" s="2247" t="s">
        <v>2606</v>
      </c>
      <c r="H69" s="2249" t="s">
        <v>2607</v>
      </c>
      <c r="I69" s="2247" t="s">
        <v>2608</v>
      </c>
      <c r="J69" s="1874" t="s">
        <v>2248</v>
      </c>
      <c r="K69" s="1874" t="s">
        <v>2249</v>
      </c>
      <c r="L69" s="1874" t="s">
        <v>2250</v>
      </c>
      <c r="M69" s="1874" t="s">
        <v>2251</v>
      </c>
      <c r="N69" s="1874" t="s">
        <v>2252</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24">
      <c r="A70" s="2246" t="s">
        <v>2611</v>
      </c>
      <c r="B70" s="2250">
        <f>估价对象房地状况!C15</f>
        <v>0</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14.25">
      <c r="A71" s="2246" t="s">
        <v>2595</v>
      </c>
      <c r="B71" s="2258" t="str">
        <f>估价对象房地状况!C18</f>
        <v>一般</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2596</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2612</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4">
      <c r="A74" s="2246" t="s">
        <v>2602</v>
      </c>
      <c r="B74" s="2263" t="str">
        <f>估价对象房地状况!C21</f>
        <v>较好</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4">
      <c r="A75" s="2246" t="s">
        <v>2603</v>
      </c>
      <c r="B75" s="2263" t="str">
        <f>估价对象房地状况!C22</f>
        <v>七通</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2600</v>
      </c>
      <c r="B76" s="2261" t="s">
        <v>2601</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5"/>
      <c r="R76" s="3025"/>
      <c r="S76" s="3025"/>
      <c r="T76" s="3025"/>
      <c r="U76" s="3025"/>
      <c r="V76" s="3025"/>
      <c r="W76" s="3025"/>
      <c r="AA76" s="1592"/>
      <c r="AG76" s="2233"/>
    </row>
    <row r="77" spans="1:33" ht="24">
      <c r="A77" s="2246" t="s">
        <v>2604</v>
      </c>
      <c r="B77" s="2250" t="str">
        <f>估价对象房地状况!C20</f>
        <v>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5"/>
      <c r="R77" s="3025"/>
      <c r="S77" s="3025"/>
      <c r="T77" s="3025"/>
      <c r="U77" s="3025"/>
      <c r="V77" s="3025"/>
      <c r="W77" s="3025"/>
      <c r="AA77" s="1592"/>
      <c r="AG77" s="2233"/>
    </row>
    <row r="78" spans="1:33" ht="24.75" thickBot="1">
      <c r="A78" s="2264" t="s">
        <v>2613</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5"/>
      <c r="R78" s="3025"/>
      <c r="S78" s="3025"/>
      <c r="T78" s="3025"/>
      <c r="U78" s="3025"/>
      <c r="V78" s="3025"/>
      <c r="W78" s="3025"/>
      <c r="AA78" s="1592"/>
      <c r="AG78" s="2233"/>
    </row>
    <row r="79" spans="1:33" ht="15">
      <c r="A79" s="2239" t="s">
        <v>2614</v>
      </c>
      <c r="B79" s="2268">
        <f>1+E81</f>
        <v>1</v>
      </c>
      <c r="C79" s="2242"/>
      <c r="D79" s="2242"/>
      <c r="E79" s="2243"/>
      <c r="F79" s="2244"/>
      <c r="G79" s="608"/>
      <c r="H79" s="608"/>
      <c r="I79" s="608"/>
      <c r="J79" s="608"/>
      <c r="K79" s="608"/>
      <c r="L79" s="608"/>
      <c r="M79" s="608"/>
      <c r="N79" s="608"/>
      <c r="Q79" s="3025"/>
      <c r="R79" s="3025"/>
      <c r="S79" s="3025"/>
      <c r="T79" s="3025"/>
      <c r="U79" s="3025"/>
      <c r="V79" s="3025"/>
      <c r="W79" s="3025"/>
      <c r="AA79" s="1592"/>
      <c r="AG79" s="2233"/>
    </row>
    <row r="80" spans="1:33" ht="24.75">
      <c r="A80" s="2246" t="s">
        <v>2580</v>
      </c>
      <c r="B80" s="2258"/>
      <c r="C80" s="2247" t="s">
        <v>2582</v>
      </c>
      <c r="D80" s="2247" t="s">
        <v>2583</v>
      </c>
      <c r="E80" s="2248" t="s">
        <v>2584</v>
      </c>
      <c r="F80" s="2198" t="s">
        <v>2585</v>
      </c>
      <c r="G80" s="2247" t="s">
        <v>2606</v>
      </c>
      <c r="H80" s="2249" t="s">
        <v>2607</v>
      </c>
      <c r="I80" s="2247" t="s">
        <v>2608</v>
      </c>
      <c r="J80" s="1874" t="s">
        <v>2248</v>
      </c>
      <c r="K80" s="1874" t="s">
        <v>2249</v>
      </c>
      <c r="L80" s="1874" t="s">
        <v>2250</v>
      </c>
      <c r="M80" s="1874" t="s">
        <v>2251</v>
      </c>
      <c r="N80" s="1874" t="s">
        <v>2252</v>
      </c>
      <c r="Q80" s="3025"/>
      <c r="R80" s="3025"/>
      <c r="S80" s="3025"/>
      <c r="T80" s="3025"/>
      <c r="U80" s="3025"/>
      <c r="V80" s="3025"/>
      <c r="W80" s="3025"/>
      <c r="AA80" s="1592"/>
      <c r="AG80" s="2233"/>
    </row>
    <row r="81" spans="1:33" ht="38.25">
      <c r="A81" s="2246" t="s">
        <v>2615</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5"/>
      <c r="R81" s="3025"/>
      <c r="S81" s="3025"/>
      <c r="T81" s="3025"/>
      <c r="U81" s="3025"/>
      <c r="V81" s="3025"/>
      <c r="W81" s="3025"/>
      <c r="AA81" s="1592"/>
      <c r="AG81" s="2233"/>
    </row>
    <row r="82" spans="1:33" ht="51">
      <c r="A82" s="2246" t="s">
        <v>2595</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5"/>
      <c r="R82" s="3025"/>
      <c r="S82" s="3025"/>
      <c r="T82" s="3025"/>
      <c r="U82" s="3025"/>
      <c r="V82" s="3025"/>
      <c r="W82" s="3025"/>
      <c r="AA82" s="1592"/>
      <c r="AG82" s="2233"/>
    </row>
    <row r="83" spans="1:33" ht="24">
      <c r="A83" s="2246" t="s">
        <v>2596</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5"/>
      <c r="R83" s="3025"/>
      <c r="S83" s="3025"/>
      <c r="T83" s="3025"/>
      <c r="U83" s="3025"/>
      <c r="V83" s="3025"/>
      <c r="W83" s="3025"/>
      <c r="AA83" s="1592"/>
      <c r="AG83" s="2233"/>
    </row>
    <row r="84" spans="1:33" ht="14.25">
      <c r="A84" s="2246" t="s">
        <v>2612</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5"/>
      <c r="R84" s="3025"/>
      <c r="S84" s="3025"/>
      <c r="T84" s="3025"/>
      <c r="U84" s="3025"/>
      <c r="V84" s="3025"/>
      <c r="W84" s="3025"/>
      <c r="AA84" s="1592"/>
      <c r="AG84" s="2233"/>
    </row>
    <row r="85" spans="1:33" ht="25.5">
      <c r="A85" s="2246" t="s">
        <v>2602</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5"/>
      <c r="R85" s="3025"/>
      <c r="S85" s="3025"/>
      <c r="T85" s="3025"/>
      <c r="U85" s="3025"/>
      <c r="V85" s="3025"/>
      <c r="W85" s="3025"/>
      <c r="AA85" s="1592"/>
      <c r="AG85" s="2233"/>
    </row>
    <row r="86" spans="1:33" ht="25.5">
      <c r="A86" s="2246" t="s">
        <v>2603</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5"/>
      <c r="R86" s="3025"/>
      <c r="S86" s="3025"/>
      <c r="T86" s="3025"/>
      <c r="U86" s="3025"/>
      <c r="V86" s="3025"/>
      <c r="W86" s="3025"/>
      <c r="AA86" s="1592"/>
      <c r="AG86" s="2233"/>
    </row>
    <row r="87" spans="1:33" ht="24">
      <c r="A87" s="2246" t="s">
        <v>2600</v>
      </c>
      <c r="B87" s="2261" t="s">
        <v>2601</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5"/>
      <c r="R87" s="3025"/>
      <c r="S87" s="3025"/>
      <c r="T87" s="3025"/>
      <c r="U87" s="3025"/>
      <c r="V87" s="3025"/>
      <c r="W87" s="3025"/>
      <c r="AA87" s="1592"/>
      <c r="AG87" s="2233"/>
    </row>
    <row r="88" spans="1:33" ht="39" thickBot="1">
      <c r="A88" s="2264" t="s">
        <v>2616</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5"/>
      <c r="R88" s="3025"/>
      <c r="S88" s="3025"/>
      <c r="T88" s="3025"/>
      <c r="U88" s="3025"/>
      <c r="V88" s="3025"/>
      <c r="W88" s="3025"/>
      <c r="AA88" s="1592"/>
      <c r="AG88" s="2233"/>
    </row>
    <row r="89" spans="1:33">
      <c r="Q89" s="3025"/>
      <c r="R89" s="3025"/>
      <c r="S89" s="3025"/>
      <c r="T89" s="3025"/>
      <c r="U89" s="3025"/>
      <c r="V89" s="3025"/>
      <c r="W89" s="3025"/>
    </row>
    <row r="90" spans="1:33">
      <c r="A90" s="3689" t="s">
        <v>2617</v>
      </c>
      <c r="B90" s="3689"/>
      <c r="C90" s="3689"/>
      <c r="D90" s="3689"/>
      <c r="E90" s="3689"/>
      <c r="F90" s="3689"/>
      <c r="G90" s="3689"/>
      <c r="H90" s="3689"/>
      <c r="I90" s="3689"/>
      <c r="J90" s="3689"/>
      <c r="K90" s="2274"/>
      <c r="L90" s="2274"/>
      <c r="M90" s="2274"/>
      <c r="N90" s="2274"/>
      <c r="Q90" s="3025"/>
      <c r="R90" s="3025"/>
      <c r="S90" s="3025"/>
      <c r="T90" s="3025"/>
      <c r="U90" s="3025"/>
      <c r="V90" s="3025"/>
      <c r="W90" s="3025"/>
    </row>
    <row r="91" spans="1:33">
      <c r="A91" s="3691" t="s">
        <v>2618</v>
      </c>
      <c r="B91" s="3691" t="s">
        <v>2619</v>
      </c>
      <c r="C91" s="2213" t="s">
        <v>2620</v>
      </c>
      <c r="D91" s="2214"/>
      <c r="E91" s="2214"/>
      <c r="F91" s="2214"/>
      <c r="G91" s="2214"/>
      <c r="H91" s="2214"/>
      <c r="I91" s="2214"/>
      <c r="J91" s="2276"/>
      <c r="K91" s="2036"/>
      <c r="L91" s="2036"/>
      <c r="M91" s="2036"/>
      <c r="N91" s="2036"/>
      <c r="Q91" s="3025"/>
      <c r="R91" s="3025"/>
      <c r="S91" s="3025"/>
      <c r="T91" s="3025"/>
      <c r="U91" s="3025"/>
      <c r="V91" s="3025"/>
      <c r="W91" s="3025"/>
    </row>
    <row r="92" spans="1:33">
      <c r="A92" s="3691"/>
      <c r="B92" s="3691"/>
      <c r="C92" s="1999" t="s">
        <v>2473</v>
      </c>
      <c r="D92" s="1999" t="s">
        <v>2474</v>
      </c>
      <c r="E92" s="1999" t="s">
        <v>2475</v>
      </c>
      <c r="F92" s="1999" t="s">
        <v>2476</v>
      </c>
      <c r="G92" s="1999" t="s">
        <v>2477</v>
      </c>
      <c r="H92" s="1999" t="s">
        <v>2478</v>
      </c>
      <c r="I92" s="1999" t="s">
        <v>2479</v>
      </c>
      <c r="J92" s="1999" t="s">
        <v>2480</v>
      </c>
      <c r="K92" s="1999" t="s">
        <v>2481</v>
      </c>
      <c r="L92" s="1999" t="s">
        <v>2482</v>
      </c>
      <c r="M92" s="1999" t="s">
        <v>2483</v>
      </c>
      <c r="N92" s="1999" t="s">
        <v>2484</v>
      </c>
      <c r="Q92" s="3025"/>
      <c r="R92" s="3025"/>
      <c r="S92" s="3025"/>
      <c r="T92" s="3025"/>
      <c r="U92" s="3025"/>
      <c r="V92" s="3025"/>
      <c r="W92" s="3025"/>
    </row>
    <row r="93" spans="1:33">
      <c r="A93" s="3692" t="s">
        <v>2621</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93"/>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93"/>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93"/>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93"/>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93"/>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93"/>
      <c r="B99" s="2277" t="s">
        <v>2489</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5"/>
      <c r="R99" s="3025"/>
      <c r="S99" s="3025"/>
      <c r="T99" s="3025"/>
      <c r="U99" s="3025"/>
      <c r="V99" s="3025"/>
      <c r="W99" s="3025"/>
    </row>
    <row r="100" spans="1:23">
      <c r="A100" s="3694"/>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92" t="s">
        <v>2622</v>
      </c>
      <c r="B101" s="2281" t="s">
        <v>2623</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5"/>
      <c r="R101" s="3025"/>
      <c r="S101" s="3025"/>
      <c r="T101" s="3025"/>
      <c r="U101" s="3025"/>
      <c r="V101" s="3025"/>
      <c r="W101" s="3025"/>
    </row>
    <row r="102" spans="1:23">
      <c r="A102" s="3693"/>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5"/>
      <c r="R102" s="3025"/>
      <c r="S102" s="3025"/>
      <c r="T102" s="3025"/>
      <c r="U102" s="3025"/>
      <c r="V102" s="3025"/>
      <c r="W102" s="3025"/>
    </row>
    <row r="103" spans="1:23">
      <c r="A103" s="3693"/>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5"/>
      <c r="R103" s="3025"/>
      <c r="S103" s="3025"/>
      <c r="T103" s="3025"/>
      <c r="U103" s="3025"/>
      <c r="V103" s="3025"/>
      <c r="W103" s="3025"/>
    </row>
    <row r="104" spans="1:23">
      <c r="A104" s="3693"/>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5"/>
      <c r="R104" s="3025"/>
      <c r="S104" s="3025"/>
      <c r="T104" s="3025"/>
      <c r="U104" s="3025"/>
      <c r="V104" s="3025"/>
      <c r="W104" s="3025"/>
    </row>
    <row r="105" spans="1:23">
      <c r="A105" s="3693"/>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5"/>
      <c r="R105" s="3025"/>
      <c r="S105" s="3025"/>
      <c r="T105" s="3025"/>
      <c r="U105" s="3025"/>
      <c r="V105" s="3025"/>
      <c r="W105" s="3025"/>
    </row>
    <row r="106" spans="1:23">
      <c r="A106" s="3693"/>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5"/>
      <c r="R106" s="3025"/>
      <c r="S106" s="3025"/>
      <c r="T106" s="3025"/>
      <c r="U106" s="3025"/>
      <c r="V106" s="3025"/>
      <c r="W106" s="3025"/>
    </row>
    <row r="107" spans="1:23">
      <c r="A107" s="3693"/>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5"/>
      <c r="R107" s="3025"/>
      <c r="S107" s="3025"/>
      <c r="T107" s="3025"/>
      <c r="U107" s="3025"/>
      <c r="V107" s="3025"/>
      <c r="W107" s="3025"/>
    </row>
    <row r="108" spans="1:23">
      <c r="A108" s="3693"/>
      <c r="B108" s="3695" t="s">
        <v>2624</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5"/>
      <c r="R108" s="3025"/>
      <c r="S108" s="3025"/>
      <c r="T108" s="3025"/>
      <c r="U108" s="3025"/>
      <c r="V108" s="3025"/>
      <c r="W108" s="3025"/>
    </row>
    <row r="109" spans="1:23">
      <c r="A109" s="3694"/>
      <c r="B109" s="3696"/>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5"/>
      <c r="R109" s="3025"/>
      <c r="S109" s="3025"/>
      <c r="T109" s="3025"/>
      <c r="U109" s="3025"/>
      <c r="V109" s="3025"/>
      <c r="W109" s="3025"/>
    </row>
    <row r="110" spans="1:23">
      <c r="A110" s="3690" t="s">
        <v>2625</v>
      </c>
      <c r="B110" s="3690"/>
      <c r="C110" s="3690"/>
      <c r="D110" s="3690"/>
      <c r="E110" s="3690"/>
      <c r="F110" s="3690"/>
      <c r="G110" s="3690"/>
      <c r="H110" s="3690"/>
      <c r="I110" s="3690"/>
      <c r="J110" s="3690"/>
      <c r="K110" s="2048"/>
      <c r="L110" s="2048"/>
      <c r="M110" s="2048"/>
      <c r="N110" s="2048"/>
      <c r="Q110" s="3025"/>
      <c r="R110" s="3025"/>
      <c r="S110" s="3025"/>
      <c r="T110" s="3025"/>
      <c r="U110" s="3025"/>
      <c r="V110" s="3025"/>
      <c r="W110" s="3025"/>
    </row>
    <row r="112" spans="1:23" ht="13.5" thickBot="1"/>
    <row r="113" spans="1:13" ht="25.5" thickBot="1">
      <c r="A113" s="2283" t="s">
        <v>2626</v>
      </c>
      <c r="B113" s="2284">
        <f>G3</f>
        <v>0</v>
      </c>
      <c r="C113" s="2285" t="s">
        <v>2627</v>
      </c>
      <c r="D113" s="2286">
        <f>SUMPRODUCT((A115:A118=F113)*(B114:M114=H113)*B115:M118)</f>
        <v>0</v>
      </c>
      <c r="E113" s="1570" t="s">
        <v>2513</v>
      </c>
      <c r="F113" s="2287" t="str">
        <f>E2</f>
        <v>住宅</v>
      </c>
      <c r="G113" s="1570" t="s">
        <v>2447</v>
      </c>
      <c r="H113" s="2287">
        <f>G2</f>
        <v>0</v>
      </c>
      <c r="I113" s="1570"/>
      <c r="J113" s="2288"/>
      <c r="K113" s="2288"/>
      <c r="L113" s="2288"/>
      <c r="M113" s="2288"/>
    </row>
    <row r="114" spans="1:13">
      <c r="A114" s="2289"/>
      <c r="B114" s="2290" t="s">
        <v>2628</v>
      </c>
      <c r="C114" s="2290" t="s">
        <v>2629</v>
      </c>
      <c r="D114" s="2290" t="s">
        <v>2630</v>
      </c>
      <c r="E114" s="2291" t="s">
        <v>2631</v>
      </c>
      <c r="F114" s="2291" t="s">
        <v>2632</v>
      </c>
      <c r="G114" s="2291" t="s">
        <v>2633</v>
      </c>
      <c r="H114" s="2292" t="s">
        <v>2634</v>
      </c>
      <c r="I114" s="2292" t="s">
        <v>2635</v>
      </c>
      <c r="J114" s="2293" t="s">
        <v>2636</v>
      </c>
      <c r="K114" s="2293" t="s">
        <v>2637</v>
      </c>
      <c r="L114" s="2293" t="s">
        <v>2638</v>
      </c>
      <c r="M114" s="2294" t="s">
        <v>2639</v>
      </c>
    </row>
    <row r="115" spans="1:13">
      <c r="A115" s="2295" t="s">
        <v>2514</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2515</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2516</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5" thickBot="1">
      <c r="A118" s="2298" t="s">
        <v>2517</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估价对象为北京市房地产，为陈庆文所有。根据《》[]，估价对象建筑面积为718.89平方米。根据《》[]，估价对象（分摊）出让国有建设用地使用权面积为平方米。估价对象用途为。</v>
      </c>
      <c r="B6" s="1319"/>
      <c r="C6" s="1319"/>
      <c r="D6" s="1319"/>
      <c r="E6" s="1319"/>
      <c r="F6" s="1319"/>
      <c r="G6" s="1319"/>
    </row>
    <row r="7" spans="1:7" ht="18.75">
      <c r="A7" s="1320" t="s">
        <v>1198</v>
      </c>
    </row>
    <row r="8" spans="1:7" ht="36">
      <c r="A8" s="1322" t="str">
        <f>IF(项目基本情况!D4="抵押",IF(项目基本情况!B4=项目基本情况!B5,定义!C51,定义!B51),定义!D51)</f>
        <v>为估价委托人在向中国银行办理贷款手续过程中，确定房地产抵押贷款额度提供参考依据而评估房地产抵押价值。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2022年4月13日（评估专业人员实地查勘之日）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本次估价的“房地产价值”是指在正常市场情况下，在价值时点2022年4月13日，估价对象规划用途为，假定未设立法定优先受偿款下的房地产市场价值。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18">
      <c r="A16" s="1323" t="str">
        <f>IF(项目基本情况!D5="房地产市场价值","——",IF(项目基本情况!G5="——","",定义!C57))</f>
        <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一般</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一般</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一般</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2645</v>
      </c>
      <c r="B3" s="2307"/>
      <c r="C3" s="2307"/>
      <c r="D3" s="2308"/>
      <c r="E3" s="2308"/>
      <c r="F3" s="2307"/>
      <c r="G3" s="2309"/>
      <c r="H3" s="2310"/>
      <c r="I3" s="2311">
        <f>ROUND(AVERAGE(I4:I37),2)</f>
        <v>1.64</v>
      </c>
      <c r="J3" s="2311">
        <f>ROUND(AVERAGE(J4:J37),2)</f>
        <v>1.03</v>
      </c>
      <c r="K3" s="2311">
        <f>ROUND(AVERAGE(K4:K37),2)</f>
        <v>1.81</v>
      </c>
      <c r="L3" s="2312">
        <f>ROUND(AVERAGE(L4:L37),2)</f>
        <v>1.2</v>
      </c>
      <c r="N3" s="2309"/>
      <c r="S3" s="2309"/>
      <c r="W3" s="2314"/>
      <c r="X3" s="2315">
        <f>ROUND(SUMPRODUCT(PRODUCT(1+N3:N$36)),4)</f>
        <v>1.6585000000000001</v>
      </c>
      <c r="Y3" s="2315">
        <f>ROUND(SUMPRODUCT(PRODUCT(1+O3:O$36)),4)</f>
        <v>1.3676999999999999</v>
      </c>
      <c r="Z3" s="2315">
        <f t="shared" ref="Z3:Z34" si="0">Y3</f>
        <v>1.3676999999999999</v>
      </c>
      <c r="AA3" s="2315">
        <f>ROUND(SUMPRODUCT(PRODUCT(1+P3:P$36)),4)</f>
        <v>1.7434000000000001</v>
      </c>
      <c r="AB3" s="2315">
        <f>ROUND(SUMPRODUCT(PRODUCT(1+Q3:Q$36)),4)</f>
        <v>1.4609000000000001</v>
      </c>
      <c r="AD3" s="2316">
        <f>ROUND(AVERAGE(I3:I$37)/100,4)</f>
        <v>1.6400000000000001E-2</v>
      </c>
      <c r="AE3" s="2316">
        <f>ROUND(AVERAGE(J3:J$37)/100,4)</f>
        <v>1.03E-2</v>
      </c>
      <c r="AF3" s="2316">
        <f t="shared" ref="AF3:AF25" si="1">AE3</f>
        <v>1.03E-2</v>
      </c>
      <c r="AG3" s="2316">
        <f>ROUND(AVERAGE(K3:K$37)/100,4)</f>
        <v>1.8100000000000002E-2</v>
      </c>
      <c r="AH3" s="2316">
        <f>ROUND(AVERAGE(L3:L$37)/100,4)</f>
        <v>1.2E-2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2975</v>
      </c>
      <c r="B5" s="2326">
        <f t="shared" ref="B5" si="2">B6*(1+N5)</f>
        <v>510.07089659554606</v>
      </c>
      <c r="C5" s="2326">
        <f t="shared" ref="C5" si="3">C6*(1+O5)</f>
        <v>352.55593185737411</v>
      </c>
      <c r="D5" s="2327">
        <f t="shared" ref="D5" si="4">C5</f>
        <v>352.55593185737411</v>
      </c>
      <c r="E5" s="2326">
        <f t="shared" ref="E5" si="5">E6*(1+P5)</f>
        <v>737.27992463403655</v>
      </c>
      <c r="F5" s="2326">
        <f t="shared" ref="F5" si="6">F6*(1+Q5)</f>
        <v>335.88319198297864</v>
      </c>
      <c r="G5" s="3313">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2644</v>
      </c>
      <c r="X5" s="2335">
        <f>ROUND(SUMPRODUCT(PRODUCT(1+N5:N$36)),4)</f>
        <v>1.6585000000000001</v>
      </c>
      <c r="Y5" s="2335">
        <f>ROUND(SUMPRODUCT(PRODUCT(1+O5:O$36)),4)</f>
        <v>1.3676999999999999</v>
      </c>
      <c r="Z5" s="2335">
        <f t="shared" ref="Z5" si="11">Y5</f>
        <v>1.3676999999999999</v>
      </c>
      <c r="AA5" s="2335">
        <f>ROUND(SUMPRODUCT(PRODUCT(1+P5:P$36)),4)</f>
        <v>1.7434000000000001</v>
      </c>
      <c r="AB5" s="2335">
        <f>ROUND(SUMPRODUCT(PRODUCT(1+Q5:Q$36)),4)</f>
        <v>1.4609000000000001</v>
      </c>
      <c r="AD5" s="2336">
        <f>ROUND(AVERAGE(I5:I$37)/100,4)</f>
        <v>1.6400000000000001E-2</v>
      </c>
      <c r="AE5" s="2336">
        <f>ROUND(AVERAGE(J5:J$37)/100,4)</f>
        <v>1.03E-2</v>
      </c>
      <c r="AF5" s="2336">
        <f t="shared" ref="AF5" si="12">AE5</f>
        <v>1.03E-2</v>
      </c>
      <c r="AG5" s="2336">
        <f>ROUND(AVERAGE(K5:K$37)/100,4)</f>
        <v>1.8100000000000002E-2</v>
      </c>
      <c r="AH5" s="2336">
        <f>ROUND(AVERAGE(L5:L$37)/100,4)</f>
        <v>1.2E-2</v>
      </c>
    </row>
    <row r="6" spans="1:34" s="2344" customFormat="1" ht="14.45" customHeight="1">
      <c r="A6" s="2337" t="s">
        <v>2974</v>
      </c>
      <c r="B6" s="2338">
        <f t="shared" ref="B6" si="13">B7*(1+N6)</f>
        <v>510.07089659554606</v>
      </c>
      <c r="C6" s="2338">
        <f t="shared" ref="C6" si="14">C7*(1+O6)</f>
        <v>352.55593185737411</v>
      </c>
      <c r="D6" s="2338">
        <f t="shared" ref="D6" si="15">C6</f>
        <v>352.55593185737411</v>
      </c>
      <c r="E6" s="2338">
        <f t="shared" ref="E6" si="16">E7*(1+P6)</f>
        <v>737.27992463403655</v>
      </c>
      <c r="F6" s="2338">
        <f t="shared" ref="F6" si="17">F7*(1+Q6)</f>
        <v>335.88319198297864</v>
      </c>
      <c r="G6" s="3313">
        <v>2021</v>
      </c>
      <c r="H6" s="2339">
        <v>4</v>
      </c>
      <c r="I6" s="3128">
        <v>1.03</v>
      </c>
      <c r="J6" s="3128">
        <v>0.24</v>
      </c>
      <c r="K6" s="3128">
        <v>1.17</v>
      </c>
      <c r="L6" s="3129">
        <v>0.55000000000000004</v>
      </c>
      <c r="M6" s="2341"/>
      <c r="N6" s="2342">
        <f t="shared" ref="N6" si="18">I6/100</f>
        <v>1.03E-2</v>
      </c>
      <c r="O6" s="2343">
        <f t="shared" ref="O6" si="19">J6/100</f>
        <v>2.3999999999999998E-3</v>
      </c>
      <c r="P6" s="2343">
        <f t="shared" ref="P6" si="20">K6/100</f>
        <v>1.1699999999999999E-2</v>
      </c>
      <c r="Q6" s="2343">
        <f t="shared" ref="Q6" si="21">L6/100</f>
        <v>5.5000000000000005E-3</v>
      </c>
      <c r="R6" s="2341"/>
      <c r="S6" s="2342"/>
      <c r="T6" s="2343"/>
      <c r="U6" s="2343"/>
      <c r="V6" s="2343"/>
      <c r="W6" s="2341"/>
      <c r="X6" s="2341">
        <f>ROUND(SUMPRODUCT(PRODUCT(1+N6:N$36)),4)</f>
        <v>1.6585000000000001</v>
      </c>
      <c r="Y6" s="2341">
        <f>ROUND(SUMPRODUCT(PRODUCT(1+O6:O$36)),4)</f>
        <v>1.3676999999999999</v>
      </c>
      <c r="Z6" s="2341">
        <f t="shared" ref="Z6" si="22">Y6</f>
        <v>1.3676999999999999</v>
      </c>
      <c r="AA6" s="2341">
        <f>ROUND(SUMPRODUCT(PRODUCT(1+P6:P$36)),4)</f>
        <v>1.7434000000000001</v>
      </c>
      <c r="AB6" s="2341">
        <f>ROUND(SUMPRODUCT(PRODUCT(1+Q6:Q$36)),4)</f>
        <v>1.4609000000000001</v>
      </c>
      <c r="AC6" s="2341"/>
      <c r="AD6" s="2343">
        <f>ROUND(AVERAGE(I6:I$37)/100,4)</f>
        <v>1.6899999999999998E-2</v>
      </c>
      <c r="AE6" s="2343">
        <f>ROUND(AVERAGE(J6:J$37)/100,4)</f>
        <v>1.06E-2</v>
      </c>
      <c r="AF6" s="2343">
        <f t="shared" ref="AF6" si="23">AE6</f>
        <v>1.06E-2</v>
      </c>
      <c r="AG6" s="2343">
        <f>ROUND(AVERAGE(K6:K$37)/100,4)</f>
        <v>1.8700000000000001E-2</v>
      </c>
      <c r="AH6" s="2343">
        <f>ROUND(AVERAGE(L6:L$37)/100,4)</f>
        <v>1.24E-2</v>
      </c>
    </row>
    <row r="7" spans="1:34" s="2344" customFormat="1" ht="14.45" customHeight="1">
      <c r="A7" s="2337" t="s">
        <v>2828</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30">
        <v>2021</v>
      </c>
      <c r="H7" s="2339">
        <v>3</v>
      </c>
      <c r="I7" s="3128">
        <v>0.47</v>
      </c>
      <c r="J7" s="3128">
        <v>0.41</v>
      </c>
      <c r="K7" s="3128">
        <v>0.48</v>
      </c>
      <c r="L7" s="3129">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2827</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7">
        <v>2021</v>
      </c>
      <c r="H8" s="2339">
        <v>2</v>
      </c>
      <c r="I8" s="3128">
        <v>0.92</v>
      </c>
      <c r="J8" s="3128">
        <v>0.72</v>
      </c>
      <c r="K8" s="3128">
        <v>0.95</v>
      </c>
      <c r="L8" s="3129">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2826</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6">
        <v>2021</v>
      </c>
      <c r="H9" s="2339">
        <v>1</v>
      </c>
      <c r="I9" s="3128">
        <v>0.97</v>
      </c>
      <c r="J9" s="3128">
        <v>0.16</v>
      </c>
      <c r="K9" s="3128">
        <v>1.1100000000000001</v>
      </c>
      <c r="L9" s="3129">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2820</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7">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2819</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6">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2675</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2672</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2670</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2667</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2661</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2662</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2658</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10">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2653</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10"/>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2652</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10"/>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2649</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17"/>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2646</v>
      </c>
      <c r="B22" s="2347">
        <v>439</v>
      </c>
      <c r="C22" s="2347">
        <v>327</v>
      </c>
      <c r="D22" s="2347">
        <f t="shared" si="169"/>
        <v>327</v>
      </c>
      <c r="E22" s="2347">
        <v>627</v>
      </c>
      <c r="F22" s="2348">
        <v>283</v>
      </c>
      <c r="G22" s="3713">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2643</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10"/>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1188</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10"/>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17"/>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13">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10"/>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10"/>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11"/>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09">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10"/>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10"/>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11"/>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09">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10"/>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10"/>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11"/>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14">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15"/>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15"/>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16"/>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09">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10"/>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10"/>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11"/>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09">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10">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10">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11">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09">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10">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10">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11">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09">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10">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10">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11">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09">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10">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10">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11">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09">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10">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10">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11">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09">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10">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10">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11">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09">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10">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10">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11">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09">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10">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10">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11">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09">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10">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10">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11">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09">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10">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10">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11">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44664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2821</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A11" sqref="A11:D11"/>
      <selection pane="bottomLeft" activeCell="P54" sqref="P54"/>
    </sheetView>
  </sheetViews>
  <sheetFormatPr defaultColWidth="9" defaultRowHeight="12.75"/>
  <cols>
    <col min="1" max="1" width="12.375" style="32" customWidth="1"/>
    <col min="2" max="2" width="11.6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0" style="16" hidden="1" customWidth="1"/>
    <col min="11" max="11" width="5" style="16" hidden="1" customWidth="1"/>
    <col min="12" max="12" width="0" style="16" hidden="1" customWidth="1"/>
    <col min="13" max="13" width="5" style="16" hidden="1" customWidth="1"/>
    <col min="14" max="14" width="0" style="16" hidden="1" customWidth="1"/>
    <col min="15" max="15" width="5" style="16" hidden="1"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 ca="1">B23</f>
        <v>1812</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f ca="1">B24</f>
        <v>25206</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721" t="s">
        <v>2155</v>
      </c>
      <c r="D4" s="3722"/>
      <c r="E4" s="3722"/>
      <c r="F4" s="3722"/>
      <c r="G4" s="3722"/>
      <c r="H4" s="3722"/>
      <c r="I4" s="3722"/>
      <c r="J4" s="3722"/>
      <c r="K4" s="3722"/>
      <c r="L4" s="3722"/>
      <c r="M4" s="3722"/>
      <c r="N4" s="3722"/>
      <c r="O4" s="3722"/>
      <c r="P4" s="3722"/>
      <c r="Q4" s="3722"/>
      <c r="R4" s="3722"/>
      <c r="S4" s="3723"/>
      <c r="T4" s="575" t="s">
        <v>2156</v>
      </c>
      <c r="U4" s="999"/>
      <c r="V4" s="999"/>
      <c r="X4" s="999"/>
      <c r="Y4" s="999"/>
    </row>
    <row r="5" spans="1:44" s="587" customFormat="1" ht="25.5">
      <c r="A5" s="1003"/>
      <c r="B5" s="583" t="s">
        <v>2157</v>
      </c>
      <c r="C5" s="584" t="str">
        <f t="shared" ref="C5:L5" si="0">C6&amp;"(含)"&amp;"-"&amp;D6</f>
        <v>0(含)-100</v>
      </c>
      <c r="D5" s="585" t="str">
        <f t="shared" si="0"/>
        <v>100(含)-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100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v>100</v>
      </c>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3324" t="s">
        <v>3041</v>
      </c>
      <c r="C8" s="3325" t="s">
        <v>3043</v>
      </c>
      <c r="D8" s="3326" t="s">
        <v>3045</v>
      </c>
      <c r="E8" s="888"/>
      <c r="F8" s="888"/>
      <c r="G8" s="888"/>
      <c r="H8" s="888"/>
      <c r="I8" s="888"/>
      <c r="J8" s="888"/>
      <c r="K8" s="888"/>
      <c r="L8" s="889"/>
      <c r="M8" s="890"/>
      <c r="N8" s="890"/>
      <c r="O8" s="888"/>
      <c r="P8" s="888"/>
      <c r="Q8" s="888"/>
      <c r="R8" s="888"/>
      <c r="S8" s="915"/>
      <c r="T8" s="891">
        <v>1</v>
      </c>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99</v>
      </c>
      <c r="E9" s="879">
        <f t="shared" si="7"/>
        <v>98</v>
      </c>
      <c r="F9" s="879">
        <f t="shared" si="7"/>
        <v>97</v>
      </c>
      <c r="G9" s="879">
        <f t="shared" si="7"/>
        <v>96</v>
      </c>
      <c r="H9" s="879">
        <f t="shared" si="7"/>
        <v>95</v>
      </c>
      <c r="I9" s="879">
        <f t="shared" si="7"/>
        <v>94</v>
      </c>
      <c r="J9" s="879">
        <f t="shared" si="7"/>
        <v>93</v>
      </c>
      <c r="K9" s="879">
        <f t="shared" si="7"/>
        <v>92</v>
      </c>
      <c r="L9" s="879">
        <f t="shared" si="7"/>
        <v>91</v>
      </c>
      <c r="M9" s="880">
        <f t="shared" si="7"/>
        <v>90</v>
      </c>
      <c r="N9" s="880">
        <f t="shared" si="7"/>
        <v>89</v>
      </c>
      <c r="O9" s="879">
        <f t="shared" si="7"/>
        <v>88</v>
      </c>
      <c r="P9" s="879">
        <f t="shared" si="7"/>
        <v>87</v>
      </c>
      <c r="Q9" s="879">
        <f t="shared" si="7"/>
        <v>86</v>
      </c>
      <c r="R9" s="879">
        <f t="shared" si="7"/>
        <v>85</v>
      </c>
      <c r="S9" s="916">
        <f t="shared" si="7"/>
        <v>84</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ht="24">
      <c r="A10" s="1006"/>
      <c r="B10" s="3327" t="s">
        <v>3046</v>
      </c>
      <c r="C10" s="3328" t="s">
        <v>3047</v>
      </c>
      <c r="D10" s="873"/>
      <c r="E10" s="873"/>
      <c r="F10" s="873"/>
      <c r="G10" s="873"/>
      <c r="H10" s="873"/>
      <c r="I10" s="873"/>
      <c r="J10" s="873"/>
      <c r="K10" s="873"/>
      <c r="L10" s="873"/>
      <c r="M10" s="875"/>
      <c r="N10" s="866"/>
      <c r="O10" s="868"/>
      <c r="P10" s="869"/>
      <c r="Q10" s="870"/>
      <c r="R10" s="871"/>
      <c r="S10" s="917"/>
      <c r="T10" s="595">
        <v>2</v>
      </c>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98</v>
      </c>
      <c r="E11" s="879">
        <f t="shared" si="8"/>
        <v>96</v>
      </c>
      <c r="F11" s="879">
        <f t="shared" si="8"/>
        <v>94</v>
      </c>
      <c r="G11" s="879">
        <f t="shared" si="8"/>
        <v>92</v>
      </c>
      <c r="H11" s="879">
        <f t="shared" si="8"/>
        <v>90</v>
      </c>
      <c r="I11" s="879">
        <f t="shared" si="8"/>
        <v>88</v>
      </c>
      <c r="J11" s="879">
        <f t="shared" si="8"/>
        <v>86</v>
      </c>
      <c r="K11" s="879">
        <f t="shared" si="8"/>
        <v>84</v>
      </c>
      <c r="L11" s="879">
        <f t="shared" si="8"/>
        <v>82</v>
      </c>
      <c r="M11" s="880">
        <f t="shared" si="8"/>
        <v>80</v>
      </c>
      <c r="N11" s="880">
        <f t="shared" ref="N11:S11" si="9">M11-$T$10</f>
        <v>78</v>
      </c>
      <c r="O11" s="879">
        <f t="shared" si="9"/>
        <v>76</v>
      </c>
      <c r="P11" s="879">
        <f t="shared" si="9"/>
        <v>74</v>
      </c>
      <c r="Q11" s="879">
        <f t="shared" si="9"/>
        <v>72</v>
      </c>
      <c r="R11" s="879">
        <f t="shared" si="9"/>
        <v>70</v>
      </c>
      <c r="S11" s="916">
        <f t="shared" si="9"/>
        <v>68</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2159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2162</v>
      </c>
      <c r="B20" s="1521" t="s">
        <v>2163</v>
      </c>
      <c r="C20" s="1007">
        <v>6</v>
      </c>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v>100</v>
      </c>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2" t="s">
        <v>2164</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2165</v>
      </c>
      <c r="B23" s="224">
        <f ca="1">IF(F23="——",IF(C23="万元",T25,S25),IF(C23="万元",T25-H23,S25-H23))</f>
        <v>1812</v>
      </c>
      <c r="C23" s="1523" t="str">
        <f>'数据-取费表'!B3</f>
        <v>万元</v>
      </c>
      <c r="D23" s="37"/>
      <c r="E23" s="37"/>
      <c r="F23" s="1524" t="s">
        <v>1183</v>
      </c>
      <c r="G23" s="1296"/>
      <c r="H23" s="575" t="e">
        <f ca="1">SUMIF(INDIRECT("'"&amp;J23&amp;"'"&amp;"!A:A"),"承租人权益价值",INDIRECT("'"&amp;J23&amp;"'"&amp;"!c:c"))</f>
        <v>#REF!</v>
      </c>
      <c r="I23" s="575" t="str">
        <f>C2</f>
        <v>万元</v>
      </c>
      <c r="J23" s="1525"/>
      <c r="K23" s="37"/>
      <c r="L23" s="37"/>
      <c r="M23" s="37"/>
      <c r="N23" s="37"/>
      <c r="O23" s="37"/>
      <c r="P23" s="37"/>
      <c r="Q23" s="37"/>
      <c r="R23" s="645"/>
      <c r="S23" s="31"/>
      <c r="T23" s="31"/>
      <c r="U23" s="999"/>
      <c r="V23" s="1000"/>
      <c r="W23" s="662"/>
      <c r="X23" s="662"/>
      <c r="Y23" s="662"/>
      <c r="Z23" s="662"/>
    </row>
    <row r="24" spans="1:45" ht="15.75">
      <c r="A24" s="1523" t="s">
        <v>2166</v>
      </c>
      <c r="B24" s="224">
        <f ca="1">ROUND(B23*10000/B25,0)</f>
        <v>25206</v>
      </c>
      <c r="C24" s="864"/>
      <c r="D24" s="37"/>
      <c r="E24" s="37"/>
      <c r="F24" s="37"/>
      <c r="G24" s="37"/>
      <c r="H24" s="37"/>
      <c r="I24" s="37"/>
      <c r="J24" s="37"/>
      <c r="K24" s="37"/>
      <c r="L24" s="37"/>
      <c r="M24" s="37"/>
      <c r="N24" s="37"/>
      <c r="O24" s="37"/>
      <c r="P24" s="37"/>
      <c r="Q24" s="37"/>
      <c r="R24" s="645"/>
      <c r="S24" s="13" t="s">
        <v>2167</v>
      </c>
      <c r="T24" s="1302" t="s">
        <v>2168</v>
      </c>
      <c r="U24" s="2213" t="s">
        <v>2169</v>
      </c>
      <c r="V24" s="2955"/>
      <c r="W24" s="2956" t="s">
        <v>2170</v>
      </c>
      <c r="X24" s="2213" t="s">
        <v>2171</v>
      </c>
      <c r="Y24" s="2955"/>
      <c r="Z24" s="2957" t="s">
        <v>2170</v>
      </c>
    </row>
    <row r="25" spans="1:45">
      <c r="A25" s="250" t="s">
        <v>2172</v>
      </c>
      <c r="B25" s="13">
        <f>SUM(B27:B10000)</f>
        <v>718.8900000000001</v>
      </c>
      <c r="C25" s="3718" t="s">
        <v>45</v>
      </c>
      <c r="D25" s="3719"/>
      <c r="E25" s="3719"/>
      <c r="F25" s="3719"/>
      <c r="G25" s="3719"/>
      <c r="H25" s="3719"/>
      <c r="I25" s="3719"/>
      <c r="J25" s="3719"/>
      <c r="K25" s="3719"/>
      <c r="L25" s="3719"/>
      <c r="M25" s="3719"/>
      <c r="N25" s="3719"/>
      <c r="O25" s="3719"/>
      <c r="P25" s="3719"/>
      <c r="Q25" s="3720"/>
      <c r="R25" s="597">
        <f ca="1">IF(C23="万元",ROUND(T25*10000/B25,0),ROUND(S25/B25,0))</f>
        <v>25206</v>
      </c>
      <c r="S25" s="13">
        <f ca="1">SUM(S27:S10000)</f>
        <v>18130657</v>
      </c>
      <c r="T25" s="13">
        <f ca="1">SUM(T27:T10000)</f>
        <v>1812</v>
      </c>
      <c r="U25" s="17">
        <f>SUM(U27:U10000)</f>
        <v>0</v>
      </c>
      <c r="V25" s="17">
        <f>SUM(V27:V10000)</f>
        <v>0</v>
      </c>
      <c r="W25" s="2959"/>
      <c r="X25" s="17">
        <f>SUM(X27:X10000)</f>
        <v>0</v>
      </c>
      <c r="Y25" s="17">
        <f>SUM(Y27:Y10000)</f>
        <v>0</v>
      </c>
      <c r="Z25" s="1526"/>
    </row>
    <row r="26" spans="1:45" s="11" customFormat="1" ht="24">
      <c r="A26" s="10" t="s">
        <v>2173</v>
      </c>
      <c r="B26" s="10" t="s">
        <v>2174</v>
      </c>
      <c r="C26" s="10" t="s">
        <v>2175</v>
      </c>
      <c r="D26" s="10" t="str">
        <f>B8</f>
        <v>朝向</v>
      </c>
      <c r="E26" s="10" t="s">
        <v>2175</v>
      </c>
      <c r="F26" s="10" t="str">
        <f>B10</f>
        <v>装修</v>
      </c>
      <c r="G26" s="10" t="s">
        <v>2175</v>
      </c>
      <c r="H26" s="10" t="str">
        <f>B12</f>
        <v>修正项4</v>
      </c>
      <c r="I26" s="10" t="s">
        <v>2175</v>
      </c>
      <c r="J26" s="10" t="str">
        <f>B14</f>
        <v>修正项5</v>
      </c>
      <c r="K26" s="10" t="s">
        <v>2175</v>
      </c>
      <c r="L26" s="10" t="str">
        <f>B16</f>
        <v>修正项6</v>
      </c>
      <c r="M26" s="10" t="s">
        <v>2175</v>
      </c>
      <c r="N26" s="10" t="str">
        <f>B18</f>
        <v>修正项7</v>
      </c>
      <c r="O26" s="10" t="s">
        <v>2175</v>
      </c>
      <c r="P26" s="10" t="str">
        <f>B20</f>
        <v>楼层</v>
      </c>
      <c r="Q26" s="10" t="s">
        <v>2175</v>
      </c>
      <c r="R26" s="598" t="s">
        <v>2176</v>
      </c>
      <c r="S26" s="10" t="s">
        <v>2177</v>
      </c>
      <c r="T26" s="10" t="s">
        <v>2177</v>
      </c>
      <c r="U26" s="684" t="s">
        <v>2178</v>
      </c>
      <c r="V26" s="684" t="s">
        <v>2179</v>
      </c>
      <c r="W26" s="10" t="s">
        <v>2180</v>
      </c>
      <c r="X26" s="684" t="s">
        <v>2178</v>
      </c>
      <c r="Y26" s="684" t="s">
        <v>2179</v>
      </c>
      <c r="Z26" s="10" t="s">
        <v>2180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f>面积指标!E2</f>
        <v>701</v>
      </c>
      <c r="B27" s="600">
        <f>'数据-取费表'!E5</f>
        <v>72.38</v>
      </c>
      <c r="C27" s="901">
        <v>1</v>
      </c>
      <c r="D27" s="601" t="s">
        <v>3042</v>
      </c>
      <c r="E27" s="901">
        <v>1</v>
      </c>
      <c r="F27" s="601" t="s">
        <v>3013</v>
      </c>
      <c r="G27" s="901">
        <v>1</v>
      </c>
      <c r="H27" s="601"/>
      <c r="I27" s="901">
        <v>1</v>
      </c>
      <c r="J27" s="601"/>
      <c r="K27" s="901">
        <v>1</v>
      </c>
      <c r="L27" s="601"/>
      <c r="M27" s="901">
        <v>1</v>
      </c>
      <c r="N27" s="601"/>
      <c r="O27" s="901">
        <v>1</v>
      </c>
      <c r="P27" s="601">
        <v>6</v>
      </c>
      <c r="Q27" s="901">
        <v>1</v>
      </c>
      <c r="R27" s="907">
        <f ca="1">'结果表 (1修多)'!G20</f>
        <v>25398</v>
      </c>
      <c r="S27" s="600">
        <f ca="1">ROUND(R27*B27,0)</f>
        <v>1838307</v>
      </c>
      <c r="T27" s="600">
        <f ca="1">ROUND(R27*B27/10000,0)</f>
        <v>184</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f>面积指标!E3</f>
        <v>702</v>
      </c>
      <c r="B28" s="35">
        <f>面积指标!F3</f>
        <v>71.95</v>
      </c>
      <c r="C28" s="13">
        <f t="shared" ref="C28:C91" si="14">IF(B28="",1,(LOOKUP(B28,$6:$6,$7:$7)-LOOKUP($B$27,$6:$6,$7:$7)+100)/100)</f>
        <v>1</v>
      </c>
      <c r="D28" s="601" t="s">
        <v>3042</v>
      </c>
      <c r="E28" s="13">
        <f t="shared" ref="E28:E91" si="15">(SUMIF($8:$8,D28,$9:$9)-SUMIF($8:$8,$D$27,$9:$9)+100)/100</f>
        <v>1</v>
      </c>
      <c r="F28" s="601" t="s">
        <v>3013</v>
      </c>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v>6</v>
      </c>
      <c r="Q28" s="13">
        <f t="shared" ref="Q28:Q91" si="21">(SUMIF($20:$20,P28,$21:$21)-SUMIF($20:$20,$P$27,$21:$21)+100)/100</f>
        <v>1</v>
      </c>
      <c r="R28" s="597">
        <f ca="1">IF(B28="",0,ROUND($R$27*C28*E28*G28*I28*K28*M28*O28*Q28,0))</f>
        <v>25398</v>
      </c>
      <c r="S28" s="250">
        <f ca="1">ROUND(R28*B28,0)</f>
        <v>1827386</v>
      </c>
      <c r="T28" s="901">
        <f ca="1">ROUND(R28*B28/10000,0)</f>
        <v>183</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599">
        <f>面积指标!E4</f>
        <v>703</v>
      </c>
      <c r="B29" s="35">
        <f>面积指标!F4</f>
        <v>71.95</v>
      </c>
      <c r="C29" s="13">
        <f t="shared" si="14"/>
        <v>1</v>
      </c>
      <c r="D29" s="601" t="s">
        <v>3044</v>
      </c>
      <c r="E29" s="13">
        <f t="shared" si="15"/>
        <v>0.99</v>
      </c>
      <c r="F29" s="601" t="s">
        <v>3013</v>
      </c>
      <c r="G29" s="13">
        <f t="shared" si="16"/>
        <v>1</v>
      </c>
      <c r="H29" s="601"/>
      <c r="I29" s="13">
        <f t="shared" si="17"/>
        <v>1</v>
      </c>
      <c r="J29" s="601"/>
      <c r="K29" s="13">
        <f t="shared" si="18"/>
        <v>1</v>
      </c>
      <c r="L29" s="601"/>
      <c r="M29" s="13">
        <f t="shared" si="19"/>
        <v>1</v>
      </c>
      <c r="N29" s="601"/>
      <c r="O29" s="13">
        <f t="shared" si="20"/>
        <v>1</v>
      </c>
      <c r="P29" s="601">
        <v>6</v>
      </c>
      <c r="Q29" s="13">
        <f t="shared" si="21"/>
        <v>1</v>
      </c>
      <c r="R29" s="597">
        <f t="shared" ref="R29:R92" ca="1" si="26">IF(B29="",0,ROUND($R$27*C29*E29*G29*I29*K29*M29*O29*Q29,0))</f>
        <v>25144</v>
      </c>
      <c r="S29" s="250">
        <f t="shared" ref="S29:S92" ca="1" si="27">ROUND(R29*B29,0)</f>
        <v>1809111</v>
      </c>
      <c r="T29" s="901">
        <f t="shared" ref="T29:T92" ca="1" si="28">ROUND(R29*B29/10000,0)</f>
        <v>181</v>
      </c>
      <c r="U29" s="2958">
        <f t="shared" si="22"/>
        <v>0</v>
      </c>
      <c r="V29" s="2958">
        <f t="shared" si="23"/>
        <v>0</v>
      </c>
      <c r="W29" s="998"/>
      <c r="X29" s="2958">
        <f t="shared" si="24"/>
        <v>0</v>
      </c>
      <c r="Y29" s="2958">
        <f t="shared" si="25"/>
        <v>0</v>
      </c>
      <c r="Z29" s="998"/>
    </row>
    <row r="30" spans="1:45">
      <c r="A30" s="599">
        <f>面积指标!E5</f>
        <v>704</v>
      </c>
      <c r="B30" s="35">
        <f>面积指标!F5</f>
        <v>71.739999999999995</v>
      </c>
      <c r="C30" s="13">
        <f t="shared" si="14"/>
        <v>1</v>
      </c>
      <c r="D30" s="601" t="s">
        <v>3044</v>
      </c>
      <c r="E30" s="13">
        <f t="shared" si="15"/>
        <v>0.99</v>
      </c>
      <c r="F30" s="601" t="s">
        <v>3013</v>
      </c>
      <c r="G30" s="13">
        <f t="shared" si="16"/>
        <v>1</v>
      </c>
      <c r="H30" s="601"/>
      <c r="I30" s="13">
        <f t="shared" si="17"/>
        <v>1</v>
      </c>
      <c r="J30" s="601"/>
      <c r="K30" s="13">
        <f t="shared" si="18"/>
        <v>1</v>
      </c>
      <c r="L30" s="601"/>
      <c r="M30" s="13">
        <f t="shared" si="19"/>
        <v>1</v>
      </c>
      <c r="N30" s="601"/>
      <c r="O30" s="13">
        <f t="shared" si="20"/>
        <v>1</v>
      </c>
      <c r="P30" s="601">
        <v>6</v>
      </c>
      <c r="Q30" s="13">
        <f t="shared" si="21"/>
        <v>1</v>
      </c>
      <c r="R30" s="597">
        <f t="shared" ca="1" si="26"/>
        <v>25144</v>
      </c>
      <c r="S30" s="250">
        <f t="shared" ca="1" si="27"/>
        <v>1803831</v>
      </c>
      <c r="T30" s="901">
        <f t="shared" ca="1" si="28"/>
        <v>180</v>
      </c>
      <c r="U30" s="2958">
        <f t="shared" si="22"/>
        <v>0</v>
      </c>
      <c r="V30" s="2958">
        <f t="shared" si="23"/>
        <v>0</v>
      </c>
      <c r="W30" s="998"/>
      <c r="X30" s="2958">
        <f t="shared" si="24"/>
        <v>0</v>
      </c>
      <c r="Y30" s="2958">
        <f t="shared" si="25"/>
        <v>0</v>
      </c>
      <c r="Z30" s="998"/>
    </row>
    <row r="31" spans="1:45">
      <c r="A31" s="599">
        <f>面积指标!E6</f>
        <v>705</v>
      </c>
      <c r="B31" s="35">
        <f>面积指标!F6</f>
        <v>71.739999999999995</v>
      </c>
      <c r="C31" s="13">
        <f t="shared" si="14"/>
        <v>1</v>
      </c>
      <c r="D31" s="601" t="s">
        <v>3044</v>
      </c>
      <c r="E31" s="13">
        <f t="shared" si="15"/>
        <v>0.99</v>
      </c>
      <c r="F31" s="601" t="s">
        <v>3013</v>
      </c>
      <c r="G31" s="13">
        <f t="shared" si="16"/>
        <v>1</v>
      </c>
      <c r="H31" s="601"/>
      <c r="I31" s="13">
        <f t="shared" si="17"/>
        <v>1</v>
      </c>
      <c r="J31" s="601"/>
      <c r="K31" s="13">
        <f t="shared" si="18"/>
        <v>1</v>
      </c>
      <c r="L31" s="601"/>
      <c r="M31" s="13">
        <f t="shared" si="19"/>
        <v>1</v>
      </c>
      <c r="N31" s="601"/>
      <c r="O31" s="13">
        <f t="shared" si="20"/>
        <v>1</v>
      </c>
      <c r="P31" s="601">
        <v>6</v>
      </c>
      <c r="Q31" s="13">
        <f t="shared" si="21"/>
        <v>1</v>
      </c>
      <c r="R31" s="597">
        <f t="shared" ca="1" si="26"/>
        <v>25144</v>
      </c>
      <c r="S31" s="250">
        <f t="shared" ca="1" si="27"/>
        <v>1803831</v>
      </c>
      <c r="T31" s="901">
        <f t="shared" ca="1" si="28"/>
        <v>180</v>
      </c>
      <c r="U31" s="2958">
        <f t="shared" si="22"/>
        <v>0</v>
      </c>
      <c r="V31" s="2958">
        <f t="shared" si="23"/>
        <v>0</v>
      </c>
      <c r="W31" s="998"/>
      <c r="X31" s="2958">
        <f t="shared" si="24"/>
        <v>0</v>
      </c>
      <c r="Y31" s="2958">
        <f t="shared" si="25"/>
        <v>0</v>
      </c>
      <c r="Z31" s="998"/>
    </row>
    <row r="32" spans="1:45">
      <c r="A32" s="599">
        <f>面积指标!E7</f>
        <v>706</v>
      </c>
      <c r="B32" s="35">
        <f>面积指标!F7</f>
        <v>71.739999999999995</v>
      </c>
      <c r="C32" s="13">
        <f t="shared" si="14"/>
        <v>1</v>
      </c>
      <c r="D32" s="601" t="s">
        <v>3044</v>
      </c>
      <c r="E32" s="13">
        <f t="shared" si="15"/>
        <v>0.99</v>
      </c>
      <c r="F32" s="601" t="s">
        <v>3013</v>
      </c>
      <c r="G32" s="13">
        <f t="shared" si="16"/>
        <v>1</v>
      </c>
      <c r="H32" s="601"/>
      <c r="I32" s="13">
        <f t="shared" si="17"/>
        <v>1</v>
      </c>
      <c r="J32" s="601"/>
      <c r="K32" s="13">
        <f t="shared" si="18"/>
        <v>1</v>
      </c>
      <c r="L32" s="601"/>
      <c r="M32" s="13">
        <f t="shared" si="19"/>
        <v>1</v>
      </c>
      <c r="N32" s="601"/>
      <c r="O32" s="13">
        <f t="shared" si="20"/>
        <v>1</v>
      </c>
      <c r="P32" s="601">
        <v>6</v>
      </c>
      <c r="Q32" s="13">
        <f t="shared" si="21"/>
        <v>1</v>
      </c>
      <c r="R32" s="597">
        <f t="shared" ca="1" si="26"/>
        <v>25144</v>
      </c>
      <c r="S32" s="250">
        <f t="shared" ca="1" si="27"/>
        <v>1803831</v>
      </c>
      <c r="T32" s="901">
        <f t="shared" ca="1" si="28"/>
        <v>180</v>
      </c>
      <c r="U32" s="2958">
        <f t="shared" si="22"/>
        <v>0</v>
      </c>
      <c r="V32" s="2958">
        <f t="shared" si="23"/>
        <v>0</v>
      </c>
      <c r="W32" s="998"/>
      <c r="X32" s="2958">
        <f t="shared" si="24"/>
        <v>0</v>
      </c>
      <c r="Y32" s="2958">
        <f t="shared" si="25"/>
        <v>0</v>
      </c>
      <c r="Z32" s="998"/>
    </row>
    <row r="33" spans="1:26">
      <c r="A33" s="599">
        <f>面积指标!E8</f>
        <v>707</v>
      </c>
      <c r="B33" s="35">
        <f>面积指标!F8</f>
        <v>71.739999999999995</v>
      </c>
      <c r="C33" s="13">
        <f t="shared" si="14"/>
        <v>1</v>
      </c>
      <c r="D33" s="601" t="s">
        <v>3044</v>
      </c>
      <c r="E33" s="13">
        <f t="shared" si="15"/>
        <v>0.99</v>
      </c>
      <c r="F33" s="601" t="s">
        <v>3013</v>
      </c>
      <c r="G33" s="13">
        <f t="shared" si="16"/>
        <v>1</v>
      </c>
      <c r="H33" s="601"/>
      <c r="I33" s="13">
        <f t="shared" si="17"/>
        <v>1</v>
      </c>
      <c r="J33" s="601"/>
      <c r="K33" s="13">
        <f t="shared" si="18"/>
        <v>1</v>
      </c>
      <c r="L33" s="601"/>
      <c r="M33" s="13">
        <f t="shared" si="19"/>
        <v>1</v>
      </c>
      <c r="N33" s="601"/>
      <c r="O33" s="13">
        <f t="shared" si="20"/>
        <v>1</v>
      </c>
      <c r="P33" s="601">
        <v>6</v>
      </c>
      <c r="Q33" s="13">
        <f t="shared" si="21"/>
        <v>1</v>
      </c>
      <c r="R33" s="597">
        <f t="shared" ca="1" si="26"/>
        <v>25144</v>
      </c>
      <c r="S33" s="250">
        <f t="shared" ca="1" si="27"/>
        <v>1803831</v>
      </c>
      <c r="T33" s="901">
        <f t="shared" ca="1" si="28"/>
        <v>180</v>
      </c>
      <c r="U33" s="2958">
        <f t="shared" si="22"/>
        <v>0</v>
      </c>
      <c r="V33" s="2958">
        <f t="shared" si="23"/>
        <v>0</v>
      </c>
      <c r="W33" s="998"/>
      <c r="X33" s="2958">
        <f t="shared" si="24"/>
        <v>0</v>
      </c>
      <c r="Y33" s="2958">
        <f t="shared" si="25"/>
        <v>0</v>
      </c>
      <c r="Z33" s="998"/>
    </row>
    <row r="34" spans="1:26">
      <c r="A34" s="599">
        <f>面积指标!E9</f>
        <v>708</v>
      </c>
      <c r="B34" s="35">
        <f>面积指标!F9</f>
        <v>71.95</v>
      </c>
      <c r="C34" s="13">
        <f t="shared" si="14"/>
        <v>1</v>
      </c>
      <c r="D34" s="601" t="s">
        <v>3044</v>
      </c>
      <c r="E34" s="13">
        <f t="shared" si="15"/>
        <v>0.99</v>
      </c>
      <c r="F34" s="601" t="s">
        <v>3013</v>
      </c>
      <c r="G34" s="13">
        <f t="shared" si="16"/>
        <v>1</v>
      </c>
      <c r="H34" s="601"/>
      <c r="I34" s="13">
        <f t="shared" si="17"/>
        <v>1</v>
      </c>
      <c r="J34" s="601"/>
      <c r="K34" s="13">
        <f t="shared" si="18"/>
        <v>1</v>
      </c>
      <c r="L34" s="601"/>
      <c r="M34" s="13">
        <f t="shared" si="19"/>
        <v>1</v>
      </c>
      <c r="N34" s="601"/>
      <c r="O34" s="13">
        <f t="shared" si="20"/>
        <v>1</v>
      </c>
      <c r="P34" s="601">
        <v>6</v>
      </c>
      <c r="Q34" s="13">
        <f t="shared" si="21"/>
        <v>1</v>
      </c>
      <c r="R34" s="597">
        <f t="shared" ca="1" si="26"/>
        <v>25144</v>
      </c>
      <c r="S34" s="250">
        <f t="shared" ca="1" si="27"/>
        <v>1809111</v>
      </c>
      <c r="T34" s="901">
        <f t="shared" ca="1" si="28"/>
        <v>181</v>
      </c>
      <c r="U34" s="2958">
        <f t="shared" si="22"/>
        <v>0</v>
      </c>
      <c r="V34" s="2958">
        <f t="shared" si="23"/>
        <v>0</v>
      </c>
      <c r="W34" s="998"/>
      <c r="X34" s="2958">
        <f t="shared" si="24"/>
        <v>0</v>
      </c>
      <c r="Y34" s="2958">
        <f t="shared" si="25"/>
        <v>0</v>
      </c>
      <c r="Z34" s="998"/>
    </row>
    <row r="35" spans="1:26">
      <c r="A35" s="599">
        <f>面积指标!E10</f>
        <v>709</v>
      </c>
      <c r="B35" s="35">
        <f>面积指标!F10</f>
        <v>71.95</v>
      </c>
      <c r="C35" s="13">
        <f t="shared" si="14"/>
        <v>1</v>
      </c>
      <c r="D35" s="601" t="s">
        <v>3044</v>
      </c>
      <c r="E35" s="13">
        <f t="shared" si="15"/>
        <v>0.99</v>
      </c>
      <c r="F35" s="601" t="s">
        <v>3013</v>
      </c>
      <c r="G35" s="13">
        <f t="shared" si="16"/>
        <v>1</v>
      </c>
      <c r="H35" s="601"/>
      <c r="I35" s="13">
        <f t="shared" si="17"/>
        <v>1</v>
      </c>
      <c r="J35" s="601"/>
      <c r="K35" s="13">
        <f t="shared" si="18"/>
        <v>1</v>
      </c>
      <c r="L35" s="601"/>
      <c r="M35" s="13">
        <f t="shared" si="19"/>
        <v>1</v>
      </c>
      <c r="N35" s="601"/>
      <c r="O35" s="13">
        <f t="shared" si="20"/>
        <v>1</v>
      </c>
      <c r="P35" s="601">
        <v>6</v>
      </c>
      <c r="Q35" s="13">
        <f t="shared" si="21"/>
        <v>1</v>
      </c>
      <c r="R35" s="597">
        <f t="shared" ca="1" si="26"/>
        <v>25144</v>
      </c>
      <c r="S35" s="250">
        <f t="shared" ca="1" si="27"/>
        <v>1809111</v>
      </c>
      <c r="T35" s="901">
        <f t="shared" ca="1" si="28"/>
        <v>181</v>
      </c>
      <c r="U35" s="2958">
        <f t="shared" si="22"/>
        <v>0</v>
      </c>
      <c r="V35" s="2958">
        <f t="shared" si="23"/>
        <v>0</v>
      </c>
      <c r="W35" s="998"/>
      <c r="X35" s="2958">
        <f t="shared" si="24"/>
        <v>0</v>
      </c>
      <c r="Y35" s="2958">
        <f t="shared" si="25"/>
        <v>0</v>
      </c>
      <c r="Z35" s="998"/>
    </row>
    <row r="36" spans="1:26">
      <c r="A36" s="599">
        <f>面积指标!E11</f>
        <v>710</v>
      </c>
      <c r="B36" s="35">
        <f>面积指标!F11</f>
        <v>71.75</v>
      </c>
      <c r="C36" s="13">
        <f t="shared" si="14"/>
        <v>1</v>
      </c>
      <c r="D36" s="601" t="s">
        <v>3042</v>
      </c>
      <c r="E36" s="13">
        <f t="shared" si="15"/>
        <v>1</v>
      </c>
      <c r="F36" s="601" t="s">
        <v>3013</v>
      </c>
      <c r="G36" s="13">
        <f t="shared" si="16"/>
        <v>1</v>
      </c>
      <c r="H36" s="601"/>
      <c r="I36" s="13">
        <f t="shared" si="17"/>
        <v>1</v>
      </c>
      <c r="J36" s="601"/>
      <c r="K36" s="13">
        <f t="shared" si="18"/>
        <v>1</v>
      </c>
      <c r="L36" s="601"/>
      <c r="M36" s="13">
        <f t="shared" si="19"/>
        <v>1</v>
      </c>
      <c r="N36" s="601"/>
      <c r="O36" s="13">
        <f t="shared" si="20"/>
        <v>1</v>
      </c>
      <c r="P36" s="601">
        <v>6</v>
      </c>
      <c r="Q36" s="13">
        <f t="shared" si="21"/>
        <v>1</v>
      </c>
      <c r="R36" s="597">
        <f t="shared" ca="1" si="26"/>
        <v>25398</v>
      </c>
      <c r="S36" s="250">
        <f t="shared" ca="1" si="27"/>
        <v>1822307</v>
      </c>
      <c r="T36" s="901">
        <f t="shared" ca="1" si="28"/>
        <v>182</v>
      </c>
      <c r="U36" s="2958">
        <f t="shared" si="22"/>
        <v>0</v>
      </c>
      <c r="V36" s="2958">
        <f t="shared" si="23"/>
        <v>0</v>
      </c>
      <c r="W36" s="998"/>
      <c r="X36" s="2958">
        <f t="shared" si="24"/>
        <v>0</v>
      </c>
      <c r="Y36" s="2958">
        <f t="shared" si="25"/>
        <v>0</v>
      </c>
      <c r="Z36" s="998"/>
    </row>
    <row r="37" spans="1:26">
      <c r="A37" s="35"/>
      <c r="B37" s="20"/>
      <c r="C37" s="13">
        <f t="shared" si="14"/>
        <v>1</v>
      </c>
      <c r="D37" s="601" t="s">
        <v>3042</v>
      </c>
      <c r="E37" s="13">
        <f t="shared" si="15"/>
        <v>1</v>
      </c>
      <c r="F37" s="601" t="s">
        <v>3013</v>
      </c>
      <c r="G37" s="13">
        <f t="shared" si="16"/>
        <v>1</v>
      </c>
      <c r="H37" s="601"/>
      <c r="I37" s="13">
        <f t="shared" si="17"/>
        <v>1</v>
      </c>
      <c r="J37" s="601"/>
      <c r="K37" s="13">
        <f t="shared" si="18"/>
        <v>1</v>
      </c>
      <c r="L37" s="601"/>
      <c r="M37" s="13">
        <f t="shared" si="19"/>
        <v>1</v>
      </c>
      <c r="N37" s="601"/>
      <c r="O37" s="13">
        <f t="shared" si="20"/>
        <v>1</v>
      </c>
      <c r="P37" s="601">
        <v>6</v>
      </c>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0</v>
      </c>
      <c r="F38" s="601"/>
      <c r="G38" s="13">
        <f t="shared" si="16"/>
        <v>0</v>
      </c>
      <c r="H38" s="601"/>
      <c r="I38" s="13">
        <f t="shared" si="17"/>
        <v>1</v>
      </c>
      <c r="J38" s="601"/>
      <c r="K38" s="13">
        <f t="shared" si="18"/>
        <v>1</v>
      </c>
      <c r="L38" s="601"/>
      <c r="M38" s="13">
        <f t="shared" si="19"/>
        <v>1</v>
      </c>
      <c r="N38" s="601"/>
      <c r="O38" s="13">
        <f t="shared" si="20"/>
        <v>1</v>
      </c>
      <c r="P38" s="601"/>
      <c r="Q38" s="13">
        <f t="shared" si="21"/>
        <v>0</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0</v>
      </c>
      <c r="F39" s="601"/>
      <c r="G39" s="13">
        <f t="shared" si="16"/>
        <v>0</v>
      </c>
      <c r="H39" s="601"/>
      <c r="I39" s="13">
        <f t="shared" si="17"/>
        <v>1</v>
      </c>
      <c r="J39" s="601"/>
      <c r="K39" s="13">
        <f t="shared" si="18"/>
        <v>1</v>
      </c>
      <c r="L39" s="601"/>
      <c r="M39" s="13">
        <f t="shared" si="19"/>
        <v>1</v>
      </c>
      <c r="N39" s="601"/>
      <c r="O39" s="13">
        <f t="shared" si="20"/>
        <v>1</v>
      </c>
      <c r="P39" s="601"/>
      <c r="Q39" s="13">
        <f t="shared" si="21"/>
        <v>0</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0</v>
      </c>
      <c r="F40" s="601"/>
      <c r="G40" s="13">
        <f t="shared" si="16"/>
        <v>0</v>
      </c>
      <c r="H40" s="601"/>
      <c r="I40" s="13">
        <f t="shared" si="17"/>
        <v>1</v>
      </c>
      <c r="J40" s="601"/>
      <c r="K40" s="13">
        <f t="shared" si="18"/>
        <v>1</v>
      </c>
      <c r="L40" s="601"/>
      <c r="M40" s="13">
        <f t="shared" si="19"/>
        <v>1</v>
      </c>
      <c r="N40" s="601"/>
      <c r="O40" s="13">
        <f t="shared" si="20"/>
        <v>1</v>
      </c>
      <c r="P40" s="601"/>
      <c r="Q40" s="13">
        <f t="shared" si="21"/>
        <v>0</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0</v>
      </c>
      <c r="F41" s="601"/>
      <c r="G41" s="13">
        <f t="shared" si="16"/>
        <v>0</v>
      </c>
      <c r="H41" s="601"/>
      <c r="I41" s="13">
        <f t="shared" si="17"/>
        <v>1</v>
      </c>
      <c r="J41" s="601"/>
      <c r="K41" s="13">
        <f t="shared" si="18"/>
        <v>1</v>
      </c>
      <c r="L41" s="601"/>
      <c r="M41" s="13">
        <f t="shared" si="19"/>
        <v>1</v>
      </c>
      <c r="N41" s="601"/>
      <c r="O41" s="13">
        <f t="shared" si="20"/>
        <v>1</v>
      </c>
      <c r="P41" s="601"/>
      <c r="Q41" s="13">
        <f t="shared" si="21"/>
        <v>0</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0</v>
      </c>
      <c r="F42" s="601"/>
      <c r="G42" s="13">
        <f t="shared" si="16"/>
        <v>0</v>
      </c>
      <c r="H42" s="601"/>
      <c r="I42" s="13">
        <f t="shared" si="17"/>
        <v>1</v>
      </c>
      <c r="J42" s="601"/>
      <c r="K42" s="13">
        <f t="shared" si="18"/>
        <v>1</v>
      </c>
      <c r="L42" s="601"/>
      <c r="M42" s="13">
        <f t="shared" si="19"/>
        <v>1</v>
      </c>
      <c r="N42" s="601"/>
      <c r="O42" s="13">
        <f t="shared" si="20"/>
        <v>1</v>
      </c>
      <c r="P42" s="601"/>
      <c r="Q42" s="13">
        <f t="shared" si="21"/>
        <v>0</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0</v>
      </c>
      <c r="F43" s="601"/>
      <c r="G43" s="13">
        <f t="shared" si="16"/>
        <v>0</v>
      </c>
      <c r="H43" s="601"/>
      <c r="I43" s="13">
        <f t="shared" si="17"/>
        <v>1</v>
      </c>
      <c r="J43" s="601"/>
      <c r="K43" s="13">
        <f t="shared" si="18"/>
        <v>1</v>
      </c>
      <c r="L43" s="601"/>
      <c r="M43" s="13">
        <f t="shared" si="19"/>
        <v>1</v>
      </c>
      <c r="N43" s="601"/>
      <c r="O43" s="13">
        <f t="shared" si="20"/>
        <v>1</v>
      </c>
      <c r="P43" s="601"/>
      <c r="Q43" s="13">
        <f t="shared" si="21"/>
        <v>0</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0</v>
      </c>
      <c r="F44" s="601"/>
      <c r="G44" s="13">
        <f t="shared" si="16"/>
        <v>0</v>
      </c>
      <c r="H44" s="601"/>
      <c r="I44" s="13">
        <f t="shared" si="17"/>
        <v>1</v>
      </c>
      <c r="J44" s="601"/>
      <c r="K44" s="13">
        <f t="shared" si="18"/>
        <v>1</v>
      </c>
      <c r="L44" s="601"/>
      <c r="M44" s="13">
        <f t="shared" si="19"/>
        <v>1</v>
      </c>
      <c r="N44" s="601"/>
      <c r="O44" s="13">
        <f t="shared" si="20"/>
        <v>1</v>
      </c>
      <c r="P44" s="601"/>
      <c r="Q44" s="13">
        <f t="shared" si="21"/>
        <v>0</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0</v>
      </c>
      <c r="F45" s="601"/>
      <c r="G45" s="13">
        <f t="shared" si="16"/>
        <v>0</v>
      </c>
      <c r="H45" s="601"/>
      <c r="I45" s="13">
        <f t="shared" si="17"/>
        <v>1</v>
      </c>
      <c r="J45" s="601"/>
      <c r="K45" s="13">
        <f t="shared" si="18"/>
        <v>1</v>
      </c>
      <c r="L45" s="601"/>
      <c r="M45" s="13">
        <f t="shared" si="19"/>
        <v>1</v>
      </c>
      <c r="N45" s="601"/>
      <c r="O45" s="13">
        <f t="shared" si="20"/>
        <v>1</v>
      </c>
      <c r="P45" s="601"/>
      <c r="Q45" s="13">
        <f t="shared" si="21"/>
        <v>0</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0</v>
      </c>
      <c r="F46" s="601"/>
      <c r="G46" s="13">
        <f t="shared" si="16"/>
        <v>0</v>
      </c>
      <c r="H46" s="601"/>
      <c r="I46" s="13">
        <f t="shared" si="17"/>
        <v>1</v>
      </c>
      <c r="J46" s="601"/>
      <c r="K46" s="13">
        <f t="shared" si="18"/>
        <v>1</v>
      </c>
      <c r="L46" s="601"/>
      <c r="M46" s="13">
        <f t="shared" si="19"/>
        <v>1</v>
      </c>
      <c r="N46" s="601"/>
      <c r="O46" s="13">
        <f t="shared" si="20"/>
        <v>1</v>
      </c>
      <c r="P46" s="601"/>
      <c r="Q46" s="13">
        <f t="shared" si="21"/>
        <v>0</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0</v>
      </c>
      <c r="F47" s="601"/>
      <c r="G47" s="13">
        <f t="shared" si="16"/>
        <v>0</v>
      </c>
      <c r="H47" s="601"/>
      <c r="I47" s="13">
        <f t="shared" si="17"/>
        <v>1</v>
      </c>
      <c r="J47" s="601"/>
      <c r="K47" s="13">
        <f t="shared" si="18"/>
        <v>1</v>
      </c>
      <c r="L47" s="601"/>
      <c r="M47" s="13">
        <f t="shared" si="19"/>
        <v>1</v>
      </c>
      <c r="N47" s="601"/>
      <c r="O47" s="13">
        <f t="shared" si="20"/>
        <v>1</v>
      </c>
      <c r="P47" s="601"/>
      <c r="Q47" s="13">
        <f t="shared" si="21"/>
        <v>0</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0</v>
      </c>
      <c r="F48" s="601"/>
      <c r="G48" s="13">
        <f t="shared" si="16"/>
        <v>0</v>
      </c>
      <c r="H48" s="601"/>
      <c r="I48" s="13">
        <f t="shared" si="17"/>
        <v>1</v>
      </c>
      <c r="J48" s="601"/>
      <c r="K48" s="13">
        <f t="shared" si="18"/>
        <v>1</v>
      </c>
      <c r="L48" s="601"/>
      <c r="M48" s="13">
        <f t="shared" si="19"/>
        <v>1</v>
      </c>
      <c r="N48" s="601"/>
      <c r="O48" s="13">
        <f t="shared" si="20"/>
        <v>1</v>
      </c>
      <c r="P48" s="601"/>
      <c r="Q48" s="13">
        <f t="shared" si="21"/>
        <v>0</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0</v>
      </c>
      <c r="F49" s="601"/>
      <c r="G49" s="13">
        <f t="shared" si="16"/>
        <v>0</v>
      </c>
      <c r="H49" s="601"/>
      <c r="I49" s="13">
        <f t="shared" si="17"/>
        <v>1</v>
      </c>
      <c r="J49" s="601"/>
      <c r="K49" s="13">
        <f t="shared" si="18"/>
        <v>1</v>
      </c>
      <c r="L49" s="601"/>
      <c r="M49" s="13">
        <f t="shared" si="19"/>
        <v>1</v>
      </c>
      <c r="N49" s="601"/>
      <c r="O49" s="13">
        <f t="shared" si="20"/>
        <v>1</v>
      </c>
      <c r="P49" s="601"/>
      <c r="Q49" s="13">
        <f t="shared" si="21"/>
        <v>0</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0</v>
      </c>
      <c r="F50" s="601"/>
      <c r="G50" s="13">
        <f t="shared" si="16"/>
        <v>0</v>
      </c>
      <c r="H50" s="601"/>
      <c r="I50" s="13">
        <f t="shared" si="17"/>
        <v>1</v>
      </c>
      <c r="J50" s="601"/>
      <c r="K50" s="13">
        <f t="shared" si="18"/>
        <v>1</v>
      </c>
      <c r="L50" s="601"/>
      <c r="M50" s="13">
        <f t="shared" si="19"/>
        <v>1</v>
      </c>
      <c r="N50" s="601"/>
      <c r="O50" s="13">
        <f t="shared" si="20"/>
        <v>1</v>
      </c>
      <c r="P50" s="601"/>
      <c r="Q50" s="13">
        <f t="shared" si="21"/>
        <v>0</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0</v>
      </c>
      <c r="F51" s="601"/>
      <c r="G51" s="13">
        <f t="shared" si="16"/>
        <v>0</v>
      </c>
      <c r="H51" s="601"/>
      <c r="I51" s="13">
        <f t="shared" si="17"/>
        <v>1</v>
      </c>
      <c r="J51" s="601"/>
      <c r="K51" s="13">
        <f t="shared" si="18"/>
        <v>1</v>
      </c>
      <c r="L51" s="601"/>
      <c r="M51" s="13">
        <f t="shared" si="19"/>
        <v>1</v>
      </c>
      <c r="N51" s="601"/>
      <c r="O51" s="13">
        <f t="shared" si="20"/>
        <v>1</v>
      </c>
      <c r="P51" s="601"/>
      <c r="Q51" s="13">
        <f t="shared" si="21"/>
        <v>0</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0</v>
      </c>
      <c r="F52" s="601"/>
      <c r="G52" s="13">
        <f t="shared" si="16"/>
        <v>0</v>
      </c>
      <c r="H52" s="601"/>
      <c r="I52" s="13">
        <f t="shared" si="17"/>
        <v>1</v>
      </c>
      <c r="J52" s="601"/>
      <c r="K52" s="13">
        <f t="shared" si="18"/>
        <v>1</v>
      </c>
      <c r="L52" s="601"/>
      <c r="M52" s="13">
        <f t="shared" si="19"/>
        <v>1</v>
      </c>
      <c r="N52" s="601"/>
      <c r="O52" s="13">
        <f t="shared" si="20"/>
        <v>1</v>
      </c>
      <c r="P52" s="601"/>
      <c r="Q52" s="13">
        <f t="shared" si="21"/>
        <v>0</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0</v>
      </c>
      <c r="F53" s="601"/>
      <c r="G53" s="13">
        <f t="shared" si="16"/>
        <v>0</v>
      </c>
      <c r="H53" s="601"/>
      <c r="I53" s="13">
        <f t="shared" si="17"/>
        <v>1</v>
      </c>
      <c r="J53" s="601"/>
      <c r="K53" s="13">
        <f t="shared" si="18"/>
        <v>1</v>
      </c>
      <c r="L53" s="601"/>
      <c r="M53" s="13">
        <f t="shared" si="19"/>
        <v>1</v>
      </c>
      <c r="N53" s="601"/>
      <c r="O53" s="13">
        <f t="shared" si="20"/>
        <v>1</v>
      </c>
      <c r="P53" s="601"/>
      <c r="Q53" s="13">
        <f t="shared" si="21"/>
        <v>0</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0</v>
      </c>
      <c r="F54" s="601"/>
      <c r="G54" s="13">
        <f t="shared" si="16"/>
        <v>0</v>
      </c>
      <c r="H54" s="601"/>
      <c r="I54" s="13">
        <f t="shared" si="17"/>
        <v>1</v>
      </c>
      <c r="J54" s="601"/>
      <c r="K54" s="13">
        <f t="shared" si="18"/>
        <v>1</v>
      </c>
      <c r="L54" s="601"/>
      <c r="M54" s="13">
        <f t="shared" si="19"/>
        <v>1</v>
      </c>
      <c r="N54" s="601"/>
      <c r="O54" s="13">
        <f t="shared" si="20"/>
        <v>1</v>
      </c>
      <c r="P54" s="601"/>
      <c r="Q54" s="13">
        <f t="shared" si="21"/>
        <v>0</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0</v>
      </c>
      <c r="F55" s="601"/>
      <c r="G55" s="13">
        <f t="shared" si="16"/>
        <v>0</v>
      </c>
      <c r="H55" s="601"/>
      <c r="I55" s="13">
        <f t="shared" si="17"/>
        <v>1</v>
      </c>
      <c r="J55" s="601"/>
      <c r="K55" s="13">
        <f t="shared" si="18"/>
        <v>1</v>
      </c>
      <c r="L55" s="601"/>
      <c r="M55" s="13">
        <f t="shared" si="19"/>
        <v>1</v>
      </c>
      <c r="N55" s="601"/>
      <c r="O55" s="13">
        <f t="shared" si="20"/>
        <v>1</v>
      </c>
      <c r="P55" s="601"/>
      <c r="Q55" s="13">
        <f t="shared" si="21"/>
        <v>0</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0</v>
      </c>
      <c r="F56" s="601"/>
      <c r="G56" s="13">
        <f t="shared" si="16"/>
        <v>0</v>
      </c>
      <c r="H56" s="601"/>
      <c r="I56" s="13">
        <f t="shared" si="17"/>
        <v>1</v>
      </c>
      <c r="J56" s="601"/>
      <c r="K56" s="13">
        <f t="shared" si="18"/>
        <v>1</v>
      </c>
      <c r="L56" s="601"/>
      <c r="M56" s="13">
        <f t="shared" si="19"/>
        <v>1</v>
      </c>
      <c r="N56" s="601"/>
      <c r="O56" s="13">
        <f t="shared" si="20"/>
        <v>1</v>
      </c>
      <c r="P56" s="601"/>
      <c r="Q56" s="13">
        <f t="shared" si="21"/>
        <v>0</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0</v>
      </c>
      <c r="F57" s="601"/>
      <c r="G57" s="13">
        <f t="shared" si="16"/>
        <v>0</v>
      </c>
      <c r="H57" s="601"/>
      <c r="I57" s="13">
        <f t="shared" si="17"/>
        <v>1</v>
      </c>
      <c r="J57" s="601"/>
      <c r="K57" s="13">
        <f t="shared" si="18"/>
        <v>1</v>
      </c>
      <c r="L57" s="601"/>
      <c r="M57" s="13">
        <f t="shared" si="19"/>
        <v>1</v>
      </c>
      <c r="N57" s="601"/>
      <c r="O57" s="13">
        <f t="shared" si="20"/>
        <v>1</v>
      </c>
      <c r="P57" s="601"/>
      <c r="Q57" s="13">
        <f t="shared" si="21"/>
        <v>0</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0</v>
      </c>
      <c r="F58" s="601"/>
      <c r="G58" s="13">
        <f t="shared" si="16"/>
        <v>0</v>
      </c>
      <c r="H58" s="601"/>
      <c r="I58" s="13">
        <f t="shared" si="17"/>
        <v>1</v>
      </c>
      <c r="J58" s="601"/>
      <c r="K58" s="13">
        <f t="shared" si="18"/>
        <v>1</v>
      </c>
      <c r="L58" s="601"/>
      <c r="M58" s="13">
        <f t="shared" si="19"/>
        <v>1</v>
      </c>
      <c r="N58" s="601"/>
      <c r="O58" s="13">
        <f t="shared" si="20"/>
        <v>1</v>
      </c>
      <c r="P58" s="601"/>
      <c r="Q58" s="13">
        <f t="shared" si="21"/>
        <v>0</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0</v>
      </c>
      <c r="F59" s="601"/>
      <c r="G59" s="13">
        <f t="shared" si="16"/>
        <v>0</v>
      </c>
      <c r="H59" s="601"/>
      <c r="I59" s="13">
        <f t="shared" si="17"/>
        <v>1</v>
      </c>
      <c r="J59" s="601"/>
      <c r="K59" s="13">
        <f t="shared" si="18"/>
        <v>1</v>
      </c>
      <c r="L59" s="601"/>
      <c r="M59" s="13">
        <f t="shared" si="19"/>
        <v>1</v>
      </c>
      <c r="N59" s="601"/>
      <c r="O59" s="13">
        <f t="shared" si="20"/>
        <v>1</v>
      </c>
      <c r="P59" s="601"/>
      <c r="Q59" s="13">
        <f t="shared" si="21"/>
        <v>0</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0</v>
      </c>
      <c r="F60" s="601"/>
      <c r="G60" s="13">
        <f t="shared" si="16"/>
        <v>0</v>
      </c>
      <c r="H60" s="601"/>
      <c r="I60" s="13">
        <f t="shared" si="17"/>
        <v>1</v>
      </c>
      <c r="J60" s="601"/>
      <c r="K60" s="13">
        <f t="shared" si="18"/>
        <v>1</v>
      </c>
      <c r="L60" s="601"/>
      <c r="M60" s="13">
        <f t="shared" si="19"/>
        <v>1</v>
      </c>
      <c r="N60" s="601"/>
      <c r="O60" s="13">
        <f t="shared" si="20"/>
        <v>1</v>
      </c>
      <c r="P60" s="601"/>
      <c r="Q60" s="13">
        <f t="shared" si="21"/>
        <v>0</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0</v>
      </c>
      <c r="F61" s="601"/>
      <c r="G61" s="13">
        <f t="shared" si="16"/>
        <v>0</v>
      </c>
      <c r="H61" s="601"/>
      <c r="I61" s="13">
        <f t="shared" si="17"/>
        <v>1</v>
      </c>
      <c r="J61" s="601"/>
      <c r="K61" s="13">
        <f t="shared" si="18"/>
        <v>1</v>
      </c>
      <c r="L61" s="601"/>
      <c r="M61" s="13">
        <f t="shared" si="19"/>
        <v>1</v>
      </c>
      <c r="N61" s="601"/>
      <c r="O61" s="13">
        <f t="shared" si="20"/>
        <v>1</v>
      </c>
      <c r="P61" s="601"/>
      <c r="Q61" s="13">
        <f t="shared" si="21"/>
        <v>0</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0</v>
      </c>
      <c r="F62" s="601"/>
      <c r="G62" s="13">
        <f t="shared" si="16"/>
        <v>0</v>
      </c>
      <c r="H62" s="601"/>
      <c r="I62" s="13">
        <f t="shared" si="17"/>
        <v>1</v>
      </c>
      <c r="J62" s="601"/>
      <c r="K62" s="13">
        <f t="shared" si="18"/>
        <v>1</v>
      </c>
      <c r="L62" s="601"/>
      <c r="M62" s="13">
        <f t="shared" si="19"/>
        <v>1</v>
      </c>
      <c r="N62" s="601"/>
      <c r="O62" s="13">
        <f t="shared" si="20"/>
        <v>1</v>
      </c>
      <c r="P62" s="601"/>
      <c r="Q62" s="13">
        <f t="shared" si="21"/>
        <v>0</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0</v>
      </c>
      <c r="F63" s="601"/>
      <c r="G63" s="13">
        <f t="shared" si="16"/>
        <v>0</v>
      </c>
      <c r="H63" s="601"/>
      <c r="I63" s="13">
        <f t="shared" si="17"/>
        <v>1</v>
      </c>
      <c r="J63" s="601"/>
      <c r="K63" s="13">
        <f t="shared" si="18"/>
        <v>1</v>
      </c>
      <c r="L63" s="601"/>
      <c r="M63" s="13">
        <f t="shared" si="19"/>
        <v>1</v>
      </c>
      <c r="N63" s="601"/>
      <c r="O63" s="13">
        <f t="shared" si="20"/>
        <v>1</v>
      </c>
      <c r="P63" s="601"/>
      <c r="Q63" s="13">
        <f t="shared" si="21"/>
        <v>0</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0</v>
      </c>
      <c r="F64" s="601"/>
      <c r="G64" s="13">
        <f t="shared" si="16"/>
        <v>0</v>
      </c>
      <c r="H64" s="601"/>
      <c r="I64" s="13">
        <f t="shared" si="17"/>
        <v>1</v>
      </c>
      <c r="J64" s="601"/>
      <c r="K64" s="13">
        <f t="shared" si="18"/>
        <v>1</v>
      </c>
      <c r="L64" s="601"/>
      <c r="M64" s="13">
        <f t="shared" si="19"/>
        <v>1</v>
      </c>
      <c r="N64" s="601"/>
      <c r="O64" s="13">
        <f t="shared" si="20"/>
        <v>1</v>
      </c>
      <c r="P64" s="601"/>
      <c r="Q64" s="13">
        <f t="shared" si="21"/>
        <v>0</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0</v>
      </c>
      <c r="F65" s="601"/>
      <c r="G65" s="13">
        <f t="shared" si="16"/>
        <v>0</v>
      </c>
      <c r="H65" s="601"/>
      <c r="I65" s="13">
        <f t="shared" si="17"/>
        <v>1</v>
      </c>
      <c r="J65" s="601"/>
      <c r="K65" s="13">
        <f t="shared" si="18"/>
        <v>1</v>
      </c>
      <c r="L65" s="601"/>
      <c r="M65" s="13">
        <f t="shared" si="19"/>
        <v>1</v>
      </c>
      <c r="N65" s="601"/>
      <c r="O65" s="13">
        <f t="shared" si="20"/>
        <v>1</v>
      </c>
      <c r="P65" s="601"/>
      <c r="Q65" s="13">
        <f t="shared" si="21"/>
        <v>0</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0</v>
      </c>
      <c r="F66" s="601"/>
      <c r="G66" s="13">
        <f t="shared" si="16"/>
        <v>0</v>
      </c>
      <c r="H66" s="601"/>
      <c r="I66" s="13">
        <f t="shared" si="17"/>
        <v>1</v>
      </c>
      <c r="J66" s="601"/>
      <c r="K66" s="13">
        <f t="shared" si="18"/>
        <v>1</v>
      </c>
      <c r="L66" s="601"/>
      <c r="M66" s="13">
        <f t="shared" si="19"/>
        <v>1</v>
      </c>
      <c r="N66" s="601"/>
      <c r="O66" s="13">
        <f t="shared" si="20"/>
        <v>1</v>
      </c>
      <c r="P66" s="601"/>
      <c r="Q66" s="13">
        <f t="shared" si="21"/>
        <v>0</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0</v>
      </c>
      <c r="F67" s="601"/>
      <c r="G67" s="13">
        <f t="shared" si="16"/>
        <v>0</v>
      </c>
      <c r="H67" s="601"/>
      <c r="I67" s="13">
        <f t="shared" si="17"/>
        <v>1</v>
      </c>
      <c r="J67" s="601"/>
      <c r="K67" s="13">
        <f t="shared" si="18"/>
        <v>1</v>
      </c>
      <c r="L67" s="601"/>
      <c r="M67" s="13">
        <f t="shared" si="19"/>
        <v>1</v>
      </c>
      <c r="N67" s="601"/>
      <c r="O67" s="13">
        <f t="shared" si="20"/>
        <v>1</v>
      </c>
      <c r="P67" s="601"/>
      <c r="Q67" s="13">
        <f t="shared" si="21"/>
        <v>0</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0</v>
      </c>
      <c r="F68" s="601"/>
      <c r="G68" s="13">
        <f t="shared" si="16"/>
        <v>0</v>
      </c>
      <c r="H68" s="601"/>
      <c r="I68" s="13">
        <f t="shared" si="17"/>
        <v>1</v>
      </c>
      <c r="J68" s="601"/>
      <c r="K68" s="13">
        <f t="shared" si="18"/>
        <v>1</v>
      </c>
      <c r="L68" s="601"/>
      <c r="M68" s="13">
        <f t="shared" si="19"/>
        <v>1</v>
      </c>
      <c r="N68" s="601"/>
      <c r="O68" s="13">
        <f t="shared" si="20"/>
        <v>1</v>
      </c>
      <c r="P68" s="601"/>
      <c r="Q68" s="13">
        <f t="shared" si="21"/>
        <v>0</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0</v>
      </c>
      <c r="F69" s="601"/>
      <c r="G69" s="13">
        <f t="shared" si="16"/>
        <v>0</v>
      </c>
      <c r="H69" s="601"/>
      <c r="I69" s="13">
        <f t="shared" si="17"/>
        <v>1</v>
      </c>
      <c r="J69" s="601"/>
      <c r="K69" s="13">
        <f t="shared" si="18"/>
        <v>1</v>
      </c>
      <c r="L69" s="601"/>
      <c r="M69" s="13">
        <f t="shared" si="19"/>
        <v>1</v>
      </c>
      <c r="N69" s="601"/>
      <c r="O69" s="13">
        <f t="shared" si="20"/>
        <v>1</v>
      </c>
      <c r="P69" s="601"/>
      <c r="Q69" s="13">
        <f t="shared" si="21"/>
        <v>0</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0</v>
      </c>
      <c r="F70" s="601"/>
      <c r="G70" s="13">
        <f t="shared" si="16"/>
        <v>0</v>
      </c>
      <c r="H70" s="601"/>
      <c r="I70" s="13">
        <f t="shared" si="17"/>
        <v>1</v>
      </c>
      <c r="J70" s="601"/>
      <c r="K70" s="13">
        <f t="shared" si="18"/>
        <v>1</v>
      </c>
      <c r="L70" s="601"/>
      <c r="M70" s="13">
        <f t="shared" si="19"/>
        <v>1</v>
      </c>
      <c r="N70" s="601"/>
      <c r="O70" s="13">
        <f t="shared" si="20"/>
        <v>1</v>
      </c>
      <c r="P70" s="601"/>
      <c r="Q70" s="13">
        <f t="shared" si="21"/>
        <v>0</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0</v>
      </c>
      <c r="F71" s="601"/>
      <c r="G71" s="13">
        <f t="shared" si="16"/>
        <v>0</v>
      </c>
      <c r="H71" s="601"/>
      <c r="I71" s="13">
        <f t="shared" si="17"/>
        <v>1</v>
      </c>
      <c r="J71" s="601"/>
      <c r="K71" s="13">
        <f t="shared" si="18"/>
        <v>1</v>
      </c>
      <c r="L71" s="601"/>
      <c r="M71" s="13">
        <f t="shared" si="19"/>
        <v>1</v>
      </c>
      <c r="N71" s="601"/>
      <c r="O71" s="13">
        <f t="shared" si="20"/>
        <v>1</v>
      </c>
      <c r="P71" s="601"/>
      <c r="Q71" s="13">
        <f t="shared" si="21"/>
        <v>0</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0</v>
      </c>
      <c r="F72" s="601"/>
      <c r="G72" s="13">
        <f t="shared" si="16"/>
        <v>0</v>
      </c>
      <c r="H72" s="601"/>
      <c r="I72" s="13">
        <f t="shared" si="17"/>
        <v>1</v>
      </c>
      <c r="J72" s="601"/>
      <c r="K72" s="13">
        <f t="shared" si="18"/>
        <v>1</v>
      </c>
      <c r="L72" s="601"/>
      <c r="M72" s="13">
        <f t="shared" si="19"/>
        <v>1</v>
      </c>
      <c r="N72" s="601"/>
      <c r="O72" s="13">
        <f t="shared" si="20"/>
        <v>1</v>
      </c>
      <c r="P72" s="601"/>
      <c r="Q72" s="13">
        <f t="shared" si="21"/>
        <v>0</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0</v>
      </c>
      <c r="F73" s="601"/>
      <c r="G73" s="13">
        <f t="shared" si="16"/>
        <v>0</v>
      </c>
      <c r="H73" s="601"/>
      <c r="I73" s="13">
        <f t="shared" si="17"/>
        <v>1</v>
      </c>
      <c r="J73" s="601"/>
      <c r="K73" s="13">
        <f t="shared" si="18"/>
        <v>1</v>
      </c>
      <c r="L73" s="601"/>
      <c r="M73" s="13">
        <f t="shared" si="19"/>
        <v>1</v>
      </c>
      <c r="N73" s="601"/>
      <c r="O73" s="13">
        <f t="shared" si="20"/>
        <v>1</v>
      </c>
      <c r="P73" s="601"/>
      <c r="Q73" s="13">
        <f t="shared" si="21"/>
        <v>0</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0</v>
      </c>
      <c r="F74" s="601"/>
      <c r="G74" s="13">
        <f t="shared" si="16"/>
        <v>0</v>
      </c>
      <c r="H74" s="601"/>
      <c r="I74" s="13">
        <f t="shared" si="17"/>
        <v>1</v>
      </c>
      <c r="J74" s="601"/>
      <c r="K74" s="13">
        <f t="shared" si="18"/>
        <v>1</v>
      </c>
      <c r="L74" s="601"/>
      <c r="M74" s="13">
        <f t="shared" si="19"/>
        <v>1</v>
      </c>
      <c r="N74" s="601"/>
      <c r="O74" s="13">
        <f t="shared" si="20"/>
        <v>1</v>
      </c>
      <c r="P74" s="601"/>
      <c r="Q74" s="13">
        <f t="shared" si="21"/>
        <v>0</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0</v>
      </c>
      <c r="F75" s="601"/>
      <c r="G75" s="13">
        <f t="shared" si="16"/>
        <v>0</v>
      </c>
      <c r="H75" s="601"/>
      <c r="I75" s="13">
        <f t="shared" si="17"/>
        <v>1</v>
      </c>
      <c r="J75" s="601"/>
      <c r="K75" s="13">
        <f t="shared" si="18"/>
        <v>1</v>
      </c>
      <c r="L75" s="601"/>
      <c r="M75" s="13">
        <f t="shared" si="19"/>
        <v>1</v>
      </c>
      <c r="N75" s="601"/>
      <c r="O75" s="13">
        <f t="shared" si="20"/>
        <v>1</v>
      </c>
      <c r="P75" s="601"/>
      <c r="Q75" s="13">
        <f t="shared" si="21"/>
        <v>0</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0</v>
      </c>
      <c r="F76" s="601"/>
      <c r="G76" s="13">
        <f t="shared" si="16"/>
        <v>0</v>
      </c>
      <c r="H76" s="601"/>
      <c r="I76" s="13">
        <f t="shared" si="17"/>
        <v>1</v>
      </c>
      <c r="J76" s="601"/>
      <c r="K76" s="13">
        <f t="shared" si="18"/>
        <v>1</v>
      </c>
      <c r="L76" s="601"/>
      <c r="M76" s="13">
        <f t="shared" si="19"/>
        <v>1</v>
      </c>
      <c r="N76" s="601"/>
      <c r="O76" s="13">
        <f t="shared" si="20"/>
        <v>1</v>
      </c>
      <c r="P76" s="601"/>
      <c r="Q76" s="13">
        <f t="shared" si="21"/>
        <v>0</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0</v>
      </c>
      <c r="F77" s="601"/>
      <c r="G77" s="13">
        <f t="shared" si="16"/>
        <v>0</v>
      </c>
      <c r="H77" s="601"/>
      <c r="I77" s="13">
        <f t="shared" si="17"/>
        <v>1</v>
      </c>
      <c r="J77" s="601"/>
      <c r="K77" s="13">
        <f t="shared" si="18"/>
        <v>1</v>
      </c>
      <c r="L77" s="601"/>
      <c r="M77" s="13">
        <f t="shared" si="19"/>
        <v>1</v>
      </c>
      <c r="N77" s="601"/>
      <c r="O77" s="13">
        <f t="shared" si="20"/>
        <v>1</v>
      </c>
      <c r="P77" s="601"/>
      <c r="Q77" s="13">
        <f t="shared" si="21"/>
        <v>0</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0</v>
      </c>
      <c r="F78" s="601"/>
      <c r="G78" s="13">
        <f t="shared" si="16"/>
        <v>0</v>
      </c>
      <c r="H78" s="601"/>
      <c r="I78" s="13">
        <f t="shared" si="17"/>
        <v>1</v>
      </c>
      <c r="J78" s="601"/>
      <c r="K78" s="13">
        <f t="shared" si="18"/>
        <v>1</v>
      </c>
      <c r="L78" s="601"/>
      <c r="M78" s="13">
        <f t="shared" si="19"/>
        <v>1</v>
      </c>
      <c r="N78" s="601"/>
      <c r="O78" s="13">
        <f t="shared" si="20"/>
        <v>1</v>
      </c>
      <c r="P78" s="601"/>
      <c r="Q78" s="13">
        <f t="shared" si="21"/>
        <v>0</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0</v>
      </c>
      <c r="F79" s="601"/>
      <c r="G79" s="13">
        <f t="shared" si="16"/>
        <v>0</v>
      </c>
      <c r="H79" s="601"/>
      <c r="I79" s="13">
        <f t="shared" si="17"/>
        <v>1</v>
      </c>
      <c r="J79" s="601"/>
      <c r="K79" s="13">
        <f t="shared" si="18"/>
        <v>1</v>
      </c>
      <c r="L79" s="601"/>
      <c r="M79" s="13">
        <f t="shared" si="19"/>
        <v>1</v>
      </c>
      <c r="N79" s="601"/>
      <c r="O79" s="13">
        <f t="shared" si="20"/>
        <v>1</v>
      </c>
      <c r="P79" s="601"/>
      <c r="Q79" s="13">
        <f t="shared" si="21"/>
        <v>0</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0</v>
      </c>
      <c r="F80" s="601"/>
      <c r="G80" s="13">
        <f t="shared" si="16"/>
        <v>0</v>
      </c>
      <c r="H80" s="601"/>
      <c r="I80" s="13">
        <f t="shared" si="17"/>
        <v>1</v>
      </c>
      <c r="J80" s="601"/>
      <c r="K80" s="13">
        <f t="shared" si="18"/>
        <v>1</v>
      </c>
      <c r="L80" s="601"/>
      <c r="M80" s="13">
        <f t="shared" si="19"/>
        <v>1</v>
      </c>
      <c r="N80" s="601"/>
      <c r="O80" s="13">
        <f t="shared" si="20"/>
        <v>1</v>
      </c>
      <c r="P80" s="601"/>
      <c r="Q80" s="13">
        <f t="shared" si="21"/>
        <v>0</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0</v>
      </c>
      <c r="F81" s="601"/>
      <c r="G81" s="13">
        <f t="shared" si="16"/>
        <v>0</v>
      </c>
      <c r="H81" s="601"/>
      <c r="I81" s="13">
        <f t="shared" si="17"/>
        <v>1</v>
      </c>
      <c r="J81" s="601"/>
      <c r="K81" s="13">
        <f t="shared" si="18"/>
        <v>1</v>
      </c>
      <c r="L81" s="601"/>
      <c r="M81" s="13">
        <f t="shared" si="19"/>
        <v>1</v>
      </c>
      <c r="N81" s="601"/>
      <c r="O81" s="13">
        <f t="shared" si="20"/>
        <v>1</v>
      </c>
      <c r="P81" s="601"/>
      <c r="Q81" s="13">
        <f t="shared" si="21"/>
        <v>0</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0</v>
      </c>
      <c r="F82" s="601"/>
      <c r="G82" s="13">
        <f t="shared" si="16"/>
        <v>0</v>
      </c>
      <c r="H82" s="601"/>
      <c r="I82" s="13">
        <f t="shared" si="17"/>
        <v>1</v>
      </c>
      <c r="J82" s="601"/>
      <c r="K82" s="13">
        <f t="shared" si="18"/>
        <v>1</v>
      </c>
      <c r="L82" s="601"/>
      <c r="M82" s="13">
        <f t="shared" si="19"/>
        <v>1</v>
      </c>
      <c r="N82" s="601"/>
      <c r="O82" s="13">
        <f t="shared" si="20"/>
        <v>1</v>
      </c>
      <c r="P82" s="601"/>
      <c r="Q82" s="13">
        <f t="shared" si="21"/>
        <v>0</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0</v>
      </c>
      <c r="F83" s="601"/>
      <c r="G83" s="13">
        <f t="shared" si="16"/>
        <v>0</v>
      </c>
      <c r="H83" s="601"/>
      <c r="I83" s="13">
        <f t="shared" si="17"/>
        <v>1</v>
      </c>
      <c r="J83" s="601"/>
      <c r="K83" s="13">
        <f t="shared" si="18"/>
        <v>1</v>
      </c>
      <c r="L83" s="601"/>
      <c r="M83" s="13">
        <f t="shared" si="19"/>
        <v>1</v>
      </c>
      <c r="N83" s="601"/>
      <c r="O83" s="13">
        <f t="shared" si="20"/>
        <v>1</v>
      </c>
      <c r="P83" s="601"/>
      <c r="Q83" s="13">
        <f t="shared" si="21"/>
        <v>0</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0</v>
      </c>
      <c r="F84" s="601"/>
      <c r="G84" s="13">
        <f t="shared" si="16"/>
        <v>0</v>
      </c>
      <c r="H84" s="601"/>
      <c r="I84" s="13">
        <f t="shared" si="17"/>
        <v>1</v>
      </c>
      <c r="J84" s="601"/>
      <c r="K84" s="13">
        <f t="shared" si="18"/>
        <v>1</v>
      </c>
      <c r="L84" s="601"/>
      <c r="M84" s="13">
        <f t="shared" si="19"/>
        <v>1</v>
      </c>
      <c r="N84" s="601"/>
      <c r="O84" s="13">
        <f t="shared" si="20"/>
        <v>1</v>
      </c>
      <c r="P84" s="601"/>
      <c r="Q84" s="13">
        <f t="shared" si="21"/>
        <v>0</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0</v>
      </c>
      <c r="F85" s="601"/>
      <c r="G85" s="13">
        <f t="shared" si="16"/>
        <v>0</v>
      </c>
      <c r="H85" s="601"/>
      <c r="I85" s="13">
        <f t="shared" si="17"/>
        <v>1</v>
      </c>
      <c r="J85" s="601"/>
      <c r="K85" s="13">
        <f t="shared" si="18"/>
        <v>1</v>
      </c>
      <c r="L85" s="601"/>
      <c r="M85" s="13">
        <f t="shared" si="19"/>
        <v>1</v>
      </c>
      <c r="N85" s="601"/>
      <c r="O85" s="13">
        <f t="shared" si="20"/>
        <v>1</v>
      </c>
      <c r="P85" s="601"/>
      <c r="Q85" s="13">
        <f t="shared" si="21"/>
        <v>0</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0</v>
      </c>
      <c r="F86" s="601"/>
      <c r="G86" s="13">
        <f t="shared" si="16"/>
        <v>0</v>
      </c>
      <c r="H86" s="601"/>
      <c r="I86" s="13">
        <f t="shared" si="17"/>
        <v>1</v>
      </c>
      <c r="J86" s="601"/>
      <c r="K86" s="13">
        <f t="shared" si="18"/>
        <v>1</v>
      </c>
      <c r="L86" s="601"/>
      <c r="M86" s="13">
        <f t="shared" si="19"/>
        <v>1</v>
      </c>
      <c r="N86" s="601"/>
      <c r="O86" s="13">
        <f t="shared" si="20"/>
        <v>1</v>
      </c>
      <c r="P86" s="601"/>
      <c r="Q86" s="13">
        <f t="shared" si="21"/>
        <v>0</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0</v>
      </c>
      <c r="F87" s="601"/>
      <c r="G87" s="13">
        <f t="shared" si="16"/>
        <v>0</v>
      </c>
      <c r="H87" s="601"/>
      <c r="I87" s="13">
        <f t="shared" si="17"/>
        <v>1</v>
      </c>
      <c r="J87" s="601"/>
      <c r="K87" s="13">
        <f t="shared" si="18"/>
        <v>1</v>
      </c>
      <c r="L87" s="601"/>
      <c r="M87" s="13">
        <f t="shared" si="19"/>
        <v>1</v>
      </c>
      <c r="N87" s="601"/>
      <c r="O87" s="13">
        <f t="shared" si="20"/>
        <v>1</v>
      </c>
      <c r="P87" s="601"/>
      <c r="Q87" s="13">
        <f t="shared" si="21"/>
        <v>0</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0</v>
      </c>
      <c r="F88" s="601"/>
      <c r="G88" s="13">
        <f t="shared" si="16"/>
        <v>0</v>
      </c>
      <c r="H88" s="601"/>
      <c r="I88" s="13">
        <f t="shared" si="17"/>
        <v>1</v>
      </c>
      <c r="J88" s="601"/>
      <c r="K88" s="13">
        <f t="shared" si="18"/>
        <v>1</v>
      </c>
      <c r="L88" s="601"/>
      <c r="M88" s="13">
        <f t="shared" si="19"/>
        <v>1</v>
      </c>
      <c r="N88" s="601"/>
      <c r="O88" s="13">
        <f t="shared" si="20"/>
        <v>1</v>
      </c>
      <c r="P88" s="601"/>
      <c r="Q88" s="13">
        <f t="shared" si="21"/>
        <v>0</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0</v>
      </c>
      <c r="F89" s="601"/>
      <c r="G89" s="13">
        <f t="shared" si="16"/>
        <v>0</v>
      </c>
      <c r="H89" s="601"/>
      <c r="I89" s="13">
        <f t="shared" si="17"/>
        <v>1</v>
      </c>
      <c r="J89" s="601"/>
      <c r="K89" s="13">
        <f t="shared" si="18"/>
        <v>1</v>
      </c>
      <c r="L89" s="601"/>
      <c r="M89" s="13">
        <f t="shared" si="19"/>
        <v>1</v>
      </c>
      <c r="N89" s="601"/>
      <c r="O89" s="13">
        <f t="shared" si="20"/>
        <v>1</v>
      </c>
      <c r="P89" s="601"/>
      <c r="Q89" s="13">
        <f t="shared" si="21"/>
        <v>0</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0</v>
      </c>
      <c r="F90" s="601"/>
      <c r="G90" s="13">
        <f t="shared" si="16"/>
        <v>0</v>
      </c>
      <c r="H90" s="601"/>
      <c r="I90" s="13">
        <f t="shared" si="17"/>
        <v>1</v>
      </c>
      <c r="J90" s="601"/>
      <c r="K90" s="13">
        <f t="shared" si="18"/>
        <v>1</v>
      </c>
      <c r="L90" s="601"/>
      <c r="M90" s="13">
        <f t="shared" si="19"/>
        <v>1</v>
      </c>
      <c r="N90" s="601"/>
      <c r="O90" s="13">
        <f t="shared" si="20"/>
        <v>1</v>
      </c>
      <c r="P90" s="601"/>
      <c r="Q90" s="13">
        <f t="shared" si="21"/>
        <v>0</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0</v>
      </c>
      <c r="F91" s="601"/>
      <c r="G91" s="13">
        <f t="shared" si="16"/>
        <v>0</v>
      </c>
      <c r="H91" s="601"/>
      <c r="I91" s="13">
        <f t="shared" si="17"/>
        <v>1</v>
      </c>
      <c r="J91" s="601"/>
      <c r="K91" s="13">
        <f t="shared" si="18"/>
        <v>1</v>
      </c>
      <c r="L91" s="601"/>
      <c r="M91" s="13">
        <f t="shared" si="19"/>
        <v>1</v>
      </c>
      <c r="N91" s="601"/>
      <c r="O91" s="13">
        <f t="shared" si="20"/>
        <v>1</v>
      </c>
      <c r="P91" s="601"/>
      <c r="Q91" s="13">
        <f t="shared" si="21"/>
        <v>0</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0</v>
      </c>
      <c r="F92" s="601"/>
      <c r="G92" s="13">
        <f t="shared" ref="G92:G155" si="31">(SUMIF($10:$10,F92,$11:$11)-SUMIF($10:$10,$F$27,$11:$11)+100)/100</f>
        <v>0</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0</v>
      </c>
      <c r="F93" s="601"/>
      <c r="G93" s="13">
        <f t="shared" si="31"/>
        <v>0</v>
      </c>
      <c r="H93" s="601"/>
      <c r="I93" s="13">
        <f t="shared" si="32"/>
        <v>1</v>
      </c>
      <c r="J93" s="601"/>
      <c r="K93" s="13">
        <f t="shared" si="33"/>
        <v>1</v>
      </c>
      <c r="L93" s="601"/>
      <c r="M93" s="13">
        <f t="shared" si="34"/>
        <v>1</v>
      </c>
      <c r="N93" s="601"/>
      <c r="O93" s="13">
        <f t="shared" si="35"/>
        <v>1</v>
      </c>
      <c r="P93" s="601"/>
      <c r="Q93" s="13">
        <f t="shared" si="36"/>
        <v>0</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0</v>
      </c>
      <c r="F94" s="601"/>
      <c r="G94" s="13">
        <f t="shared" si="31"/>
        <v>0</v>
      </c>
      <c r="H94" s="601"/>
      <c r="I94" s="13">
        <f t="shared" si="32"/>
        <v>1</v>
      </c>
      <c r="J94" s="601"/>
      <c r="K94" s="13">
        <f t="shared" si="33"/>
        <v>1</v>
      </c>
      <c r="L94" s="601"/>
      <c r="M94" s="13">
        <f t="shared" si="34"/>
        <v>1</v>
      </c>
      <c r="N94" s="601"/>
      <c r="O94" s="13">
        <f t="shared" si="35"/>
        <v>1</v>
      </c>
      <c r="P94" s="601"/>
      <c r="Q94" s="13">
        <f t="shared" si="36"/>
        <v>0</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0</v>
      </c>
      <c r="F95" s="601"/>
      <c r="G95" s="13">
        <f t="shared" si="31"/>
        <v>0</v>
      </c>
      <c r="H95" s="601"/>
      <c r="I95" s="13">
        <f t="shared" si="32"/>
        <v>1</v>
      </c>
      <c r="J95" s="601"/>
      <c r="K95" s="13">
        <f t="shared" si="33"/>
        <v>1</v>
      </c>
      <c r="L95" s="601"/>
      <c r="M95" s="13">
        <f t="shared" si="34"/>
        <v>1</v>
      </c>
      <c r="N95" s="601"/>
      <c r="O95" s="13">
        <f t="shared" si="35"/>
        <v>1</v>
      </c>
      <c r="P95" s="601"/>
      <c r="Q95" s="13">
        <f t="shared" si="36"/>
        <v>0</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0</v>
      </c>
      <c r="F96" s="601"/>
      <c r="G96" s="13">
        <f t="shared" si="31"/>
        <v>0</v>
      </c>
      <c r="H96" s="601"/>
      <c r="I96" s="13">
        <f t="shared" si="32"/>
        <v>1</v>
      </c>
      <c r="J96" s="601"/>
      <c r="K96" s="13">
        <f t="shared" si="33"/>
        <v>1</v>
      </c>
      <c r="L96" s="601"/>
      <c r="M96" s="13">
        <f t="shared" si="34"/>
        <v>1</v>
      </c>
      <c r="N96" s="601"/>
      <c r="O96" s="13">
        <f t="shared" si="35"/>
        <v>1</v>
      </c>
      <c r="P96" s="601"/>
      <c r="Q96" s="13">
        <f t="shared" si="36"/>
        <v>0</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0</v>
      </c>
      <c r="F97" s="601"/>
      <c r="G97" s="13">
        <f t="shared" si="31"/>
        <v>0</v>
      </c>
      <c r="H97" s="601"/>
      <c r="I97" s="13">
        <f t="shared" si="32"/>
        <v>1</v>
      </c>
      <c r="J97" s="601"/>
      <c r="K97" s="13">
        <f t="shared" si="33"/>
        <v>1</v>
      </c>
      <c r="L97" s="601"/>
      <c r="M97" s="13">
        <f t="shared" si="34"/>
        <v>1</v>
      </c>
      <c r="N97" s="601"/>
      <c r="O97" s="13">
        <f t="shared" si="35"/>
        <v>1</v>
      </c>
      <c r="P97" s="601"/>
      <c r="Q97" s="13">
        <f t="shared" si="36"/>
        <v>0</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0</v>
      </c>
      <c r="F98" s="601"/>
      <c r="G98" s="13">
        <f t="shared" si="31"/>
        <v>0</v>
      </c>
      <c r="H98" s="601"/>
      <c r="I98" s="13">
        <f t="shared" si="32"/>
        <v>1</v>
      </c>
      <c r="J98" s="601"/>
      <c r="K98" s="13">
        <f t="shared" si="33"/>
        <v>1</v>
      </c>
      <c r="L98" s="601"/>
      <c r="M98" s="13">
        <f t="shared" si="34"/>
        <v>1</v>
      </c>
      <c r="N98" s="601"/>
      <c r="O98" s="13">
        <f t="shared" si="35"/>
        <v>1</v>
      </c>
      <c r="P98" s="601"/>
      <c r="Q98" s="13">
        <f t="shared" si="36"/>
        <v>0</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0</v>
      </c>
      <c r="F99" s="601"/>
      <c r="G99" s="13">
        <f t="shared" si="31"/>
        <v>0</v>
      </c>
      <c r="H99" s="601"/>
      <c r="I99" s="13">
        <f t="shared" si="32"/>
        <v>1</v>
      </c>
      <c r="J99" s="601"/>
      <c r="K99" s="13">
        <f t="shared" si="33"/>
        <v>1</v>
      </c>
      <c r="L99" s="601"/>
      <c r="M99" s="13">
        <f t="shared" si="34"/>
        <v>1</v>
      </c>
      <c r="N99" s="601"/>
      <c r="O99" s="13">
        <f t="shared" si="35"/>
        <v>1</v>
      </c>
      <c r="P99" s="601"/>
      <c r="Q99" s="13">
        <f t="shared" si="36"/>
        <v>0</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0</v>
      </c>
      <c r="F100" s="601"/>
      <c r="G100" s="13">
        <f t="shared" si="31"/>
        <v>0</v>
      </c>
      <c r="H100" s="601"/>
      <c r="I100" s="13">
        <f t="shared" si="32"/>
        <v>1</v>
      </c>
      <c r="J100" s="601"/>
      <c r="K100" s="13">
        <f t="shared" si="33"/>
        <v>1</v>
      </c>
      <c r="L100" s="601"/>
      <c r="M100" s="13">
        <f t="shared" si="34"/>
        <v>1</v>
      </c>
      <c r="N100" s="601"/>
      <c r="O100" s="13">
        <f t="shared" si="35"/>
        <v>1</v>
      </c>
      <c r="P100" s="601"/>
      <c r="Q100" s="13">
        <f t="shared" si="36"/>
        <v>0</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0</v>
      </c>
      <c r="F101" s="601"/>
      <c r="G101" s="13">
        <f t="shared" si="31"/>
        <v>0</v>
      </c>
      <c r="H101" s="601"/>
      <c r="I101" s="13">
        <f t="shared" si="32"/>
        <v>1</v>
      </c>
      <c r="J101" s="601"/>
      <c r="K101" s="13">
        <f t="shared" si="33"/>
        <v>1</v>
      </c>
      <c r="L101" s="601"/>
      <c r="M101" s="13">
        <f t="shared" si="34"/>
        <v>1</v>
      </c>
      <c r="N101" s="601"/>
      <c r="O101" s="13">
        <f t="shared" si="35"/>
        <v>1</v>
      </c>
      <c r="P101" s="601"/>
      <c r="Q101" s="13">
        <f t="shared" si="36"/>
        <v>0</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0</v>
      </c>
      <c r="F102" s="601"/>
      <c r="G102" s="13">
        <f t="shared" si="31"/>
        <v>0</v>
      </c>
      <c r="H102" s="601"/>
      <c r="I102" s="13">
        <f t="shared" si="32"/>
        <v>1</v>
      </c>
      <c r="J102" s="601"/>
      <c r="K102" s="13">
        <f t="shared" si="33"/>
        <v>1</v>
      </c>
      <c r="L102" s="601"/>
      <c r="M102" s="13">
        <f t="shared" si="34"/>
        <v>1</v>
      </c>
      <c r="N102" s="601"/>
      <c r="O102" s="13">
        <f t="shared" si="35"/>
        <v>1</v>
      </c>
      <c r="P102" s="601"/>
      <c r="Q102" s="13">
        <f t="shared" si="36"/>
        <v>0</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0</v>
      </c>
      <c r="F103" s="601"/>
      <c r="G103" s="13">
        <f t="shared" si="31"/>
        <v>0</v>
      </c>
      <c r="H103" s="601"/>
      <c r="I103" s="13">
        <f t="shared" si="32"/>
        <v>1</v>
      </c>
      <c r="J103" s="601"/>
      <c r="K103" s="13">
        <f t="shared" si="33"/>
        <v>1</v>
      </c>
      <c r="L103" s="601"/>
      <c r="M103" s="13">
        <f t="shared" si="34"/>
        <v>1</v>
      </c>
      <c r="N103" s="601"/>
      <c r="O103" s="13">
        <f t="shared" si="35"/>
        <v>1</v>
      </c>
      <c r="P103" s="601"/>
      <c r="Q103" s="13">
        <f t="shared" si="36"/>
        <v>0</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0</v>
      </c>
      <c r="F104" s="601"/>
      <c r="G104" s="13">
        <f t="shared" si="31"/>
        <v>0</v>
      </c>
      <c r="H104" s="601"/>
      <c r="I104" s="13">
        <f t="shared" si="32"/>
        <v>1</v>
      </c>
      <c r="J104" s="601"/>
      <c r="K104" s="13">
        <f t="shared" si="33"/>
        <v>1</v>
      </c>
      <c r="L104" s="601"/>
      <c r="M104" s="13">
        <f t="shared" si="34"/>
        <v>1</v>
      </c>
      <c r="N104" s="601"/>
      <c r="O104" s="13">
        <f t="shared" si="35"/>
        <v>1</v>
      </c>
      <c r="P104" s="601"/>
      <c r="Q104" s="13">
        <f t="shared" si="36"/>
        <v>0</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0</v>
      </c>
      <c r="F105" s="601"/>
      <c r="G105" s="13">
        <f t="shared" si="31"/>
        <v>0</v>
      </c>
      <c r="H105" s="601"/>
      <c r="I105" s="13">
        <f t="shared" si="32"/>
        <v>1</v>
      </c>
      <c r="J105" s="601"/>
      <c r="K105" s="13">
        <f t="shared" si="33"/>
        <v>1</v>
      </c>
      <c r="L105" s="601"/>
      <c r="M105" s="13">
        <f t="shared" si="34"/>
        <v>1</v>
      </c>
      <c r="N105" s="601"/>
      <c r="O105" s="13">
        <f t="shared" si="35"/>
        <v>1</v>
      </c>
      <c r="P105" s="601"/>
      <c r="Q105" s="13">
        <f t="shared" si="36"/>
        <v>0</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0</v>
      </c>
      <c r="F106" s="601"/>
      <c r="G106" s="13">
        <f t="shared" si="31"/>
        <v>0</v>
      </c>
      <c r="H106" s="601"/>
      <c r="I106" s="13">
        <f t="shared" si="32"/>
        <v>1</v>
      </c>
      <c r="J106" s="601"/>
      <c r="K106" s="13">
        <f t="shared" si="33"/>
        <v>1</v>
      </c>
      <c r="L106" s="601"/>
      <c r="M106" s="13">
        <f t="shared" si="34"/>
        <v>1</v>
      </c>
      <c r="N106" s="601"/>
      <c r="O106" s="13">
        <f t="shared" si="35"/>
        <v>1</v>
      </c>
      <c r="P106" s="601"/>
      <c r="Q106" s="13">
        <f t="shared" si="36"/>
        <v>0</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0</v>
      </c>
      <c r="F107" s="601"/>
      <c r="G107" s="13">
        <f t="shared" si="31"/>
        <v>0</v>
      </c>
      <c r="H107" s="601"/>
      <c r="I107" s="13">
        <f t="shared" si="32"/>
        <v>1</v>
      </c>
      <c r="J107" s="601"/>
      <c r="K107" s="13">
        <f t="shared" si="33"/>
        <v>1</v>
      </c>
      <c r="L107" s="601"/>
      <c r="M107" s="13">
        <f t="shared" si="34"/>
        <v>1</v>
      </c>
      <c r="N107" s="601"/>
      <c r="O107" s="13">
        <f t="shared" si="35"/>
        <v>1</v>
      </c>
      <c r="P107" s="601"/>
      <c r="Q107" s="13">
        <f t="shared" si="36"/>
        <v>0</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0</v>
      </c>
      <c r="F108" s="601"/>
      <c r="G108" s="13">
        <f t="shared" si="31"/>
        <v>0</v>
      </c>
      <c r="H108" s="601"/>
      <c r="I108" s="13">
        <f t="shared" si="32"/>
        <v>1</v>
      </c>
      <c r="J108" s="601"/>
      <c r="K108" s="13">
        <f t="shared" si="33"/>
        <v>1</v>
      </c>
      <c r="L108" s="601"/>
      <c r="M108" s="13">
        <f t="shared" si="34"/>
        <v>1</v>
      </c>
      <c r="N108" s="601"/>
      <c r="O108" s="13">
        <f t="shared" si="35"/>
        <v>1</v>
      </c>
      <c r="P108" s="601"/>
      <c r="Q108" s="13">
        <f t="shared" si="36"/>
        <v>0</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0</v>
      </c>
      <c r="F109" s="601"/>
      <c r="G109" s="13">
        <f t="shared" si="31"/>
        <v>0</v>
      </c>
      <c r="H109" s="601"/>
      <c r="I109" s="13">
        <f t="shared" si="32"/>
        <v>1</v>
      </c>
      <c r="J109" s="601"/>
      <c r="K109" s="13">
        <f t="shared" si="33"/>
        <v>1</v>
      </c>
      <c r="L109" s="601"/>
      <c r="M109" s="13">
        <f t="shared" si="34"/>
        <v>1</v>
      </c>
      <c r="N109" s="601"/>
      <c r="O109" s="13">
        <f t="shared" si="35"/>
        <v>1</v>
      </c>
      <c r="P109" s="601"/>
      <c r="Q109" s="13">
        <f t="shared" si="36"/>
        <v>0</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0</v>
      </c>
      <c r="F110" s="601"/>
      <c r="G110" s="13">
        <f t="shared" si="31"/>
        <v>0</v>
      </c>
      <c r="H110" s="601"/>
      <c r="I110" s="13">
        <f t="shared" si="32"/>
        <v>1</v>
      </c>
      <c r="J110" s="601"/>
      <c r="K110" s="13">
        <f t="shared" si="33"/>
        <v>1</v>
      </c>
      <c r="L110" s="601"/>
      <c r="M110" s="13">
        <f t="shared" si="34"/>
        <v>1</v>
      </c>
      <c r="N110" s="601"/>
      <c r="O110" s="13">
        <f t="shared" si="35"/>
        <v>1</v>
      </c>
      <c r="P110" s="601"/>
      <c r="Q110" s="13">
        <f t="shared" si="36"/>
        <v>0</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0</v>
      </c>
      <c r="F111" s="601"/>
      <c r="G111" s="13">
        <f t="shared" si="31"/>
        <v>0</v>
      </c>
      <c r="H111" s="601"/>
      <c r="I111" s="13">
        <f t="shared" si="32"/>
        <v>1</v>
      </c>
      <c r="J111" s="601"/>
      <c r="K111" s="13">
        <f t="shared" si="33"/>
        <v>1</v>
      </c>
      <c r="L111" s="601"/>
      <c r="M111" s="13">
        <f t="shared" si="34"/>
        <v>1</v>
      </c>
      <c r="N111" s="601"/>
      <c r="O111" s="13">
        <f t="shared" si="35"/>
        <v>1</v>
      </c>
      <c r="P111" s="601"/>
      <c r="Q111" s="13">
        <f t="shared" si="36"/>
        <v>0</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0</v>
      </c>
      <c r="F112" s="601"/>
      <c r="G112" s="13">
        <f t="shared" si="31"/>
        <v>0</v>
      </c>
      <c r="H112" s="601"/>
      <c r="I112" s="13">
        <f t="shared" si="32"/>
        <v>1</v>
      </c>
      <c r="J112" s="601"/>
      <c r="K112" s="13">
        <f t="shared" si="33"/>
        <v>1</v>
      </c>
      <c r="L112" s="601"/>
      <c r="M112" s="13">
        <f t="shared" si="34"/>
        <v>1</v>
      </c>
      <c r="N112" s="601"/>
      <c r="O112" s="13">
        <f t="shared" si="35"/>
        <v>1</v>
      </c>
      <c r="P112" s="601"/>
      <c r="Q112" s="13">
        <f t="shared" si="36"/>
        <v>0</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0</v>
      </c>
      <c r="F113" s="601"/>
      <c r="G113" s="13">
        <f t="shared" si="31"/>
        <v>0</v>
      </c>
      <c r="H113" s="601"/>
      <c r="I113" s="13">
        <f t="shared" si="32"/>
        <v>1</v>
      </c>
      <c r="J113" s="601"/>
      <c r="K113" s="13">
        <f t="shared" si="33"/>
        <v>1</v>
      </c>
      <c r="L113" s="601"/>
      <c r="M113" s="13">
        <f t="shared" si="34"/>
        <v>1</v>
      </c>
      <c r="N113" s="601"/>
      <c r="O113" s="13">
        <f t="shared" si="35"/>
        <v>1</v>
      </c>
      <c r="P113" s="601"/>
      <c r="Q113" s="13">
        <f t="shared" si="36"/>
        <v>0</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0</v>
      </c>
      <c r="F114" s="601"/>
      <c r="G114" s="13">
        <f t="shared" si="31"/>
        <v>0</v>
      </c>
      <c r="H114" s="601"/>
      <c r="I114" s="13">
        <f t="shared" si="32"/>
        <v>1</v>
      </c>
      <c r="J114" s="601"/>
      <c r="K114" s="13">
        <f t="shared" si="33"/>
        <v>1</v>
      </c>
      <c r="L114" s="601"/>
      <c r="M114" s="13">
        <f t="shared" si="34"/>
        <v>1</v>
      </c>
      <c r="N114" s="601"/>
      <c r="O114" s="13">
        <f t="shared" si="35"/>
        <v>1</v>
      </c>
      <c r="P114" s="601"/>
      <c r="Q114" s="13">
        <f t="shared" si="36"/>
        <v>0</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0</v>
      </c>
      <c r="F115" s="601"/>
      <c r="G115" s="13">
        <f t="shared" si="31"/>
        <v>0</v>
      </c>
      <c r="H115" s="601"/>
      <c r="I115" s="13">
        <f t="shared" si="32"/>
        <v>1</v>
      </c>
      <c r="J115" s="601"/>
      <c r="K115" s="13">
        <f t="shared" si="33"/>
        <v>1</v>
      </c>
      <c r="L115" s="601"/>
      <c r="M115" s="13">
        <f t="shared" si="34"/>
        <v>1</v>
      </c>
      <c r="N115" s="601"/>
      <c r="O115" s="13">
        <f t="shared" si="35"/>
        <v>1</v>
      </c>
      <c r="P115" s="601"/>
      <c r="Q115" s="13">
        <f t="shared" si="36"/>
        <v>0</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0</v>
      </c>
      <c r="F116" s="601"/>
      <c r="G116" s="13">
        <f t="shared" si="31"/>
        <v>0</v>
      </c>
      <c r="H116" s="601"/>
      <c r="I116" s="13">
        <f t="shared" si="32"/>
        <v>1</v>
      </c>
      <c r="J116" s="601"/>
      <c r="K116" s="13">
        <f t="shared" si="33"/>
        <v>1</v>
      </c>
      <c r="L116" s="601"/>
      <c r="M116" s="13">
        <f t="shared" si="34"/>
        <v>1</v>
      </c>
      <c r="N116" s="601"/>
      <c r="O116" s="13">
        <f t="shared" si="35"/>
        <v>1</v>
      </c>
      <c r="P116" s="601"/>
      <c r="Q116" s="13">
        <f t="shared" si="36"/>
        <v>0</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0</v>
      </c>
      <c r="F117" s="601"/>
      <c r="G117" s="13">
        <f t="shared" si="31"/>
        <v>0</v>
      </c>
      <c r="H117" s="601"/>
      <c r="I117" s="13">
        <f t="shared" si="32"/>
        <v>1</v>
      </c>
      <c r="J117" s="601"/>
      <c r="K117" s="13">
        <f t="shared" si="33"/>
        <v>1</v>
      </c>
      <c r="L117" s="601"/>
      <c r="M117" s="13">
        <f t="shared" si="34"/>
        <v>1</v>
      </c>
      <c r="N117" s="601"/>
      <c r="O117" s="13">
        <f t="shared" si="35"/>
        <v>1</v>
      </c>
      <c r="P117" s="601"/>
      <c r="Q117" s="13">
        <f t="shared" si="36"/>
        <v>0</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0</v>
      </c>
      <c r="F118" s="601"/>
      <c r="G118" s="13">
        <f t="shared" si="31"/>
        <v>0</v>
      </c>
      <c r="H118" s="601"/>
      <c r="I118" s="13">
        <f t="shared" si="32"/>
        <v>1</v>
      </c>
      <c r="J118" s="601"/>
      <c r="K118" s="13">
        <f t="shared" si="33"/>
        <v>1</v>
      </c>
      <c r="L118" s="601"/>
      <c r="M118" s="13">
        <f t="shared" si="34"/>
        <v>1</v>
      </c>
      <c r="N118" s="601"/>
      <c r="O118" s="13">
        <f t="shared" si="35"/>
        <v>1</v>
      </c>
      <c r="P118" s="601"/>
      <c r="Q118" s="13">
        <f t="shared" si="36"/>
        <v>0</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0</v>
      </c>
      <c r="F119" s="601"/>
      <c r="G119" s="13">
        <f t="shared" si="31"/>
        <v>0</v>
      </c>
      <c r="H119" s="601"/>
      <c r="I119" s="13">
        <f t="shared" si="32"/>
        <v>1</v>
      </c>
      <c r="J119" s="601"/>
      <c r="K119" s="13">
        <f t="shared" si="33"/>
        <v>1</v>
      </c>
      <c r="L119" s="601"/>
      <c r="M119" s="13">
        <f t="shared" si="34"/>
        <v>1</v>
      </c>
      <c r="N119" s="601"/>
      <c r="O119" s="13">
        <f t="shared" si="35"/>
        <v>1</v>
      </c>
      <c r="P119" s="601"/>
      <c r="Q119" s="13">
        <f t="shared" si="36"/>
        <v>0</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0</v>
      </c>
      <c r="F120" s="601"/>
      <c r="G120" s="13">
        <f t="shared" si="31"/>
        <v>0</v>
      </c>
      <c r="H120" s="601"/>
      <c r="I120" s="13">
        <f t="shared" si="32"/>
        <v>1</v>
      </c>
      <c r="J120" s="601"/>
      <c r="K120" s="13">
        <f t="shared" si="33"/>
        <v>1</v>
      </c>
      <c r="L120" s="601"/>
      <c r="M120" s="13">
        <f t="shared" si="34"/>
        <v>1</v>
      </c>
      <c r="N120" s="601"/>
      <c r="O120" s="13">
        <f t="shared" si="35"/>
        <v>1</v>
      </c>
      <c r="P120" s="601"/>
      <c r="Q120" s="13">
        <f t="shared" si="36"/>
        <v>0</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0</v>
      </c>
      <c r="F121" s="601"/>
      <c r="G121" s="13">
        <f t="shared" si="31"/>
        <v>0</v>
      </c>
      <c r="H121" s="601"/>
      <c r="I121" s="13">
        <f t="shared" si="32"/>
        <v>1</v>
      </c>
      <c r="J121" s="601"/>
      <c r="K121" s="13">
        <f t="shared" si="33"/>
        <v>1</v>
      </c>
      <c r="L121" s="601"/>
      <c r="M121" s="13">
        <f t="shared" si="34"/>
        <v>1</v>
      </c>
      <c r="N121" s="601"/>
      <c r="O121" s="13">
        <f t="shared" si="35"/>
        <v>1</v>
      </c>
      <c r="P121" s="601"/>
      <c r="Q121" s="13">
        <f t="shared" si="36"/>
        <v>0</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0</v>
      </c>
      <c r="F122" s="601"/>
      <c r="G122" s="13">
        <f t="shared" si="31"/>
        <v>0</v>
      </c>
      <c r="H122" s="601"/>
      <c r="I122" s="13">
        <f t="shared" si="32"/>
        <v>1</v>
      </c>
      <c r="J122" s="601"/>
      <c r="K122" s="13">
        <f t="shared" si="33"/>
        <v>1</v>
      </c>
      <c r="L122" s="601"/>
      <c r="M122" s="13">
        <f t="shared" si="34"/>
        <v>1</v>
      </c>
      <c r="N122" s="601"/>
      <c r="O122" s="13">
        <f t="shared" si="35"/>
        <v>1</v>
      </c>
      <c r="P122" s="601"/>
      <c r="Q122" s="13">
        <f t="shared" si="36"/>
        <v>0</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0</v>
      </c>
      <c r="F123" s="601"/>
      <c r="G123" s="13">
        <f t="shared" si="31"/>
        <v>0</v>
      </c>
      <c r="H123" s="601"/>
      <c r="I123" s="13">
        <f t="shared" si="32"/>
        <v>1</v>
      </c>
      <c r="J123" s="601"/>
      <c r="K123" s="13">
        <f t="shared" si="33"/>
        <v>1</v>
      </c>
      <c r="L123" s="601"/>
      <c r="M123" s="13">
        <f t="shared" si="34"/>
        <v>1</v>
      </c>
      <c r="N123" s="601"/>
      <c r="O123" s="13">
        <f t="shared" si="35"/>
        <v>1</v>
      </c>
      <c r="P123" s="601"/>
      <c r="Q123" s="13">
        <f t="shared" si="36"/>
        <v>0</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0</v>
      </c>
      <c r="F124" s="601"/>
      <c r="G124" s="13">
        <f t="shared" si="31"/>
        <v>0</v>
      </c>
      <c r="H124" s="601"/>
      <c r="I124" s="13">
        <f t="shared" si="32"/>
        <v>1</v>
      </c>
      <c r="J124" s="601"/>
      <c r="K124" s="13">
        <f t="shared" si="33"/>
        <v>1</v>
      </c>
      <c r="L124" s="601"/>
      <c r="M124" s="13">
        <f t="shared" si="34"/>
        <v>1</v>
      </c>
      <c r="N124" s="601"/>
      <c r="O124" s="13">
        <f t="shared" si="35"/>
        <v>1</v>
      </c>
      <c r="P124" s="601"/>
      <c r="Q124" s="13">
        <f t="shared" si="36"/>
        <v>0</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0</v>
      </c>
      <c r="F125" s="601"/>
      <c r="G125" s="13">
        <f t="shared" si="31"/>
        <v>0</v>
      </c>
      <c r="H125" s="601"/>
      <c r="I125" s="13">
        <f t="shared" si="32"/>
        <v>1</v>
      </c>
      <c r="J125" s="601"/>
      <c r="K125" s="13">
        <f t="shared" si="33"/>
        <v>1</v>
      </c>
      <c r="L125" s="601"/>
      <c r="M125" s="13">
        <f t="shared" si="34"/>
        <v>1</v>
      </c>
      <c r="N125" s="601"/>
      <c r="O125" s="13">
        <f t="shared" si="35"/>
        <v>1</v>
      </c>
      <c r="P125" s="601"/>
      <c r="Q125" s="13">
        <f t="shared" si="36"/>
        <v>0</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0</v>
      </c>
      <c r="F126" s="601"/>
      <c r="G126" s="13">
        <f t="shared" si="31"/>
        <v>0</v>
      </c>
      <c r="H126" s="601"/>
      <c r="I126" s="13">
        <f t="shared" si="32"/>
        <v>1</v>
      </c>
      <c r="J126" s="601"/>
      <c r="K126" s="13">
        <f t="shared" si="33"/>
        <v>1</v>
      </c>
      <c r="L126" s="601"/>
      <c r="M126" s="13">
        <f t="shared" si="34"/>
        <v>1</v>
      </c>
      <c r="N126" s="601"/>
      <c r="O126" s="13">
        <f t="shared" si="35"/>
        <v>1</v>
      </c>
      <c r="P126" s="601"/>
      <c r="Q126" s="13">
        <f t="shared" si="36"/>
        <v>0</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0</v>
      </c>
      <c r="F127" s="601"/>
      <c r="G127" s="13">
        <f t="shared" si="31"/>
        <v>0</v>
      </c>
      <c r="H127" s="601"/>
      <c r="I127" s="13">
        <f t="shared" si="32"/>
        <v>1</v>
      </c>
      <c r="J127" s="601"/>
      <c r="K127" s="13">
        <f t="shared" si="33"/>
        <v>1</v>
      </c>
      <c r="L127" s="601"/>
      <c r="M127" s="13">
        <f t="shared" si="34"/>
        <v>1</v>
      </c>
      <c r="N127" s="601"/>
      <c r="O127" s="13">
        <f t="shared" si="35"/>
        <v>1</v>
      </c>
      <c r="P127" s="601"/>
      <c r="Q127" s="13">
        <f t="shared" si="36"/>
        <v>0</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0</v>
      </c>
      <c r="F128" s="601"/>
      <c r="G128" s="13">
        <f t="shared" si="31"/>
        <v>0</v>
      </c>
      <c r="H128" s="601"/>
      <c r="I128" s="13">
        <f t="shared" si="32"/>
        <v>1</v>
      </c>
      <c r="J128" s="601"/>
      <c r="K128" s="13">
        <f t="shared" si="33"/>
        <v>1</v>
      </c>
      <c r="L128" s="601"/>
      <c r="M128" s="13">
        <f t="shared" si="34"/>
        <v>1</v>
      </c>
      <c r="N128" s="601"/>
      <c r="O128" s="13">
        <f t="shared" si="35"/>
        <v>1</v>
      </c>
      <c r="P128" s="601"/>
      <c r="Q128" s="13">
        <f t="shared" si="36"/>
        <v>0</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0</v>
      </c>
      <c r="F129" s="601"/>
      <c r="G129" s="13">
        <f t="shared" si="31"/>
        <v>0</v>
      </c>
      <c r="H129" s="601"/>
      <c r="I129" s="13">
        <f t="shared" si="32"/>
        <v>1</v>
      </c>
      <c r="J129" s="601"/>
      <c r="K129" s="13">
        <f t="shared" si="33"/>
        <v>1</v>
      </c>
      <c r="L129" s="601"/>
      <c r="M129" s="13">
        <f t="shared" si="34"/>
        <v>1</v>
      </c>
      <c r="N129" s="601"/>
      <c r="O129" s="13">
        <f t="shared" si="35"/>
        <v>1</v>
      </c>
      <c r="P129" s="601"/>
      <c r="Q129" s="13">
        <f t="shared" si="36"/>
        <v>0</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0</v>
      </c>
      <c r="F130" s="601"/>
      <c r="G130" s="13">
        <f t="shared" si="31"/>
        <v>0</v>
      </c>
      <c r="H130" s="601"/>
      <c r="I130" s="13">
        <f t="shared" si="32"/>
        <v>1</v>
      </c>
      <c r="J130" s="601"/>
      <c r="K130" s="13">
        <f t="shared" si="33"/>
        <v>1</v>
      </c>
      <c r="L130" s="601"/>
      <c r="M130" s="13">
        <f t="shared" si="34"/>
        <v>1</v>
      </c>
      <c r="N130" s="601"/>
      <c r="O130" s="13">
        <f t="shared" si="35"/>
        <v>1</v>
      </c>
      <c r="P130" s="601"/>
      <c r="Q130" s="13">
        <f t="shared" si="36"/>
        <v>0</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0</v>
      </c>
      <c r="F131" s="601"/>
      <c r="G131" s="13">
        <f t="shared" si="31"/>
        <v>0</v>
      </c>
      <c r="H131" s="601"/>
      <c r="I131" s="13">
        <f t="shared" si="32"/>
        <v>1</v>
      </c>
      <c r="J131" s="601"/>
      <c r="K131" s="13">
        <f t="shared" si="33"/>
        <v>1</v>
      </c>
      <c r="L131" s="601"/>
      <c r="M131" s="13">
        <f t="shared" si="34"/>
        <v>1</v>
      </c>
      <c r="N131" s="601"/>
      <c r="O131" s="13">
        <f t="shared" si="35"/>
        <v>1</v>
      </c>
      <c r="P131" s="601"/>
      <c r="Q131" s="13">
        <f t="shared" si="36"/>
        <v>0</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0</v>
      </c>
      <c r="F132" s="601"/>
      <c r="G132" s="13">
        <f t="shared" si="31"/>
        <v>0</v>
      </c>
      <c r="H132" s="601"/>
      <c r="I132" s="13">
        <f t="shared" si="32"/>
        <v>1</v>
      </c>
      <c r="J132" s="601"/>
      <c r="K132" s="13">
        <f t="shared" si="33"/>
        <v>1</v>
      </c>
      <c r="L132" s="601"/>
      <c r="M132" s="13">
        <f t="shared" si="34"/>
        <v>1</v>
      </c>
      <c r="N132" s="601"/>
      <c r="O132" s="13">
        <f t="shared" si="35"/>
        <v>1</v>
      </c>
      <c r="P132" s="601"/>
      <c r="Q132" s="13">
        <f t="shared" si="36"/>
        <v>0</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0</v>
      </c>
      <c r="F133" s="601"/>
      <c r="G133" s="13">
        <f t="shared" si="31"/>
        <v>0</v>
      </c>
      <c r="H133" s="601"/>
      <c r="I133" s="13">
        <f t="shared" si="32"/>
        <v>1</v>
      </c>
      <c r="J133" s="601"/>
      <c r="K133" s="13">
        <f t="shared" si="33"/>
        <v>1</v>
      </c>
      <c r="L133" s="601"/>
      <c r="M133" s="13">
        <f t="shared" si="34"/>
        <v>1</v>
      </c>
      <c r="N133" s="601"/>
      <c r="O133" s="13">
        <f t="shared" si="35"/>
        <v>1</v>
      </c>
      <c r="P133" s="601"/>
      <c r="Q133" s="13">
        <f t="shared" si="36"/>
        <v>0</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0</v>
      </c>
      <c r="F134" s="601"/>
      <c r="G134" s="13">
        <f t="shared" si="31"/>
        <v>0</v>
      </c>
      <c r="H134" s="601"/>
      <c r="I134" s="13">
        <f t="shared" si="32"/>
        <v>1</v>
      </c>
      <c r="J134" s="601"/>
      <c r="K134" s="13">
        <f t="shared" si="33"/>
        <v>1</v>
      </c>
      <c r="L134" s="601"/>
      <c r="M134" s="13">
        <f t="shared" si="34"/>
        <v>1</v>
      </c>
      <c r="N134" s="601"/>
      <c r="O134" s="13">
        <f t="shared" si="35"/>
        <v>1</v>
      </c>
      <c r="P134" s="601"/>
      <c r="Q134" s="13">
        <f t="shared" si="36"/>
        <v>0</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0</v>
      </c>
      <c r="F135" s="601"/>
      <c r="G135" s="13">
        <f t="shared" si="31"/>
        <v>0</v>
      </c>
      <c r="H135" s="601"/>
      <c r="I135" s="13">
        <f t="shared" si="32"/>
        <v>1</v>
      </c>
      <c r="J135" s="601"/>
      <c r="K135" s="13">
        <f t="shared" si="33"/>
        <v>1</v>
      </c>
      <c r="L135" s="601"/>
      <c r="M135" s="13">
        <f t="shared" si="34"/>
        <v>1</v>
      </c>
      <c r="N135" s="601"/>
      <c r="O135" s="13">
        <f t="shared" si="35"/>
        <v>1</v>
      </c>
      <c r="P135" s="601"/>
      <c r="Q135" s="13">
        <f t="shared" si="36"/>
        <v>0</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0</v>
      </c>
      <c r="F136" s="601"/>
      <c r="G136" s="13">
        <f t="shared" si="31"/>
        <v>0</v>
      </c>
      <c r="H136" s="601"/>
      <c r="I136" s="13">
        <f t="shared" si="32"/>
        <v>1</v>
      </c>
      <c r="J136" s="601"/>
      <c r="K136" s="13">
        <f t="shared" si="33"/>
        <v>1</v>
      </c>
      <c r="L136" s="601"/>
      <c r="M136" s="13">
        <f t="shared" si="34"/>
        <v>1</v>
      </c>
      <c r="N136" s="601"/>
      <c r="O136" s="13">
        <f t="shared" si="35"/>
        <v>1</v>
      </c>
      <c r="P136" s="601"/>
      <c r="Q136" s="13">
        <f t="shared" si="36"/>
        <v>0</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0</v>
      </c>
      <c r="F137" s="601"/>
      <c r="G137" s="13">
        <f t="shared" si="31"/>
        <v>0</v>
      </c>
      <c r="H137" s="601"/>
      <c r="I137" s="13">
        <f t="shared" si="32"/>
        <v>1</v>
      </c>
      <c r="J137" s="601"/>
      <c r="K137" s="13">
        <f t="shared" si="33"/>
        <v>1</v>
      </c>
      <c r="L137" s="601"/>
      <c r="M137" s="13">
        <f t="shared" si="34"/>
        <v>1</v>
      </c>
      <c r="N137" s="601"/>
      <c r="O137" s="13">
        <f t="shared" si="35"/>
        <v>1</v>
      </c>
      <c r="P137" s="601"/>
      <c r="Q137" s="13">
        <f t="shared" si="36"/>
        <v>0</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0</v>
      </c>
      <c r="F138" s="601"/>
      <c r="G138" s="13">
        <f t="shared" si="31"/>
        <v>0</v>
      </c>
      <c r="H138" s="601"/>
      <c r="I138" s="13">
        <f t="shared" si="32"/>
        <v>1</v>
      </c>
      <c r="J138" s="601"/>
      <c r="K138" s="13">
        <f t="shared" si="33"/>
        <v>1</v>
      </c>
      <c r="L138" s="601"/>
      <c r="M138" s="13">
        <f t="shared" si="34"/>
        <v>1</v>
      </c>
      <c r="N138" s="601"/>
      <c r="O138" s="13">
        <f t="shared" si="35"/>
        <v>1</v>
      </c>
      <c r="P138" s="601"/>
      <c r="Q138" s="13">
        <f t="shared" si="36"/>
        <v>0</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0</v>
      </c>
      <c r="F139" s="601"/>
      <c r="G139" s="13">
        <f t="shared" si="31"/>
        <v>0</v>
      </c>
      <c r="H139" s="601"/>
      <c r="I139" s="13">
        <f t="shared" si="32"/>
        <v>1</v>
      </c>
      <c r="J139" s="601"/>
      <c r="K139" s="13">
        <f t="shared" si="33"/>
        <v>1</v>
      </c>
      <c r="L139" s="601"/>
      <c r="M139" s="13">
        <f t="shared" si="34"/>
        <v>1</v>
      </c>
      <c r="N139" s="601"/>
      <c r="O139" s="13">
        <f t="shared" si="35"/>
        <v>1</v>
      </c>
      <c r="P139" s="601"/>
      <c r="Q139" s="13">
        <f t="shared" si="36"/>
        <v>0</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0</v>
      </c>
      <c r="F140" s="601"/>
      <c r="G140" s="13">
        <f t="shared" si="31"/>
        <v>0</v>
      </c>
      <c r="H140" s="601"/>
      <c r="I140" s="13">
        <f t="shared" si="32"/>
        <v>1</v>
      </c>
      <c r="J140" s="601"/>
      <c r="K140" s="13">
        <f t="shared" si="33"/>
        <v>1</v>
      </c>
      <c r="L140" s="601"/>
      <c r="M140" s="13">
        <f t="shared" si="34"/>
        <v>1</v>
      </c>
      <c r="N140" s="601"/>
      <c r="O140" s="13">
        <f t="shared" si="35"/>
        <v>1</v>
      </c>
      <c r="P140" s="601"/>
      <c r="Q140" s="13">
        <f t="shared" si="36"/>
        <v>0</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0</v>
      </c>
      <c r="F141" s="601"/>
      <c r="G141" s="13">
        <f t="shared" si="31"/>
        <v>0</v>
      </c>
      <c r="H141" s="601"/>
      <c r="I141" s="13">
        <f t="shared" si="32"/>
        <v>1</v>
      </c>
      <c r="J141" s="601"/>
      <c r="K141" s="13">
        <f t="shared" si="33"/>
        <v>1</v>
      </c>
      <c r="L141" s="601"/>
      <c r="M141" s="13">
        <f t="shared" si="34"/>
        <v>1</v>
      </c>
      <c r="N141" s="601"/>
      <c r="O141" s="13">
        <f t="shared" si="35"/>
        <v>1</v>
      </c>
      <c r="P141" s="601"/>
      <c r="Q141" s="13">
        <f t="shared" si="36"/>
        <v>0</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0</v>
      </c>
      <c r="F142" s="601"/>
      <c r="G142" s="13">
        <f t="shared" si="31"/>
        <v>0</v>
      </c>
      <c r="H142" s="601"/>
      <c r="I142" s="13">
        <f t="shared" si="32"/>
        <v>1</v>
      </c>
      <c r="J142" s="601"/>
      <c r="K142" s="13">
        <f t="shared" si="33"/>
        <v>1</v>
      </c>
      <c r="L142" s="601"/>
      <c r="M142" s="13">
        <f t="shared" si="34"/>
        <v>1</v>
      </c>
      <c r="N142" s="601"/>
      <c r="O142" s="13">
        <f t="shared" si="35"/>
        <v>1</v>
      </c>
      <c r="P142" s="601"/>
      <c r="Q142" s="13">
        <f t="shared" si="36"/>
        <v>0</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0</v>
      </c>
      <c r="F143" s="601"/>
      <c r="G143" s="13">
        <f t="shared" si="31"/>
        <v>0</v>
      </c>
      <c r="H143" s="601"/>
      <c r="I143" s="13">
        <f t="shared" si="32"/>
        <v>1</v>
      </c>
      <c r="J143" s="601"/>
      <c r="K143" s="13">
        <f t="shared" si="33"/>
        <v>1</v>
      </c>
      <c r="L143" s="601"/>
      <c r="M143" s="13">
        <f t="shared" si="34"/>
        <v>1</v>
      </c>
      <c r="N143" s="601"/>
      <c r="O143" s="13">
        <f t="shared" si="35"/>
        <v>1</v>
      </c>
      <c r="P143" s="601"/>
      <c r="Q143" s="13">
        <f t="shared" si="36"/>
        <v>0</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0</v>
      </c>
      <c r="F144" s="601"/>
      <c r="G144" s="13">
        <f t="shared" si="31"/>
        <v>0</v>
      </c>
      <c r="H144" s="601"/>
      <c r="I144" s="13">
        <f t="shared" si="32"/>
        <v>1</v>
      </c>
      <c r="J144" s="601"/>
      <c r="K144" s="13">
        <f t="shared" si="33"/>
        <v>1</v>
      </c>
      <c r="L144" s="601"/>
      <c r="M144" s="13">
        <f t="shared" si="34"/>
        <v>1</v>
      </c>
      <c r="N144" s="601"/>
      <c r="O144" s="13">
        <f t="shared" si="35"/>
        <v>1</v>
      </c>
      <c r="P144" s="601"/>
      <c r="Q144" s="13">
        <f t="shared" si="36"/>
        <v>0</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0</v>
      </c>
      <c r="F145" s="601"/>
      <c r="G145" s="13">
        <f t="shared" si="31"/>
        <v>0</v>
      </c>
      <c r="H145" s="601"/>
      <c r="I145" s="13">
        <f t="shared" si="32"/>
        <v>1</v>
      </c>
      <c r="J145" s="601"/>
      <c r="K145" s="13">
        <f t="shared" si="33"/>
        <v>1</v>
      </c>
      <c r="L145" s="601"/>
      <c r="M145" s="13">
        <f t="shared" si="34"/>
        <v>1</v>
      </c>
      <c r="N145" s="601"/>
      <c r="O145" s="13">
        <f t="shared" si="35"/>
        <v>1</v>
      </c>
      <c r="P145" s="601"/>
      <c r="Q145" s="13">
        <f t="shared" si="36"/>
        <v>0</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0</v>
      </c>
      <c r="F146" s="601"/>
      <c r="G146" s="13">
        <f t="shared" si="31"/>
        <v>0</v>
      </c>
      <c r="H146" s="601"/>
      <c r="I146" s="13">
        <f t="shared" si="32"/>
        <v>1</v>
      </c>
      <c r="J146" s="601"/>
      <c r="K146" s="13">
        <f t="shared" si="33"/>
        <v>1</v>
      </c>
      <c r="L146" s="601"/>
      <c r="M146" s="13">
        <f t="shared" si="34"/>
        <v>1</v>
      </c>
      <c r="N146" s="601"/>
      <c r="O146" s="13">
        <f t="shared" si="35"/>
        <v>1</v>
      </c>
      <c r="P146" s="601"/>
      <c r="Q146" s="13">
        <f t="shared" si="36"/>
        <v>0</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0</v>
      </c>
      <c r="F147" s="601"/>
      <c r="G147" s="13">
        <f t="shared" si="31"/>
        <v>0</v>
      </c>
      <c r="H147" s="601"/>
      <c r="I147" s="13">
        <f t="shared" si="32"/>
        <v>1</v>
      </c>
      <c r="J147" s="601"/>
      <c r="K147" s="13">
        <f t="shared" si="33"/>
        <v>1</v>
      </c>
      <c r="L147" s="601"/>
      <c r="M147" s="13">
        <f t="shared" si="34"/>
        <v>1</v>
      </c>
      <c r="N147" s="601"/>
      <c r="O147" s="13">
        <f t="shared" si="35"/>
        <v>1</v>
      </c>
      <c r="P147" s="601"/>
      <c r="Q147" s="13">
        <f t="shared" si="36"/>
        <v>0</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0</v>
      </c>
      <c r="F148" s="601"/>
      <c r="G148" s="13">
        <f t="shared" si="31"/>
        <v>0</v>
      </c>
      <c r="H148" s="601"/>
      <c r="I148" s="13">
        <f t="shared" si="32"/>
        <v>1</v>
      </c>
      <c r="J148" s="601"/>
      <c r="K148" s="13">
        <f t="shared" si="33"/>
        <v>1</v>
      </c>
      <c r="L148" s="601"/>
      <c r="M148" s="13">
        <f t="shared" si="34"/>
        <v>1</v>
      </c>
      <c r="N148" s="601"/>
      <c r="O148" s="13">
        <f t="shared" si="35"/>
        <v>1</v>
      </c>
      <c r="P148" s="601"/>
      <c r="Q148" s="13">
        <f t="shared" si="36"/>
        <v>0</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0</v>
      </c>
      <c r="F149" s="601"/>
      <c r="G149" s="13">
        <f t="shared" si="31"/>
        <v>0</v>
      </c>
      <c r="H149" s="601"/>
      <c r="I149" s="13">
        <f t="shared" si="32"/>
        <v>1</v>
      </c>
      <c r="J149" s="601"/>
      <c r="K149" s="13">
        <f t="shared" si="33"/>
        <v>1</v>
      </c>
      <c r="L149" s="601"/>
      <c r="M149" s="13">
        <f t="shared" si="34"/>
        <v>1</v>
      </c>
      <c r="N149" s="601"/>
      <c r="O149" s="13">
        <f t="shared" si="35"/>
        <v>1</v>
      </c>
      <c r="P149" s="601"/>
      <c r="Q149" s="13">
        <f t="shared" si="36"/>
        <v>0</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0</v>
      </c>
      <c r="F150" s="601"/>
      <c r="G150" s="13">
        <f t="shared" si="31"/>
        <v>0</v>
      </c>
      <c r="H150" s="601"/>
      <c r="I150" s="13">
        <f t="shared" si="32"/>
        <v>1</v>
      </c>
      <c r="J150" s="601"/>
      <c r="K150" s="13">
        <f t="shared" si="33"/>
        <v>1</v>
      </c>
      <c r="L150" s="601"/>
      <c r="M150" s="13">
        <f t="shared" si="34"/>
        <v>1</v>
      </c>
      <c r="N150" s="601"/>
      <c r="O150" s="13">
        <f t="shared" si="35"/>
        <v>1</v>
      </c>
      <c r="P150" s="601"/>
      <c r="Q150" s="13">
        <f t="shared" si="36"/>
        <v>0</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0</v>
      </c>
      <c r="F151" s="601"/>
      <c r="G151" s="13">
        <f t="shared" si="31"/>
        <v>0</v>
      </c>
      <c r="H151" s="601"/>
      <c r="I151" s="13">
        <f t="shared" si="32"/>
        <v>1</v>
      </c>
      <c r="J151" s="601"/>
      <c r="K151" s="13">
        <f t="shared" si="33"/>
        <v>1</v>
      </c>
      <c r="L151" s="601"/>
      <c r="M151" s="13">
        <f t="shared" si="34"/>
        <v>1</v>
      </c>
      <c r="N151" s="601"/>
      <c r="O151" s="13">
        <f t="shared" si="35"/>
        <v>1</v>
      </c>
      <c r="P151" s="601"/>
      <c r="Q151" s="13">
        <f t="shared" si="36"/>
        <v>0</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0</v>
      </c>
      <c r="F152" s="601"/>
      <c r="G152" s="13">
        <f t="shared" si="31"/>
        <v>0</v>
      </c>
      <c r="H152" s="601"/>
      <c r="I152" s="13">
        <f t="shared" si="32"/>
        <v>1</v>
      </c>
      <c r="J152" s="601"/>
      <c r="K152" s="13">
        <f t="shared" si="33"/>
        <v>1</v>
      </c>
      <c r="L152" s="601"/>
      <c r="M152" s="13">
        <f t="shared" si="34"/>
        <v>1</v>
      </c>
      <c r="N152" s="601"/>
      <c r="O152" s="13">
        <f t="shared" si="35"/>
        <v>1</v>
      </c>
      <c r="P152" s="601"/>
      <c r="Q152" s="13">
        <f t="shared" si="36"/>
        <v>0</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0</v>
      </c>
      <c r="F153" s="601"/>
      <c r="G153" s="13">
        <f t="shared" si="31"/>
        <v>0</v>
      </c>
      <c r="H153" s="601"/>
      <c r="I153" s="13">
        <f t="shared" si="32"/>
        <v>1</v>
      </c>
      <c r="J153" s="601"/>
      <c r="K153" s="13">
        <f t="shared" si="33"/>
        <v>1</v>
      </c>
      <c r="L153" s="601"/>
      <c r="M153" s="13">
        <f t="shared" si="34"/>
        <v>1</v>
      </c>
      <c r="N153" s="601"/>
      <c r="O153" s="13">
        <f t="shared" si="35"/>
        <v>1</v>
      </c>
      <c r="P153" s="601"/>
      <c r="Q153" s="13">
        <f t="shared" si="36"/>
        <v>0</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0</v>
      </c>
      <c r="F154" s="601"/>
      <c r="G154" s="13">
        <f t="shared" si="31"/>
        <v>0</v>
      </c>
      <c r="H154" s="601"/>
      <c r="I154" s="13">
        <f t="shared" si="32"/>
        <v>1</v>
      </c>
      <c r="J154" s="601"/>
      <c r="K154" s="13">
        <f t="shared" si="33"/>
        <v>1</v>
      </c>
      <c r="L154" s="601"/>
      <c r="M154" s="13">
        <f t="shared" si="34"/>
        <v>1</v>
      </c>
      <c r="N154" s="601"/>
      <c r="O154" s="13">
        <f t="shared" si="35"/>
        <v>1</v>
      </c>
      <c r="P154" s="601"/>
      <c r="Q154" s="13">
        <f t="shared" si="36"/>
        <v>0</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0</v>
      </c>
      <c r="F155" s="601"/>
      <c r="G155" s="13">
        <f t="shared" si="31"/>
        <v>0</v>
      </c>
      <c r="H155" s="601"/>
      <c r="I155" s="13">
        <f t="shared" si="32"/>
        <v>1</v>
      </c>
      <c r="J155" s="601"/>
      <c r="K155" s="13">
        <f t="shared" si="33"/>
        <v>1</v>
      </c>
      <c r="L155" s="601"/>
      <c r="M155" s="13">
        <f t="shared" si="34"/>
        <v>1</v>
      </c>
      <c r="N155" s="601"/>
      <c r="O155" s="13">
        <f t="shared" si="35"/>
        <v>1</v>
      </c>
      <c r="P155" s="601"/>
      <c r="Q155" s="13">
        <f t="shared" si="36"/>
        <v>0</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0</v>
      </c>
      <c r="F156" s="601"/>
      <c r="G156" s="13">
        <f t="shared" ref="G156:G219" si="46">(SUMIF($10:$10,F156,$11:$11)-SUMIF($10:$10,$F$27,$11:$11)+100)/100</f>
        <v>0</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0</v>
      </c>
      <c r="F157" s="601"/>
      <c r="G157" s="13">
        <f t="shared" si="46"/>
        <v>0</v>
      </c>
      <c r="H157" s="601"/>
      <c r="I157" s="13">
        <f t="shared" si="47"/>
        <v>1</v>
      </c>
      <c r="J157" s="601"/>
      <c r="K157" s="13">
        <f t="shared" si="48"/>
        <v>1</v>
      </c>
      <c r="L157" s="601"/>
      <c r="M157" s="13">
        <f t="shared" si="49"/>
        <v>1</v>
      </c>
      <c r="N157" s="601"/>
      <c r="O157" s="13">
        <f t="shared" si="50"/>
        <v>1</v>
      </c>
      <c r="P157" s="601"/>
      <c r="Q157" s="13">
        <f t="shared" si="51"/>
        <v>0</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0</v>
      </c>
      <c r="F158" s="601"/>
      <c r="G158" s="13">
        <f t="shared" si="46"/>
        <v>0</v>
      </c>
      <c r="H158" s="601"/>
      <c r="I158" s="13">
        <f t="shared" si="47"/>
        <v>1</v>
      </c>
      <c r="J158" s="601"/>
      <c r="K158" s="13">
        <f t="shared" si="48"/>
        <v>1</v>
      </c>
      <c r="L158" s="601"/>
      <c r="M158" s="13">
        <f t="shared" si="49"/>
        <v>1</v>
      </c>
      <c r="N158" s="601"/>
      <c r="O158" s="13">
        <f t="shared" si="50"/>
        <v>1</v>
      </c>
      <c r="P158" s="601"/>
      <c r="Q158" s="13">
        <f t="shared" si="51"/>
        <v>0</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0</v>
      </c>
      <c r="F159" s="601"/>
      <c r="G159" s="13">
        <f t="shared" si="46"/>
        <v>0</v>
      </c>
      <c r="H159" s="601"/>
      <c r="I159" s="13">
        <f t="shared" si="47"/>
        <v>1</v>
      </c>
      <c r="J159" s="601"/>
      <c r="K159" s="13">
        <f t="shared" si="48"/>
        <v>1</v>
      </c>
      <c r="L159" s="601"/>
      <c r="M159" s="13">
        <f t="shared" si="49"/>
        <v>1</v>
      </c>
      <c r="N159" s="601"/>
      <c r="O159" s="13">
        <f t="shared" si="50"/>
        <v>1</v>
      </c>
      <c r="P159" s="601"/>
      <c r="Q159" s="13">
        <f t="shared" si="51"/>
        <v>0</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0</v>
      </c>
      <c r="F160" s="601"/>
      <c r="G160" s="13">
        <f t="shared" si="46"/>
        <v>0</v>
      </c>
      <c r="H160" s="601"/>
      <c r="I160" s="13">
        <f t="shared" si="47"/>
        <v>1</v>
      </c>
      <c r="J160" s="601"/>
      <c r="K160" s="13">
        <f t="shared" si="48"/>
        <v>1</v>
      </c>
      <c r="L160" s="601"/>
      <c r="M160" s="13">
        <f t="shared" si="49"/>
        <v>1</v>
      </c>
      <c r="N160" s="601"/>
      <c r="O160" s="13">
        <f t="shared" si="50"/>
        <v>1</v>
      </c>
      <c r="P160" s="601"/>
      <c r="Q160" s="13">
        <f t="shared" si="51"/>
        <v>0</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0</v>
      </c>
      <c r="F161" s="601"/>
      <c r="G161" s="13">
        <f t="shared" si="46"/>
        <v>0</v>
      </c>
      <c r="H161" s="601"/>
      <c r="I161" s="13">
        <f t="shared" si="47"/>
        <v>1</v>
      </c>
      <c r="J161" s="601"/>
      <c r="K161" s="13">
        <f t="shared" si="48"/>
        <v>1</v>
      </c>
      <c r="L161" s="601"/>
      <c r="M161" s="13">
        <f t="shared" si="49"/>
        <v>1</v>
      </c>
      <c r="N161" s="601"/>
      <c r="O161" s="13">
        <f t="shared" si="50"/>
        <v>1</v>
      </c>
      <c r="P161" s="601"/>
      <c r="Q161" s="13">
        <f t="shared" si="51"/>
        <v>0</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0</v>
      </c>
      <c r="F162" s="601"/>
      <c r="G162" s="13">
        <f t="shared" si="46"/>
        <v>0</v>
      </c>
      <c r="H162" s="601"/>
      <c r="I162" s="13">
        <f t="shared" si="47"/>
        <v>1</v>
      </c>
      <c r="J162" s="601"/>
      <c r="K162" s="13">
        <f t="shared" si="48"/>
        <v>1</v>
      </c>
      <c r="L162" s="601"/>
      <c r="M162" s="13">
        <f t="shared" si="49"/>
        <v>1</v>
      </c>
      <c r="N162" s="601"/>
      <c r="O162" s="13">
        <f t="shared" si="50"/>
        <v>1</v>
      </c>
      <c r="P162" s="601"/>
      <c r="Q162" s="13">
        <f t="shared" si="51"/>
        <v>0</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0</v>
      </c>
      <c r="F163" s="601"/>
      <c r="G163" s="13">
        <f t="shared" si="46"/>
        <v>0</v>
      </c>
      <c r="H163" s="601"/>
      <c r="I163" s="13">
        <f t="shared" si="47"/>
        <v>1</v>
      </c>
      <c r="J163" s="601"/>
      <c r="K163" s="13">
        <f t="shared" si="48"/>
        <v>1</v>
      </c>
      <c r="L163" s="601"/>
      <c r="M163" s="13">
        <f t="shared" si="49"/>
        <v>1</v>
      </c>
      <c r="N163" s="601"/>
      <c r="O163" s="13">
        <f t="shared" si="50"/>
        <v>1</v>
      </c>
      <c r="P163" s="601"/>
      <c r="Q163" s="13">
        <f t="shared" si="51"/>
        <v>0</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0</v>
      </c>
      <c r="F164" s="601"/>
      <c r="G164" s="13">
        <f t="shared" si="46"/>
        <v>0</v>
      </c>
      <c r="H164" s="601"/>
      <c r="I164" s="13">
        <f t="shared" si="47"/>
        <v>1</v>
      </c>
      <c r="J164" s="601"/>
      <c r="K164" s="13">
        <f t="shared" si="48"/>
        <v>1</v>
      </c>
      <c r="L164" s="601"/>
      <c r="M164" s="13">
        <f t="shared" si="49"/>
        <v>1</v>
      </c>
      <c r="N164" s="601"/>
      <c r="O164" s="13">
        <f t="shared" si="50"/>
        <v>1</v>
      </c>
      <c r="P164" s="601"/>
      <c r="Q164" s="13">
        <f t="shared" si="51"/>
        <v>0</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0</v>
      </c>
      <c r="F165" s="601"/>
      <c r="G165" s="13">
        <f t="shared" si="46"/>
        <v>0</v>
      </c>
      <c r="H165" s="601"/>
      <c r="I165" s="13">
        <f t="shared" si="47"/>
        <v>1</v>
      </c>
      <c r="J165" s="601"/>
      <c r="K165" s="13">
        <f t="shared" si="48"/>
        <v>1</v>
      </c>
      <c r="L165" s="601"/>
      <c r="M165" s="13">
        <f t="shared" si="49"/>
        <v>1</v>
      </c>
      <c r="N165" s="601"/>
      <c r="O165" s="13">
        <f t="shared" si="50"/>
        <v>1</v>
      </c>
      <c r="P165" s="601"/>
      <c r="Q165" s="13">
        <f t="shared" si="51"/>
        <v>0</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0</v>
      </c>
      <c r="F166" s="601"/>
      <c r="G166" s="13">
        <f t="shared" si="46"/>
        <v>0</v>
      </c>
      <c r="H166" s="601"/>
      <c r="I166" s="13">
        <f t="shared" si="47"/>
        <v>1</v>
      </c>
      <c r="J166" s="601"/>
      <c r="K166" s="13">
        <f t="shared" si="48"/>
        <v>1</v>
      </c>
      <c r="L166" s="601"/>
      <c r="M166" s="13">
        <f t="shared" si="49"/>
        <v>1</v>
      </c>
      <c r="N166" s="601"/>
      <c r="O166" s="13">
        <f t="shared" si="50"/>
        <v>1</v>
      </c>
      <c r="P166" s="601"/>
      <c r="Q166" s="13">
        <f t="shared" si="51"/>
        <v>0</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0</v>
      </c>
      <c r="F167" s="601"/>
      <c r="G167" s="13">
        <f t="shared" si="46"/>
        <v>0</v>
      </c>
      <c r="H167" s="601"/>
      <c r="I167" s="13">
        <f t="shared" si="47"/>
        <v>1</v>
      </c>
      <c r="J167" s="601"/>
      <c r="K167" s="13">
        <f t="shared" si="48"/>
        <v>1</v>
      </c>
      <c r="L167" s="601"/>
      <c r="M167" s="13">
        <f t="shared" si="49"/>
        <v>1</v>
      </c>
      <c r="N167" s="601"/>
      <c r="O167" s="13">
        <f t="shared" si="50"/>
        <v>1</v>
      </c>
      <c r="P167" s="601"/>
      <c r="Q167" s="13">
        <f t="shared" si="51"/>
        <v>0</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0</v>
      </c>
      <c r="F168" s="601"/>
      <c r="G168" s="13">
        <f t="shared" si="46"/>
        <v>0</v>
      </c>
      <c r="H168" s="601"/>
      <c r="I168" s="13">
        <f t="shared" si="47"/>
        <v>1</v>
      </c>
      <c r="J168" s="601"/>
      <c r="K168" s="13">
        <f t="shared" si="48"/>
        <v>1</v>
      </c>
      <c r="L168" s="601"/>
      <c r="M168" s="13">
        <f t="shared" si="49"/>
        <v>1</v>
      </c>
      <c r="N168" s="601"/>
      <c r="O168" s="13">
        <f t="shared" si="50"/>
        <v>1</v>
      </c>
      <c r="P168" s="601"/>
      <c r="Q168" s="13">
        <f t="shared" si="51"/>
        <v>0</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0</v>
      </c>
      <c r="F169" s="601"/>
      <c r="G169" s="13">
        <f t="shared" si="46"/>
        <v>0</v>
      </c>
      <c r="H169" s="601"/>
      <c r="I169" s="13">
        <f t="shared" si="47"/>
        <v>1</v>
      </c>
      <c r="J169" s="601"/>
      <c r="K169" s="13">
        <f t="shared" si="48"/>
        <v>1</v>
      </c>
      <c r="L169" s="601"/>
      <c r="M169" s="13">
        <f t="shared" si="49"/>
        <v>1</v>
      </c>
      <c r="N169" s="601"/>
      <c r="O169" s="13">
        <f t="shared" si="50"/>
        <v>1</v>
      </c>
      <c r="P169" s="601"/>
      <c r="Q169" s="13">
        <f t="shared" si="51"/>
        <v>0</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0</v>
      </c>
      <c r="F170" s="601"/>
      <c r="G170" s="13">
        <f t="shared" si="46"/>
        <v>0</v>
      </c>
      <c r="H170" s="601"/>
      <c r="I170" s="13">
        <f t="shared" si="47"/>
        <v>1</v>
      </c>
      <c r="J170" s="601"/>
      <c r="K170" s="13">
        <f t="shared" si="48"/>
        <v>1</v>
      </c>
      <c r="L170" s="601"/>
      <c r="M170" s="13">
        <f t="shared" si="49"/>
        <v>1</v>
      </c>
      <c r="N170" s="601"/>
      <c r="O170" s="13">
        <f t="shared" si="50"/>
        <v>1</v>
      </c>
      <c r="P170" s="601"/>
      <c r="Q170" s="13">
        <f t="shared" si="51"/>
        <v>0</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0</v>
      </c>
      <c r="F171" s="601"/>
      <c r="G171" s="13">
        <f t="shared" si="46"/>
        <v>0</v>
      </c>
      <c r="H171" s="601"/>
      <c r="I171" s="13">
        <f t="shared" si="47"/>
        <v>1</v>
      </c>
      <c r="J171" s="601"/>
      <c r="K171" s="13">
        <f t="shared" si="48"/>
        <v>1</v>
      </c>
      <c r="L171" s="601"/>
      <c r="M171" s="13">
        <f t="shared" si="49"/>
        <v>1</v>
      </c>
      <c r="N171" s="601"/>
      <c r="O171" s="13">
        <f t="shared" si="50"/>
        <v>1</v>
      </c>
      <c r="P171" s="601"/>
      <c r="Q171" s="13">
        <f t="shared" si="51"/>
        <v>0</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0</v>
      </c>
      <c r="F172" s="601"/>
      <c r="G172" s="13">
        <f t="shared" si="46"/>
        <v>0</v>
      </c>
      <c r="H172" s="601"/>
      <c r="I172" s="13">
        <f t="shared" si="47"/>
        <v>1</v>
      </c>
      <c r="J172" s="601"/>
      <c r="K172" s="13">
        <f t="shared" si="48"/>
        <v>1</v>
      </c>
      <c r="L172" s="601"/>
      <c r="M172" s="13">
        <f t="shared" si="49"/>
        <v>1</v>
      </c>
      <c r="N172" s="601"/>
      <c r="O172" s="13">
        <f t="shared" si="50"/>
        <v>1</v>
      </c>
      <c r="P172" s="601"/>
      <c r="Q172" s="13">
        <f t="shared" si="51"/>
        <v>0</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0</v>
      </c>
      <c r="F173" s="601"/>
      <c r="G173" s="13">
        <f t="shared" si="46"/>
        <v>0</v>
      </c>
      <c r="H173" s="601"/>
      <c r="I173" s="13">
        <f t="shared" si="47"/>
        <v>1</v>
      </c>
      <c r="J173" s="601"/>
      <c r="K173" s="13">
        <f t="shared" si="48"/>
        <v>1</v>
      </c>
      <c r="L173" s="601"/>
      <c r="M173" s="13">
        <f t="shared" si="49"/>
        <v>1</v>
      </c>
      <c r="N173" s="601"/>
      <c r="O173" s="13">
        <f t="shared" si="50"/>
        <v>1</v>
      </c>
      <c r="P173" s="601"/>
      <c r="Q173" s="13">
        <f t="shared" si="51"/>
        <v>0</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0</v>
      </c>
      <c r="F174" s="601"/>
      <c r="G174" s="13">
        <f t="shared" si="46"/>
        <v>0</v>
      </c>
      <c r="H174" s="601"/>
      <c r="I174" s="13">
        <f t="shared" si="47"/>
        <v>1</v>
      </c>
      <c r="J174" s="601"/>
      <c r="K174" s="13">
        <f t="shared" si="48"/>
        <v>1</v>
      </c>
      <c r="L174" s="601"/>
      <c r="M174" s="13">
        <f t="shared" si="49"/>
        <v>1</v>
      </c>
      <c r="N174" s="601"/>
      <c r="O174" s="13">
        <f t="shared" si="50"/>
        <v>1</v>
      </c>
      <c r="P174" s="601"/>
      <c r="Q174" s="13">
        <f t="shared" si="51"/>
        <v>0</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0</v>
      </c>
      <c r="F175" s="601"/>
      <c r="G175" s="13">
        <f t="shared" si="46"/>
        <v>0</v>
      </c>
      <c r="H175" s="601"/>
      <c r="I175" s="13">
        <f t="shared" si="47"/>
        <v>1</v>
      </c>
      <c r="J175" s="601"/>
      <c r="K175" s="13">
        <f t="shared" si="48"/>
        <v>1</v>
      </c>
      <c r="L175" s="601"/>
      <c r="M175" s="13">
        <f t="shared" si="49"/>
        <v>1</v>
      </c>
      <c r="N175" s="601"/>
      <c r="O175" s="13">
        <f t="shared" si="50"/>
        <v>1</v>
      </c>
      <c r="P175" s="601"/>
      <c r="Q175" s="13">
        <f t="shared" si="51"/>
        <v>0</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0</v>
      </c>
      <c r="F176" s="601"/>
      <c r="G176" s="13">
        <f t="shared" si="46"/>
        <v>0</v>
      </c>
      <c r="H176" s="601"/>
      <c r="I176" s="13">
        <f t="shared" si="47"/>
        <v>1</v>
      </c>
      <c r="J176" s="601"/>
      <c r="K176" s="13">
        <f t="shared" si="48"/>
        <v>1</v>
      </c>
      <c r="L176" s="601"/>
      <c r="M176" s="13">
        <f t="shared" si="49"/>
        <v>1</v>
      </c>
      <c r="N176" s="601"/>
      <c r="O176" s="13">
        <f t="shared" si="50"/>
        <v>1</v>
      </c>
      <c r="P176" s="601"/>
      <c r="Q176" s="13">
        <f t="shared" si="51"/>
        <v>0</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0</v>
      </c>
      <c r="F177" s="601"/>
      <c r="G177" s="13">
        <f t="shared" si="46"/>
        <v>0</v>
      </c>
      <c r="H177" s="601"/>
      <c r="I177" s="13">
        <f t="shared" si="47"/>
        <v>1</v>
      </c>
      <c r="J177" s="601"/>
      <c r="K177" s="13">
        <f t="shared" si="48"/>
        <v>1</v>
      </c>
      <c r="L177" s="601"/>
      <c r="M177" s="13">
        <f t="shared" si="49"/>
        <v>1</v>
      </c>
      <c r="N177" s="601"/>
      <c r="O177" s="13">
        <f t="shared" si="50"/>
        <v>1</v>
      </c>
      <c r="P177" s="601"/>
      <c r="Q177" s="13">
        <f t="shared" si="51"/>
        <v>0</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0</v>
      </c>
      <c r="F178" s="601"/>
      <c r="G178" s="13">
        <f t="shared" si="46"/>
        <v>0</v>
      </c>
      <c r="H178" s="601"/>
      <c r="I178" s="13">
        <f t="shared" si="47"/>
        <v>1</v>
      </c>
      <c r="J178" s="601"/>
      <c r="K178" s="13">
        <f t="shared" si="48"/>
        <v>1</v>
      </c>
      <c r="L178" s="601"/>
      <c r="M178" s="13">
        <f t="shared" si="49"/>
        <v>1</v>
      </c>
      <c r="N178" s="601"/>
      <c r="O178" s="13">
        <f t="shared" si="50"/>
        <v>1</v>
      </c>
      <c r="P178" s="601"/>
      <c r="Q178" s="13">
        <f t="shared" si="51"/>
        <v>0</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0</v>
      </c>
      <c r="F179" s="601"/>
      <c r="G179" s="13">
        <f t="shared" si="46"/>
        <v>0</v>
      </c>
      <c r="H179" s="601"/>
      <c r="I179" s="13">
        <f t="shared" si="47"/>
        <v>1</v>
      </c>
      <c r="J179" s="601"/>
      <c r="K179" s="13">
        <f t="shared" si="48"/>
        <v>1</v>
      </c>
      <c r="L179" s="601"/>
      <c r="M179" s="13">
        <f t="shared" si="49"/>
        <v>1</v>
      </c>
      <c r="N179" s="601"/>
      <c r="O179" s="13">
        <f t="shared" si="50"/>
        <v>1</v>
      </c>
      <c r="P179" s="601"/>
      <c r="Q179" s="13">
        <f t="shared" si="51"/>
        <v>0</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0</v>
      </c>
      <c r="F180" s="601"/>
      <c r="G180" s="13">
        <f t="shared" si="46"/>
        <v>0</v>
      </c>
      <c r="H180" s="601"/>
      <c r="I180" s="13">
        <f t="shared" si="47"/>
        <v>1</v>
      </c>
      <c r="J180" s="601"/>
      <c r="K180" s="13">
        <f t="shared" si="48"/>
        <v>1</v>
      </c>
      <c r="L180" s="601"/>
      <c r="M180" s="13">
        <f t="shared" si="49"/>
        <v>1</v>
      </c>
      <c r="N180" s="601"/>
      <c r="O180" s="13">
        <f t="shared" si="50"/>
        <v>1</v>
      </c>
      <c r="P180" s="601"/>
      <c r="Q180" s="13">
        <f t="shared" si="51"/>
        <v>0</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0</v>
      </c>
      <c r="F181" s="601"/>
      <c r="G181" s="13">
        <f t="shared" si="46"/>
        <v>0</v>
      </c>
      <c r="H181" s="601"/>
      <c r="I181" s="13">
        <f t="shared" si="47"/>
        <v>1</v>
      </c>
      <c r="J181" s="601"/>
      <c r="K181" s="13">
        <f t="shared" si="48"/>
        <v>1</v>
      </c>
      <c r="L181" s="601"/>
      <c r="M181" s="13">
        <f t="shared" si="49"/>
        <v>1</v>
      </c>
      <c r="N181" s="601"/>
      <c r="O181" s="13">
        <f t="shared" si="50"/>
        <v>1</v>
      </c>
      <c r="P181" s="601"/>
      <c r="Q181" s="13">
        <f t="shared" si="51"/>
        <v>0</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0</v>
      </c>
      <c r="F182" s="601"/>
      <c r="G182" s="13">
        <f t="shared" si="46"/>
        <v>0</v>
      </c>
      <c r="H182" s="601"/>
      <c r="I182" s="13">
        <f t="shared" si="47"/>
        <v>1</v>
      </c>
      <c r="J182" s="601"/>
      <c r="K182" s="13">
        <f t="shared" si="48"/>
        <v>1</v>
      </c>
      <c r="L182" s="601"/>
      <c r="M182" s="13">
        <f t="shared" si="49"/>
        <v>1</v>
      </c>
      <c r="N182" s="601"/>
      <c r="O182" s="13">
        <f t="shared" si="50"/>
        <v>1</v>
      </c>
      <c r="P182" s="601"/>
      <c r="Q182" s="13">
        <f t="shared" si="51"/>
        <v>0</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0</v>
      </c>
      <c r="F183" s="601"/>
      <c r="G183" s="13">
        <f t="shared" si="46"/>
        <v>0</v>
      </c>
      <c r="H183" s="601"/>
      <c r="I183" s="13">
        <f t="shared" si="47"/>
        <v>1</v>
      </c>
      <c r="J183" s="601"/>
      <c r="K183" s="13">
        <f t="shared" si="48"/>
        <v>1</v>
      </c>
      <c r="L183" s="601"/>
      <c r="M183" s="13">
        <f t="shared" si="49"/>
        <v>1</v>
      </c>
      <c r="N183" s="601"/>
      <c r="O183" s="13">
        <f t="shared" si="50"/>
        <v>1</v>
      </c>
      <c r="P183" s="601"/>
      <c r="Q183" s="13">
        <f t="shared" si="51"/>
        <v>0</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0</v>
      </c>
      <c r="F184" s="601"/>
      <c r="G184" s="13">
        <f t="shared" si="46"/>
        <v>0</v>
      </c>
      <c r="H184" s="601"/>
      <c r="I184" s="13">
        <f t="shared" si="47"/>
        <v>1</v>
      </c>
      <c r="J184" s="601"/>
      <c r="K184" s="13">
        <f t="shared" si="48"/>
        <v>1</v>
      </c>
      <c r="L184" s="601"/>
      <c r="M184" s="13">
        <f t="shared" si="49"/>
        <v>1</v>
      </c>
      <c r="N184" s="601"/>
      <c r="O184" s="13">
        <f t="shared" si="50"/>
        <v>1</v>
      </c>
      <c r="P184" s="601"/>
      <c r="Q184" s="13">
        <f t="shared" si="51"/>
        <v>0</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0</v>
      </c>
      <c r="F185" s="601"/>
      <c r="G185" s="13">
        <f t="shared" si="46"/>
        <v>0</v>
      </c>
      <c r="H185" s="601"/>
      <c r="I185" s="13">
        <f t="shared" si="47"/>
        <v>1</v>
      </c>
      <c r="J185" s="601"/>
      <c r="K185" s="13">
        <f t="shared" si="48"/>
        <v>1</v>
      </c>
      <c r="L185" s="601"/>
      <c r="M185" s="13">
        <f t="shared" si="49"/>
        <v>1</v>
      </c>
      <c r="N185" s="601"/>
      <c r="O185" s="13">
        <f t="shared" si="50"/>
        <v>1</v>
      </c>
      <c r="P185" s="601"/>
      <c r="Q185" s="13">
        <f t="shared" si="51"/>
        <v>0</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0</v>
      </c>
      <c r="F186" s="601"/>
      <c r="G186" s="13">
        <f t="shared" si="46"/>
        <v>0</v>
      </c>
      <c r="H186" s="601"/>
      <c r="I186" s="13">
        <f t="shared" si="47"/>
        <v>1</v>
      </c>
      <c r="J186" s="601"/>
      <c r="K186" s="13">
        <f t="shared" si="48"/>
        <v>1</v>
      </c>
      <c r="L186" s="601"/>
      <c r="M186" s="13">
        <f t="shared" si="49"/>
        <v>1</v>
      </c>
      <c r="N186" s="601"/>
      <c r="O186" s="13">
        <f t="shared" si="50"/>
        <v>1</v>
      </c>
      <c r="P186" s="601"/>
      <c r="Q186" s="13">
        <f t="shared" si="51"/>
        <v>0</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0</v>
      </c>
      <c r="F187" s="601"/>
      <c r="G187" s="13">
        <f t="shared" si="46"/>
        <v>0</v>
      </c>
      <c r="H187" s="601"/>
      <c r="I187" s="13">
        <f t="shared" si="47"/>
        <v>1</v>
      </c>
      <c r="J187" s="601"/>
      <c r="K187" s="13">
        <f t="shared" si="48"/>
        <v>1</v>
      </c>
      <c r="L187" s="601"/>
      <c r="M187" s="13">
        <f t="shared" si="49"/>
        <v>1</v>
      </c>
      <c r="N187" s="601"/>
      <c r="O187" s="13">
        <f t="shared" si="50"/>
        <v>1</v>
      </c>
      <c r="P187" s="601"/>
      <c r="Q187" s="13">
        <f t="shared" si="51"/>
        <v>0</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0</v>
      </c>
      <c r="F188" s="601"/>
      <c r="G188" s="13">
        <f t="shared" si="46"/>
        <v>0</v>
      </c>
      <c r="H188" s="601"/>
      <c r="I188" s="13">
        <f t="shared" si="47"/>
        <v>1</v>
      </c>
      <c r="J188" s="601"/>
      <c r="K188" s="13">
        <f t="shared" si="48"/>
        <v>1</v>
      </c>
      <c r="L188" s="601"/>
      <c r="M188" s="13">
        <f t="shared" si="49"/>
        <v>1</v>
      </c>
      <c r="N188" s="601"/>
      <c r="O188" s="13">
        <f t="shared" si="50"/>
        <v>1</v>
      </c>
      <c r="P188" s="601"/>
      <c r="Q188" s="13">
        <f t="shared" si="51"/>
        <v>0</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0</v>
      </c>
      <c r="F189" s="601"/>
      <c r="G189" s="13">
        <f t="shared" si="46"/>
        <v>0</v>
      </c>
      <c r="H189" s="601"/>
      <c r="I189" s="13">
        <f t="shared" si="47"/>
        <v>1</v>
      </c>
      <c r="J189" s="601"/>
      <c r="K189" s="13">
        <f t="shared" si="48"/>
        <v>1</v>
      </c>
      <c r="L189" s="601"/>
      <c r="M189" s="13">
        <f t="shared" si="49"/>
        <v>1</v>
      </c>
      <c r="N189" s="601"/>
      <c r="O189" s="13">
        <f t="shared" si="50"/>
        <v>1</v>
      </c>
      <c r="P189" s="601"/>
      <c r="Q189" s="13">
        <f t="shared" si="51"/>
        <v>0</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0</v>
      </c>
      <c r="F190" s="601"/>
      <c r="G190" s="13">
        <f t="shared" si="46"/>
        <v>0</v>
      </c>
      <c r="H190" s="601"/>
      <c r="I190" s="13">
        <f t="shared" si="47"/>
        <v>1</v>
      </c>
      <c r="J190" s="601"/>
      <c r="K190" s="13">
        <f t="shared" si="48"/>
        <v>1</v>
      </c>
      <c r="L190" s="601"/>
      <c r="M190" s="13">
        <f t="shared" si="49"/>
        <v>1</v>
      </c>
      <c r="N190" s="601"/>
      <c r="O190" s="13">
        <f t="shared" si="50"/>
        <v>1</v>
      </c>
      <c r="P190" s="601"/>
      <c r="Q190" s="13">
        <f t="shared" si="51"/>
        <v>0</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0</v>
      </c>
      <c r="F191" s="601"/>
      <c r="G191" s="13">
        <f t="shared" si="46"/>
        <v>0</v>
      </c>
      <c r="H191" s="601"/>
      <c r="I191" s="13">
        <f t="shared" si="47"/>
        <v>1</v>
      </c>
      <c r="J191" s="601"/>
      <c r="K191" s="13">
        <f t="shared" si="48"/>
        <v>1</v>
      </c>
      <c r="L191" s="601"/>
      <c r="M191" s="13">
        <f t="shared" si="49"/>
        <v>1</v>
      </c>
      <c r="N191" s="601"/>
      <c r="O191" s="13">
        <f t="shared" si="50"/>
        <v>1</v>
      </c>
      <c r="P191" s="601"/>
      <c r="Q191" s="13">
        <f t="shared" si="51"/>
        <v>0</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0</v>
      </c>
      <c r="F192" s="601"/>
      <c r="G192" s="13">
        <f t="shared" si="46"/>
        <v>0</v>
      </c>
      <c r="H192" s="601"/>
      <c r="I192" s="13">
        <f t="shared" si="47"/>
        <v>1</v>
      </c>
      <c r="J192" s="601"/>
      <c r="K192" s="13">
        <f t="shared" si="48"/>
        <v>1</v>
      </c>
      <c r="L192" s="601"/>
      <c r="M192" s="13">
        <f t="shared" si="49"/>
        <v>1</v>
      </c>
      <c r="N192" s="601"/>
      <c r="O192" s="13">
        <f t="shared" si="50"/>
        <v>1</v>
      </c>
      <c r="P192" s="601"/>
      <c r="Q192" s="13">
        <f t="shared" si="51"/>
        <v>0</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0</v>
      </c>
      <c r="F193" s="601"/>
      <c r="G193" s="13">
        <f t="shared" si="46"/>
        <v>0</v>
      </c>
      <c r="H193" s="601"/>
      <c r="I193" s="13">
        <f t="shared" si="47"/>
        <v>1</v>
      </c>
      <c r="J193" s="601"/>
      <c r="K193" s="13">
        <f t="shared" si="48"/>
        <v>1</v>
      </c>
      <c r="L193" s="601"/>
      <c r="M193" s="13">
        <f t="shared" si="49"/>
        <v>1</v>
      </c>
      <c r="N193" s="601"/>
      <c r="O193" s="13">
        <f t="shared" si="50"/>
        <v>1</v>
      </c>
      <c r="P193" s="601"/>
      <c r="Q193" s="13">
        <f t="shared" si="51"/>
        <v>0</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0</v>
      </c>
      <c r="F194" s="601"/>
      <c r="G194" s="13">
        <f t="shared" si="46"/>
        <v>0</v>
      </c>
      <c r="H194" s="601"/>
      <c r="I194" s="13">
        <f t="shared" si="47"/>
        <v>1</v>
      </c>
      <c r="J194" s="601"/>
      <c r="K194" s="13">
        <f t="shared" si="48"/>
        <v>1</v>
      </c>
      <c r="L194" s="601"/>
      <c r="M194" s="13">
        <f t="shared" si="49"/>
        <v>1</v>
      </c>
      <c r="N194" s="601"/>
      <c r="O194" s="13">
        <f t="shared" si="50"/>
        <v>1</v>
      </c>
      <c r="P194" s="601"/>
      <c r="Q194" s="13">
        <f t="shared" si="51"/>
        <v>0</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0</v>
      </c>
      <c r="F195" s="601"/>
      <c r="G195" s="13">
        <f t="shared" si="46"/>
        <v>0</v>
      </c>
      <c r="H195" s="601"/>
      <c r="I195" s="13">
        <f t="shared" si="47"/>
        <v>1</v>
      </c>
      <c r="J195" s="601"/>
      <c r="K195" s="13">
        <f t="shared" si="48"/>
        <v>1</v>
      </c>
      <c r="L195" s="601"/>
      <c r="M195" s="13">
        <f t="shared" si="49"/>
        <v>1</v>
      </c>
      <c r="N195" s="601"/>
      <c r="O195" s="13">
        <f t="shared" si="50"/>
        <v>1</v>
      </c>
      <c r="P195" s="601"/>
      <c r="Q195" s="13">
        <f t="shared" si="51"/>
        <v>0</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0</v>
      </c>
      <c r="F196" s="601"/>
      <c r="G196" s="13">
        <f t="shared" si="46"/>
        <v>0</v>
      </c>
      <c r="H196" s="601"/>
      <c r="I196" s="13">
        <f t="shared" si="47"/>
        <v>1</v>
      </c>
      <c r="J196" s="601"/>
      <c r="K196" s="13">
        <f t="shared" si="48"/>
        <v>1</v>
      </c>
      <c r="L196" s="601"/>
      <c r="M196" s="13">
        <f t="shared" si="49"/>
        <v>1</v>
      </c>
      <c r="N196" s="601"/>
      <c r="O196" s="13">
        <f t="shared" si="50"/>
        <v>1</v>
      </c>
      <c r="P196" s="601"/>
      <c r="Q196" s="13">
        <f t="shared" si="51"/>
        <v>0</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0</v>
      </c>
      <c r="F197" s="601"/>
      <c r="G197" s="13">
        <f t="shared" si="46"/>
        <v>0</v>
      </c>
      <c r="H197" s="601"/>
      <c r="I197" s="13">
        <f t="shared" si="47"/>
        <v>1</v>
      </c>
      <c r="J197" s="601"/>
      <c r="K197" s="13">
        <f t="shared" si="48"/>
        <v>1</v>
      </c>
      <c r="L197" s="601"/>
      <c r="M197" s="13">
        <f t="shared" si="49"/>
        <v>1</v>
      </c>
      <c r="N197" s="601"/>
      <c r="O197" s="13">
        <f t="shared" si="50"/>
        <v>1</v>
      </c>
      <c r="P197" s="601"/>
      <c r="Q197" s="13">
        <f t="shared" si="51"/>
        <v>0</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0</v>
      </c>
      <c r="F198" s="601"/>
      <c r="G198" s="13">
        <f t="shared" si="46"/>
        <v>0</v>
      </c>
      <c r="H198" s="601"/>
      <c r="I198" s="13">
        <f t="shared" si="47"/>
        <v>1</v>
      </c>
      <c r="J198" s="601"/>
      <c r="K198" s="13">
        <f t="shared" si="48"/>
        <v>1</v>
      </c>
      <c r="L198" s="601"/>
      <c r="M198" s="13">
        <f t="shared" si="49"/>
        <v>1</v>
      </c>
      <c r="N198" s="601"/>
      <c r="O198" s="13">
        <f t="shared" si="50"/>
        <v>1</v>
      </c>
      <c r="P198" s="601"/>
      <c r="Q198" s="13">
        <f t="shared" si="51"/>
        <v>0</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0</v>
      </c>
      <c r="F199" s="601"/>
      <c r="G199" s="13">
        <f t="shared" si="46"/>
        <v>0</v>
      </c>
      <c r="H199" s="601"/>
      <c r="I199" s="13">
        <f t="shared" si="47"/>
        <v>1</v>
      </c>
      <c r="J199" s="601"/>
      <c r="K199" s="13">
        <f t="shared" si="48"/>
        <v>1</v>
      </c>
      <c r="L199" s="601"/>
      <c r="M199" s="13">
        <f t="shared" si="49"/>
        <v>1</v>
      </c>
      <c r="N199" s="601"/>
      <c r="O199" s="13">
        <f t="shared" si="50"/>
        <v>1</v>
      </c>
      <c r="P199" s="601"/>
      <c r="Q199" s="13">
        <f t="shared" si="51"/>
        <v>0</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0</v>
      </c>
      <c r="F200" s="601"/>
      <c r="G200" s="13">
        <f t="shared" si="46"/>
        <v>0</v>
      </c>
      <c r="H200" s="601"/>
      <c r="I200" s="13">
        <f t="shared" si="47"/>
        <v>1</v>
      </c>
      <c r="J200" s="601"/>
      <c r="K200" s="13">
        <f t="shared" si="48"/>
        <v>1</v>
      </c>
      <c r="L200" s="601"/>
      <c r="M200" s="13">
        <f t="shared" si="49"/>
        <v>1</v>
      </c>
      <c r="N200" s="601"/>
      <c r="O200" s="13">
        <f t="shared" si="50"/>
        <v>1</v>
      </c>
      <c r="P200" s="601"/>
      <c r="Q200" s="13">
        <f t="shared" si="51"/>
        <v>0</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0</v>
      </c>
      <c r="F201" s="601"/>
      <c r="G201" s="13">
        <f t="shared" si="46"/>
        <v>0</v>
      </c>
      <c r="H201" s="601"/>
      <c r="I201" s="13">
        <f t="shared" si="47"/>
        <v>1</v>
      </c>
      <c r="J201" s="601"/>
      <c r="K201" s="13">
        <f t="shared" si="48"/>
        <v>1</v>
      </c>
      <c r="L201" s="601"/>
      <c r="M201" s="13">
        <f t="shared" si="49"/>
        <v>1</v>
      </c>
      <c r="N201" s="601"/>
      <c r="O201" s="13">
        <f t="shared" si="50"/>
        <v>1</v>
      </c>
      <c r="P201" s="601"/>
      <c r="Q201" s="13">
        <f t="shared" si="51"/>
        <v>0</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0</v>
      </c>
      <c r="F202" s="601"/>
      <c r="G202" s="13">
        <f t="shared" si="46"/>
        <v>0</v>
      </c>
      <c r="H202" s="601"/>
      <c r="I202" s="13">
        <f t="shared" si="47"/>
        <v>1</v>
      </c>
      <c r="J202" s="601"/>
      <c r="K202" s="13">
        <f t="shared" si="48"/>
        <v>1</v>
      </c>
      <c r="L202" s="601"/>
      <c r="M202" s="13">
        <f t="shared" si="49"/>
        <v>1</v>
      </c>
      <c r="N202" s="601"/>
      <c r="O202" s="13">
        <f t="shared" si="50"/>
        <v>1</v>
      </c>
      <c r="P202" s="601"/>
      <c r="Q202" s="13">
        <f t="shared" si="51"/>
        <v>0</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0</v>
      </c>
      <c r="F203" s="601"/>
      <c r="G203" s="13">
        <f t="shared" si="46"/>
        <v>0</v>
      </c>
      <c r="H203" s="601"/>
      <c r="I203" s="13">
        <f t="shared" si="47"/>
        <v>1</v>
      </c>
      <c r="J203" s="601"/>
      <c r="K203" s="13">
        <f t="shared" si="48"/>
        <v>1</v>
      </c>
      <c r="L203" s="601"/>
      <c r="M203" s="13">
        <f t="shared" si="49"/>
        <v>1</v>
      </c>
      <c r="N203" s="601"/>
      <c r="O203" s="13">
        <f t="shared" si="50"/>
        <v>1</v>
      </c>
      <c r="P203" s="601"/>
      <c r="Q203" s="13">
        <f t="shared" si="51"/>
        <v>0</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0</v>
      </c>
      <c r="F204" s="601"/>
      <c r="G204" s="13">
        <f t="shared" si="46"/>
        <v>0</v>
      </c>
      <c r="H204" s="601"/>
      <c r="I204" s="13">
        <f t="shared" si="47"/>
        <v>1</v>
      </c>
      <c r="J204" s="601"/>
      <c r="K204" s="13">
        <f t="shared" si="48"/>
        <v>1</v>
      </c>
      <c r="L204" s="601"/>
      <c r="M204" s="13">
        <f t="shared" si="49"/>
        <v>1</v>
      </c>
      <c r="N204" s="601"/>
      <c r="O204" s="13">
        <f t="shared" si="50"/>
        <v>1</v>
      </c>
      <c r="P204" s="601"/>
      <c r="Q204" s="13">
        <f t="shared" si="51"/>
        <v>0</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0</v>
      </c>
      <c r="F205" s="601"/>
      <c r="G205" s="13">
        <f t="shared" si="46"/>
        <v>0</v>
      </c>
      <c r="H205" s="601"/>
      <c r="I205" s="13">
        <f t="shared" si="47"/>
        <v>1</v>
      </c>
      <c r="J205" s="601"/>
      <c r="K205" s="13">
        <f t="shared" si="48"/>
        <v>1</v>
      </c>
      <c r="L205" s="601"/>
      <c r="M205" s="13">
        <f t="shared" si="49"/>
        <v>1</v>
      </c>
      <c r="N205" s="601"/>
      <c r="O205" s="13">
        <f t="shared" si="50"/>
        <v>1</v>
      </c>
      <c r="P205" s="601"/>
      <c r="Q205" s="13">
        <f t="shared" si="51"/>
        <v>0</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0</v>
      </c>
      <c r="F206" s="601"/>
      <c r="G206" s="13">
        <f t="shared" si="46"/>
        <v>0</v>
      </c>
      <c r="H206" s="601"/>
      <c r="I206" s="13">
        <f t="shared" si="47"/>
        <v>1</v>
      </c>
      <c r="J206" s="601"/>
      <c r="K206" s="13">
        <f t="shared" si="48"/>
        <v>1</v>
      </c>
      <c r="L206" s="601"/>
      <c r="M206" s="13">
        <f t="shared" si="49"/>
        <v>1</v>
      </c>
      <c r="N206" s="601"/>
      <c r="O206" s="13">
        <f t="shared" si="50"/>
        <v>1</v>
      </c>
      <c r="P206" s="601"/>
      <c r="Q206" s="13">
        <f t="shared" si="51"/>
        <v>0</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0</v>
      </c>
      <c r="F207" s="601"/>
      <c r="G207" s="13">
        <f t="shared" si="46"/>
        <v>0</v>
      </c>
      <c r="H207" s="601"/>
      <c r="I207" s="13">
        <f t="shared" si="47"/>
        <v>1</v>
      </c>
      <c r="J207" s="601"/>
      <c r="K207" s="13">
        <f t="shared" si="48"/>
        <v>1</v>
      </c>
      <c r="L207" s="601"/>
      <c r="M207" s="13">
        <f t="shared" si="49"/>
        <v>1</v>
      </c>
      <c r="N207" s="601"/>
      <c r="O207" s="13">
        <f t="shared" si="50"/>
        <v>1</v>
      </c>
      <c r="P207" s="601"/>
      <c r="Q207" s="13">
        <f t="shared" si="51"/>
        <v>0</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0</v>
      </c>
      <c r="F208" s="601"/>
      <c r="G208" s="13">
        <f t="shared" si="46"/>
        <v>0</v>
      </c>
      <c r="H208" s="601"/>
      <c r="I208" s="13">
        <f t="shared" si="47"/>
        <v>1</v>
      </c>
      <c r="J208" s="601"/>
      <c r="K208" s="13">
        <f t="shared" si="48"/>
        <v>1</v>
      </c>
      <c r="L208" s="601"/>
      <c r="M208" s="13">
        <f t="shared" si="49"/>
        <v>1</v>
      </c>
      <c r="N208" s="601"/>
      <c r="O208" s="13">
        <f t="shared" si="50"/>
        <v>1</v>
      </c>
      <c r="P208" s="601"/>
      <c r="Q208" s="13">
        <f t="shared" si="51"/>
        <v>0</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0</v>
      </c>
      <c r="F209" s="601"/>
      <c r="G209" s="13">
        <f t="shared" si="46"/>
        <v>0</v>
      </c>
      <c r="H209" s="601"/>
      <c r="I209" s="13">
        <f t="shared" si="47"/>
        <v>1</v>
      </c>
      <c r="J209" s="601"/>
      <c r="K209" s="13">
        <f t="shared" si="48"/>
        <v>1</v>
      </c>
      <c r="L209" s="601"/>
      <c r="M209" s="13">
        <f t="shared" si="49"/>
        <v>1</v>
      </c>
      <c r="N209" s="601"/>
      <c r="O209" s="13">
        <f t="shared" si="50"/>
        <v>1</v>
      </c>
      <c r="P209" s="601"/>
      <c r="Q209" s="13">
        <f t="shared" si="51"/>
        <v>0</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0</v>
      </c>
      <c r="F210" s="601"/>
      <c r="G210" s="13">
        <f t="shared" si="46"/>
        <v>0</v>
      </c>
      <c r="H210" s="601"/>
      <c r="I210" s="13">
        <f t="shared" si="47"/>
        <v>1</v>
      </c>
      <c r="J210" s="601"/>
      <c r="K210" s="13">
        <f t="shared" si="48"/>
        <v>1</v>
      </c>
      <c r="L210" s="601"/>
      <c r="M210" s="13">
        <f t="shared" si="49"/>
        <v>1</v>
      </c>
      <c r="N210" s="601"/>
      <c r="O210" s="13">
        <f t="shared" si="50"/>
        <v>1</v>
      </c>
      <c r="P210" s="601"/>
      <c r="Q210" s="13">
        <f t="shared" si="51"/>
        <v>0</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0</v>
      </c>
      <c r="F211" s="601"/>
      <c r="G211" s="13">
        <f t="shared" si="46"/>
        <v>0</v>
      </c>
      <c r="H211" s="601"/>
      <c r="I211" s="13">
        <f t="shared" si="47"/>
        <v>1</v>
      </c>
      <c r="J211" s="601"/>
      <c r="K211" s="13">
        <f t="shared" si="48"/>
        <v>1</v>
      </c>
      <c r="L211" s="601"/>
      <c r="M211" s="13">
        <f t="shared" si="49"/>
        <v>1</v>
      </c>
      <c r="N211" s="601"/>
      <c r="O211" s="13">
        <f t="shared" si="50"/>
        <v>1</v>
      </c>
      <c r="P211" s="601"/>
      <c r="Q211" s="13">
        <f t="shared" si="51"/>
        <v>0</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0</v>
      </c>
      <c r="F212" s="601"/>
      <c r="G212" s="13">
        <f t="shared" si="46"/>
        <v>0</v>
      </c>
      <c r="H212" s="601"/>
      <c r="I212" s="13">
        <f t="shared" si="47"/>
        <v>1</v>
      </c>
      <c r="J212" s="601"/>
      <c r="K212" s="13">
        <f t="shared" si="48"/>
        <v>1</v>
      </c>
      <c r="L212" s="601"/>
      <c r="M212" s="13">
        <f t="shared" si="49"/>
        <v>1</v>
      </c>
      <c r="N212" s="601"/>
      <c r="O212" s="13">
        <f t="shared" si="50"/>
        <v>1</v>
      </c>
      <c r="P212" s="601"/>
      <c r="Q212" s="13">
        <f t="shared" si="51"/>
        <v>0</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0</v>
      </c>
      <c r="F213" s="601"/>
      <c r="G213" s="13">
        <f t="shared" si="46"/>
        <v>0</v>
      </c>
      <c r="H213" s="601"/>
      <c r="I213" s="13">
        <f t="shared" si="47"/>
        <v>1</v>
      </c>
      <c r="J213" s="601"/>
      <c r="K213" s="13">
        <f t="shared" si="48"/>
        <v>1</v>
      </c>
      <c r="L213" s="601"/>
      <c r="M213" s="13">
        <f t="shared" si="49"/>
        <v>1</v>
      </c>
      <c r="N213" s="601"/>
      <c r="O213" s="13">
        <f t="shared" si="50"/>
        <v>1</v>
      </c>
      <c r="P213" s="601"/>
      <c r="Q213" s="13">
        <f t="shared" si="51"/>
        <v>0</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0</v>
      </c>
      <c r="F214" s="601"/>
      <c r="G214" s="13">
        <f t="shared" si="46"/>
        <v>0</v>
      </c>
      <c r="H214" s="601"/>
      <c r="I214" s="13">
        <f t="shared" si="47"/>
        <v>1</v>
      </c>
      <c r="J214" s="601"/>
      <c r="K214" s="13">
        <f t="shared" si="48"/>
        <v>1</v>
      </c>
      <c r="L214" s="601"/>
      <c r="M214" s="13">
        <f t="shared" si="49"/>
        <v>1</v>
      </c>
      <c r="N214" s="601"/>
      <c r="O214" s="13">
        <f t="shared" si="50"/>
        <v>1</v>
      </c>
      <c r="P214" s="601"/>
      <c r="Q214" s="13">
        <f t="shared" si="51"/>
        <v>0</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0</v>
      </c>
      <c r="F215" s="601"/>
      <c r="G215" s="13">
        <f t="shared" si="46"/>
        <v>0</v>
      </c>
      <c r="H215" s="601"/>
      <c r="I215" s="13">
        <f t="shared" si="47"/>
        <v>1</v>
      </c>
      <c r="J215" s="601"/>
      <c r="K215" s="13">
        <f t="shared" si="48"/>
        <v>1</v>
      </c>
      <c r="L215" s="601"/>
      <c r="M215" s="13">
        <f t="shared" si="49"/>
        <v>1</v>
      </c>
      <c r="N215" s="601"/>
      <c r="O215" s="13">
        <f t="shared" si="50"/>
        <v>1</v>
      </c>
      <c r="P215" s="601"/>
      <c r="Q215" s="13">
        <f t="shared" si="51"/>
        <v>0</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0</v>
      </c>
      <c r="F216" s="601"/>
      <c r="G216" s="13">
        <f t="shared" si="46"/>
        <v>0</v>
      </c>
      <c r="H216" s="601"/>
      <c r="I216" s="13">
        <f t="shared" si="47"/>
        <v>1</v>
      </c>
      <c r="J216" s="601"/>
      <c r="K216" s="13">
        <f t="shared" si="48"/>
        <v>1</v>
      </c>
      <c r="L216" s="601"/>
      <c r="M216" s="13">
        <f t="shared" si="49"/>
        <v>1</v>
      </c>
      <c r="N216" s="601"/>
      <c r="O216" s="13">
        <f t="shared" si="50"/>
        <v>1</v>
      </c>
      <c r="P216" s="601"/>
      <c r="Q216" s="13">
        <f t="shared" si="51"/>
        <v>0</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0</v>
      </c>
      <c r="F217" s="601"/>
      <c r="G217" s="13">
        <f t="shared" si="46"/>
        <v>0</v>
      </c>
      <c r="H217" s="601"/>
      <c r="I217" s="13">
        <f t="shared" si="47"/>
        <v>1</v>
      </c>
      <c r="J217" s="601"/>
      <c r="K217" s="13">
        <f t="shared" si="48"/>
        <v>1</v>
      </c>
      <c r="L217" s="601"/>
      <c r="M217" s="13">
        <f t="shared" si="49"/>
        <v>1</v>
      </c>
      <c r="N217" s="601"/>
      <c r="O217" s="13">
        <f t="shared" si="50"/>
        <v>1</v>
      </c>
      <c r="P217" s="601"/>
      <c r="Q217" s="13">
        <f t="shared" si="51"/>
        <v>0</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0</v>
      </c>
      <c r="F218" s="601"/>
      <c r="G218" s="13">
        <f t="shared" si="46"/>
        <v>0</v>
      </c>
      <c r="H218" s="601"/>
      <c r="I218" s="13">
        <f t="shared" si="47"/>
        <v>1</v>
      </c>
      <c r="J218" s="601"/>
      <c r="K218" s="13">
        <f t="shared" si="48"/>
        <v>1</v>
      </c>
      <c r="L218" s="601"/>
      <c r="M218" s="13">
        <f t="shared" si="49"/>
        <v>1</v>
      </c>
      <c r="N218" s="601"/>
      <c r="O218" s="13">
        <f t="shared" si="50"/>
        <v>1</v>
      </c>
      <c r="P218" s="601"/>
      <c r="Q218" s="13">
        <f t="shared" si="51"/>
        <v>0</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0</v>
      </c>
      <c r="F219" s="601"/>
      <c r="G219" s="13">
        <f t="shared" si="46"/>
        <v>0</v>
      </c>
      <c r="H219" s="601"/>
      <c r="I219" s="13">
        <f t="shared" si="47"/>
        <v>1</v>
      </c>
      <c r="J219" s="601"/>
      <c r="K219" s="13">
        <f t="shared" si="48"/>
        <v>1</v>
      </c>
      <c r="L219" s="601"/>
      <c r="M219" s="13">
        <f t="shared" si="49"/>
        <v>1</v>
      </c>
      <c r="N219" s="601"/>
      <c r="O219" s="13">
        <f t="shared" si="50"/>
        <v>1</v>
      </c>
      <c r="P219" s="601"/>
      <c r="Q219" s="13">
        <f t="shared" si="51"/>
        <v>0</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0</v>
      </c>
      <c r="F220" s="601"/>
      <c r="G220" s="13">
        <f t="shared" ref="G220:G283" si="61">(SUMIF($10:$10,F220,$11:$11)-SUMIF($10:$10,$F$27,$11:$11)+100)/100</f>
        <v>0</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0</v>
      </c>
      <c r="F221" s="601"/>
      <c r="G221" s="13">
        <f t="shared" si="61"/>
        <v>0</v>
      </c>
      <c r="H221" s="601"/>
      <c r="I221" s="13">
        <f t="shared" si="62"/>
        <v>1</v>
      </c>
      <c r="J221" s="601"/>
      <c r="K221" s="13">
        <f t="shared" si="63"/>
        <v>1</v>
      </c>
      <c r="L221" s="601"/>
      <c r="M221" s="13">
        <f t="shared" si="64"/>
        <v>1</v>
      </c>
      <c r="N221" s="601"/>
      <c r="O221" s="13">
        <f t="shared" si="65"/>
        <v>1</v>
      </c>
      <c r="P221" s="601"/>
      <c r="Q221" s="13">
        <f t="shared" si="66"/>
        <v>0</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0</v>
      </c>
      <c r="F222" s="601"/>
      <c r="G222" s="13">
        <f t="shared" si="61"/>
        <v>0</v>
      </c>
      <c r="H222" s="601"/>
      <c r="I222" s="13">
        <f t="shared" si="62"/>
        <v>1</v>
      </c>
      <c r="J222" s="601"/>
      <c r="K222" s="13">
        <f t="shared" si="63"/>
        <v>1</v>
      </c>
      <c r="L222" s="601"/>
      <c r="M222" s="13">
        <f t="shared" si="64"/>
        <v>1</v>
      </c>
      <c r="N222" s="601"/>
      <c r="O222" s="13">
        <f t="shared" si="65"/>
        <v>1</v>
      </c>
      <c r="P222" s="601"/>
      <c r="Q222" s="13">
        <f t="shared" si="66"/>
        <v>0</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0</v>
      </c>
      <c r="F223" s="601"/>
      <c r="G223" s="13">
        <f t="shared" si="61"/>
        <v>0</v>
      </c>
      <c r="H223" s="601"/>
      <c r="I223" s="13">
        <f t="shared" si="62"/>
        <v>1</v>
      </c>
      <c r="J223" s="601"/>
      <c r="K223" s="13">
        <f t="shared" si="63"/>
        <v>1</v>
      </c>
      <c r="L223" s="601"/>
      <c r="M223" s="13">
        <f t="shared" si="64"/>
        <v>1</v>
      </c>
      <c r="N223" s="601"/>
      <c r="O223" s="13">
        <f t="shared" si="65"/>
        <v>1</v>
      </c>
      <c r="P223" s="601"/>
      <c r="Q223" s="13">
        <f t="shared" si="66"/>
        <v>0</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0</v>
      </c>
      <c r="F224" s="601"/>
      <c r="G224" s="13">
        <f t="shared" si="61"/>
        <v>0</v>
      </c>
      <c r="H224" s="601"/>
      <c r="I224" s="13">
        <f t="shared" si="62"/>
        <v>1</v>
      </c>
      <c r="J224" s="601"/>
      <c r="K224" s="13">
        <f t="shared" si="63"/>
        <v>1</v>
      </c>
      <c r="L224" s="601"/>
      <c r="M224" s="13">
        <f t="shared" si="64"/>
        <v>1</v>
      </c>
      <c r="N224" s="601"/>
      <c r="O224" s="13">
        <f t="shared" si="65"/>
        <v>1</v>
      </c>
      <c r="P224" s="601"/>
      <c r="Q224" s="13">
        <f t="shared" si="66"/>
        <v>0</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0</v>
      </c>
      <c r="F225" s="601"/>
      <c r="G225" s="13">
        <f t="shared" si="61"/>
        <v>0</v>
      </c>
      <c r="H225" s="601"/>
      <c r="I225" s="13">
        <f t="shared" si="62"/>
        <v>1</v>
      </c>
      <c r="J225" s="601"/>
      <c r="K225" s="13">
        <f t="shared" si="63"/>
        <v>1</v>
      </c>
      <c r="L225" s="601"/>
      <c r="M225" s="13">
        <f t="shared" si="64"/>
        <v>1</v>
      </c>
      <c r="N225" s="601"/>
      <c r="O225" s="13">
        <f t="shared" si="65"/>
        <v>1</v>
      </c>
      <c r="P225" s="601"/>
      <c r="Q225" s="13">
        <f t="shared" si="66"/>
        <v>0</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0</v>
      </c>
      <c r="F226" s="601"/>
      <c r="G226" s="13">
        <f t="shared" si="61"/>
        <v>0</v>
      </c>
      <c r="H226" s="601"/>
      <c r="I226" s="13">
        <f t="shared" si="62"/>
        <v>1</v>
      </c>
      <c r="J226" s="601"/>
      <c r="K226" s="13">
        <f t="shared" si="63"/>
        <v>1</v>
      </c>
      <c r="L226" s="601"/>
      <c r="M226" s="13">
        <f t="shared" si="64"/>
        <v>1</v>
      </c>
      <c r="N226" s="601"/>
      <c r="O226" s="13">
        <f t="shared" si="65"/>
        <v>1</v>
      </c>
      <c r="P226" s="601"/>
      <c r="Q226" s="13">
        <f t="shared" si="66"/>
        <v>0</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0</v>
      </c>
      <c r="F227" s="601"/>
      <c r="G227" s="13">
        <f t="shared" si="61"/>
        <v>0</v>
      </c>
      <c r="H227" s="601"/>
      <c r="I227" s="13">
        <f t="shared" si="62"/>
        <v>1</v>
      </c>
      <c r="J227" s="601"/>
      <c r="K227" s="13">
        <f t="shared" si="63"/>
        <v>1</v>
      </c>
      <c r="L227" s="601"/>
      <c r="M227" s="13">
        <f t="shared" si="64"/>
        <v>1</v>
      </c>
      <c r="N227" s="601"/>
      <c r="O227" s="13">
        <f t="shared" si="65"/>
        <v>1</v>
      </c>
      <c r="P227" s="601"/>
      <c r="Q227" s="13">
        <f t="shared" si="66"/>
        <v>0</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0</v>
      </c>
      <c r="F228" s="601"/>
      <c r="G228" s="13">
        <f t="shared" si="61"/>
        <v>0</v>
      </c>
      <c r="H228" s="601"/>
      <c r="I228" s="13">
        <f t="shared" si="62"/>
        <v>1</v>
      </c>
      <c r="J228" s="601"/>
      <c r="K228" s="13">
        <f t="shared" si="63"/>
        <v>1</v>
      </c>
      <c r="L228" s="601"/>
      <c r="M228" s="13">
        <f t="shared" si="64"/>
        <v>1</v>
      </c>
      <c r="N228" s="601"/>
      <c r="O228" s="13">
        <f t="shared" si="65"/>
        <v>1</v>
      </c>
      <c r="P228" s="601"/>
      <c r="Q228" s="13">
        <f t="shared" si="66"/>
        <v>0</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0</v>
      </c>
      <c r="F229" s="601"/>
      <c r="G229" s="13">
        <f t="shared" si="61"/>
        <v>0</v>
      </c>
      <c r="H229" s="601"/>
      <c r="I229" s="13">
        <f t="shared" si="62"/>
        <v>1</v>
      </c>
      <c r="J229" s="601"/>
      <c r="K229" s="13">
        <f t="shared" si="63"/>
        <v>1</v>
      </c>
      <c r="L229" s="601"/>
      <c r="M229" s="13">
        <f t="shared" si="64"/>
        <v>1</v>
      </c>
      <c r="N229" s="601"/>
      <c r="O229" s="13">
        <f t="shared" si="65"/>
        <v>1</v>
      </c>
      <c r="P229" s="601"/>
      <c r="Q229" s="13">
        <f t="shared" si="66"/>
        <v>0</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0</v>
      </c>
      <c r="F230" s="601"/>
      <c r="G230" s="13">
        <f t="shared" si="61"/>
        <v>0</v>
      </c>
      <c r="H230" s="601"/>
      <c r="I230" s="13">
        <f t="shared" si="62"/>
        <v>1</v>
      </c>
      <c r="J230" s="601"/>
      <c r="K230" s="13">
        <f t="shared" si="63"/>
        <v>1</v>
      </c>
      <c r="L230" s="601"/>
      <c r="M230" s="13">
        <f t="shared" si="64"/>
        <v>1</v>
      </c>
      <c r="N230" s="601"/>
      <c r="O230" s="13">
        <f t="shared" si="65"/>
        <v>1</v>
      </c>
      <c r="P230" s="601"/>
      <c r="Q230" s="13">
        <f t="shared" si="66"/>
        <v>0</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0</v>
      </c>
      <c r="F231" s="601"/>
      <c r="G231" s="13">
        <f t="shared" si="61"/>
        <v>0</v>
      </c>
      <c r="H231" s="601"/>
      <c r="I231" s="13">
        <f t="shared" si="62"/>
        <v>1</v>
      </c>
      <c r="J231" s="601"/>
      <c r="K231" s="13">
        <f t="shared" si="63"/>
        <v>1</v>
      </c>
      <c r="L231" s="601"/>
      <c r="M231" s="13">
        <f t="shared" si="64"/>
        <v>1</v>
      </c>
      <c r="N231" s="601"/>
      <c r="O231" s="13">
        <f t="shared" si="65"/>
        <v>1</v>
      </c>
      <c r="P231" s="601"/>
      <c r="Q231" s="13">
        <f t="shared" si="66"/>
        <v>0</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0</v>
      </c>
      <c r="F232" s="601"/>
      <c r="G232" s="13">
        <f t="shared" si="61"/>
        <v>0</v>
      </c>
      <c r="H232" s="601"/>
      <c r="I232" s="13">
        <f t="shared" si="62"/>
        <v>1</v>
      </c>
      <c r="J232" s="601"/>
      <c r="K232" s="13">
        <f t="shared" si="63"/>
        <v>1</v>
      </c>
      <c r="L232" s="601"/>
      <c r="M232" s="13">
        <f t="shared" si="64"/>
        <v>1</v>
      </c>
      <c r="N232" s="601"/>
      <c r="O232" s="13">
        <f t="shared" si="65"/>
        <v>1</v>
      </c>
      <c r="P232" s="601"/>
      <c r="Q232" s="13">
        <f t="shared" si="66"/>
        <v>0</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0</v>
      </c>
      <c r="F233" s="601"/>
      <c r="G233" s="13">
        <f t="shared" si="61"/>
        <v>0</v>
      </c>
      <c r="H233" s="601"/>
      <c r="I233" s="13">
        <f t="shared" si="62"/>
        <v>1</v>
      </c>
      <c r="J233" s="601"/>
      <c r="K233" s="13">
        <f t="shared" si="63"/>
        <v>1</v>
      </c>
      <c r="L233" s="601"/>
      <c r="M233" s="13">
        <f t="shared" si="64"/>
        <v>1</v>
      </c>
      <c r="N233" s="601"/>
      <c r="O233" s="13">
        <f t="shared" si="65"/>
        <v>1</v>
      </c>
      <c r="P233" s="601"/>
      <c r="Q233" s="13">
        <f t="shared" si="66"/>
        <v>0</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0</v>
      </c>
      <c r="F234" s="601"/>
      <c r="G234" s="13">
        <f t="shared" si="61"/>
        <v>0</v>
      </c>
      <c r="H234" s="601"/>
      <c r="I234" s="13">
        <f t="shared" si="62"/>
        <v>1</v>
      </c>
      <c r="J234" s="601"/>
      <c r="K234" s="13">
        <f t="shared" si="63"/>
        <v>1</v>
      </c>
      <c r="L234" s="601"/>
      <c r="M234" s="13">
        <f t="shared" si="64"/>
        <v>1</v>
      </c>
      <c r="N234" s="601"/>
      <c r="O234" s="13">
        <f t="shared" si="65"/>
        <v>1</v>
      </c>
      <c r="P234" s="601"/>
      <c r="Q234" s="13">
        <f t="shared" si="66"/>
        <v>0</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0</v>
      </c>
      <c r="F235" s="601"/>
      <c r="G235" s="13">
        <f t="shared" si="61"/>
        <v>0</v>
      </c>
      <c r="H235" s="601"/>
      <c r="I235" s="13">
        <f t="shared" si="62"/>
        <v>1</v>
      </c>
      <c r="J235" s="601"/>
      <c r="K235" s="13">
        <f t="shared" si="63"/>
        <v>1</v>
      </c>
      <c r="L235" s="601"/>
      <c r="M235" s="13">
        <f t="shared" si="64"/>
        <v>1</v>
      </c>
      <c r="N235" s="601"/>
      <c r="O235" s="13">
        <f t="shared" si="65"/>
        <v>1</v>
      </c>
      <c r="P235" s="601"/>
      <c r="Q235" s="13">
        <f t="shared" si="66"/>
        <v>0</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0</v>
      </c>
      <c r="F236" s="601"/>
      <c r="G236" s="13">
        <f t="shared" si="61"/>
        <v>0</v>
      </c>
      <c r="H236" s="601"/>
      <c r="I236" s="13">
        <f t="shared" si="62"/>
        <v>1</v>
      </c>
      <c r="J236" s="601"/>
      <c r="K236" s="13">
        <f t="shared" si="63"/>
        <v>1</v>
      </c>
      <c r="L236" s="601"/>
      <c r="M236" s="13">
        <f t="shared" si="64"/>
        <v>1</v>
      </c>
      <c r="N236" s="601"/>
      <c r="O236" s="13">
        <f t="shared" si="65"/>
        <v>1</v>
      </c>
      <c r="P236" s="601"/>
      <c r="Q236" s="13">
        <f t="shared" si="66"/>
        <v>0</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0</v>
      </c>
      <c r="F237" s="601"/>
      <c r="G237" s="13">
        <f t="shared" si="61"/>
        <v>0</v>
      </c>
      <c r="H237" s="601"/>
      <c r="I237" s="13">
        <f t="shared" si="62"/>
        <v>1</v>
      </c>
      <c r="J237" s="601"/>
      <c r="K237" s="13">
        <f t="shared" si="63"/>
        <v>1</v>
      </c>
      <c r="L237" s="601"/>
      <c r="M237" s="13">
        <f t="shared" si="64"/>
        <v>1</v>
      </c>
      <c r="N237" s="601"/>
      <c r="O237" s="13">
        <f t="shared" si="65"/>
        <v>1</v>
      </c>
      <c r="P237" s="601"/>
      <c r="Q237" s="13">
        <f t="shared" si="66"/>
        <v>0</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0</v>
      </c>
      <c r="F238" s="601"/>
      <c r="G238" s="13">
        <f t="shared" si="61"/>
        <v>0</v>
      </c>
      <c r="H238" s="601"/>
      <c r="I238" s="13">
        <f t="shared" si="62"/>
        <v>1</v>
      </c>
      <c r="J238" s="601"/>
      <c r="K238" s="13">
        <f t="shared" si="63"/>
        <v>1</v>
      </c>
      <c r="L238" s="601"/>
      <c r="M238" s="13">
        <f t="shared" si="64"/>
        <v>1</v>
      </c>
      <c r="N238" s="601"/>
      <c r="O238" s="13">
        <f t="shared" si="65"/>
        <v>1</v>
      </c>
      <c r="P238" s="601"/>
      <c r="Q238" s="13">
        <f t="shared" si="66"/>
        <v>0</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0</v>
      </c>
      <c r="F239" s="601"/>
      <c r="G239" s="13">
        <f t="shared" si="61"/>
        <v>0</v>
      </c>
      <c r="H239" s="601"/>
      <c r="I239" s="13">
        <f t="shared" si="62"/>
        <v>1</v>
      </c>
      <c r="J239" s="601"/>
      <c r="K239" s="13">
        <f t="shared" si="63"/>
        <v>1</v>
      </c>
      <c r="L239" s="601"/>
      <c r="M239" s="13">
        <f t="shared" si="64"/>
        <v>1</v>
      </c>
      <c r="N239" s="601"/>
      <c r="O239" s="13">
        <f t="shared" si="65"/>
        <v>1</v>
      </c>
      <c r="P239" s="601"/>
      <c r="Q239" s="13">
        <f t="shared" si="66"/>
        <v>0</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0</v>
      </c>
      <c r="F240" s="601"/>
      <c r="G240" s="13">
        <f t="shared" si="61"/>
        <v>0</v>
      </c>
      <c r="H240" s="601"/>
      <c r="I240" s="13">
        <f t="shared" si="62"/>
        <v>1</v>
      </c>
      <c r="J240" s="601"/>
      <c r="K240" s="13">
        <f t="shared" si="63"/>
        <v>1</v>
      </c>
      <c r="L240" s="601"/>
      <c r="M240" s="13">
        <f t="shared" si="64"/>
        <v>1</v>
      </c>
      <c r="N240" s="601"/>
      <c r="O240" s="13">
        <f t="shared" si="65"/>
        <v>1</v>
      </c>
      <c r="P240" s="601"/>
      <c r="Q240" s="13">
        <f t="shared" si="66"/>
        <v>0</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0</v>
      </c>
      <c r="F241" s="601"/>
      <c r="G241" s="13">
        <f t="shared" si="61"/>
        <v>0</v>
      </c>
      <c r="H241" s="601"/>
      <c r="I241" s="13">
        <f t="shared" si="62"/>
        <v>1</v>
      </c>
      <c r="J241" s="601"/>
      <c r="K241" s="13">
        <f t="shared" si="63"/>
        <v>1</v>
      </c>
      <c r="L241" s="601"/>
      <c r="M241" s="13">
        <f t="shared" si="64"/>
        <v>1</v>
      </c>
      <c r="N241" s="601"/>
      <c r="O241" s="13">
        <f t="shared" si="65"/>
        <v>1</v>
      </c>
      <c r="P241" s="601"/>
      <c r="Q241" s="13">
        <f t="shared" si="66"/>
        <v>0</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0</v>
      </c>
      <c r="F242" s="601"/>
      <c r="G242" s="13">
        <f t="shared" si="61"/>
        <v>0</v>
      </c>
      <c r="H242" s="601"/>
      <c r="I242" s="13">
        <f t="shared" si="62"/>
        <v>1</v>
      </c>
      <c r="J242" s="601"/>
      <c r="K242" s="13">
        <f t="shared" si="63"/>
        <v>1</v>
      </c>
      <c r="L242" s="601"/>
      <c r="M242" s="13">
        <f t="shared" si="64"/>
        <v>1</v>
      </c>
      <c r="N242" s="601"/>
      <c r="O242" s="13">
        <f t="shared" si="65"/>
        <v>1</v>
      </c>
      <c r="P242" s="601"/>
      <c r="Q242" s="13">
        <f t="shared" si="66"/>
        <v>0</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0</v>
      </c>
      <c r="F243" s="601"/>
      <c r="G243" s="13">
        <f t="shared" si="61"/>
        <v>0</v>
      </c>
      <c r="H243" s="601"/>
      <c r="I243" s="13">
        <f t="shared" si="62"/>
        <v>1</v>
      </c>
      <c r="J243" s="601"/>
      <c r="K243" s="13">
        <f t="shared" si="63"/>
        <v>1</v>
      </c>
      <c r="L243" s="601"/>
      <c r="M243" s="13">
        <f t="shared" si="64"/>
        <v>1</v>
      </c>
      <c r="N243" s="601"/>
      <c r="O243" s="13">
        <f t="shared" si="65"/>
        <v>1</v>
      </c>
      <c r="P243" s="601"/>
      <c r="Q243" s="13">
        <f t="shared" si="66"/>
        <v>0</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0</v>
      </c>
      <c r="F244" s="601"/>
      <c r="G244" s="13">
        <f t="shared" si="61"/>
        <v>0</v>
      </c>
      <c r="H244" s="601"/>
      <c r="I244" s="13">
        <f t="shared" si="62"/>
        <v>1</v>
      </c>
      <c r="J244" s="601"/>
      <c r="K244" s="13">
        <f t="shared" si="63"/>
        <v>1</v>
      </c>
      <c r="L244" s="601"/>
      <c r="M244" s="13">
        <f t="shared" si="64"/>
        <v>1</v>
      </c>
      <c r="N244" s="601"/>
      <c r="O244" s="13">
        <f t="shared" si="65"/>
        <v>1</v>
      </c>
      <c r="P244" s="601"/>
      <c r="Q244" s="13">
        <f t="shared" si="66"/>
        <v>0</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0</v>
      </c>
      <c r="F245" s="601"/>
      <c r="G245" s="13">
        <f t="shared" si="61"/>
        <v>0</v>
      </c>
      <c r="H245" s="601"/>
      <c r="I245" s="13">
        <f t="shared" si="62"/>
        <v>1</v>
      </c>
      <c r="J245" s="601"/>
      <c r="K245" s="13">
        <f t="shared" si="63"/>
        <v>1</v>
      </c>
      <c r="L245" s="601"/>
      <c r="M245" s="13">
        <f t="shared" si="64"/>
        <v>1</v>
      </c>
      <c r="N245" s="601"/>
      <c r="O245" s="13">
        <f t="shared" si="65"/>
        <v>1</v>
      </c>
      <c r="P245" s="601"/>
      <c r="Q245" s="13">
        <f t="shared" si="66"/>
        <v>0</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0</v>
      </c>
      <c r="F246" s="601"/>
      <c r="G246" s="13">
        <f t="shared" si="61"/>
        <v>0</v>
      </c>
      <c r="H246" s="601"/>
      <c r="I246" s="13">
        <f t="shared" si="62"/>
        <v>1</v>
      </c>
      <c r="J246" s="601"/>
      <c r="K246" s="13">
        <f t="shared" si="63"/>
        <v>1</v>
      </c>
      <c r="L246" s="601"/>
      <c r="M246" s="13">
        <f t="shared" si="64"/>
        <v>1</v>
      </c>
      <c r="N246" s="601"/>
      <c r="O246" s="13">
        <f t="shared" si="65"/>
        <v>1</v>
      </c>
      <c r="P246" s="601"/>
      <c r="Q246" s="13">
        <f t="shared" si="66"/>
        <v>0</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0</v>
      </c>
      <c r="F247" s="601"/>
      <c r="G247" s="13">
        <f t="shared" si="61"/>
        <v>0</v>
      </c>
      <c r="H247" s="601"/>
      <c r="I247" s="13">
        <f t="shared" si="62"/>
        <v>1</v>
      </c>
      <c r="J247" s="601"/>
      <c r="K247" s="13">
        <f t="shared" si="63"/>
        <v>1</v>
      </c>
      <c r="L247" s="601"/>
      <c r="M247" s="13">
        <f t="shared" si="64"/>
        <v>1</v>
      </c>
      <c r="N247" s="601"/>
      <c r="O247" s="13">
        <f t="shared" si="65"/>
        <v>1</v>
      </c>
      <c r="P247" s="601"/>
      <c r="Q247" s="13">
        <f t="shared" si="66"/>
        <v>0</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0</v>
      </c>
      <c r="F248" s="601"/>
      <c r="G248" s="13">
        <f t="shared" si="61"/>
        <v>0</v>
      </c>
      <c r="H248" s="601"/>
      <c r="I248" s="13">
        <f t="shared" si="62"/>
        <v>1</v>
      </c>
      <c r="J248" s="601"/>
      <c r="K248" s="13">
        <f t="shared" si="63"/>
        <v>1</v>
      </c>
      <c r="L248" s="601"/>
      <c r="M248" s="13">
        <f t="shared" si="64"/>
        <v>1</v>
      </c>
      <c r="N248" s="601"/>
      <c r="O248" s="13">
        <f t="shared" si="65"/>
        <v>1</v>
      </c>
      <c r="P248" s="601"/>
      <c r="Q248" s="13">
        <f t="shared" si="66"/>
        <v>0</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0</v>
      </c>
      <c r="F249" s="601"/>
      <c r="G249" s="13">
        <f t="shared" si="61"/>
        <v>0</v>
      </c>
      <c r="H249" s="601"/>
      <c r="I249" s="13">
        <f t="shared" si="62"/>
        <v>1</v>
      </c>
      <c r="J249" s="601"/>
      <c r="K249" s="13">
        <f t="shared" si="63"/>
        <v>1</v>
      </c>
      <c r="L249" s="601"/>
      <c r="M249" s="13">
        <f t="shared" si="64"/>
        <v>1</v>
      </c>
      <c r="N249" s="601"/>
      <c r="O249" s="13">
        <f t="shared" si="65"/>
        <v>1</v>
      </c>
      <c r="P249" s="601"/>
      <c r="Q249" s="13">
        <f t="shared" si="66"/>
        <v>0</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0</v>
      </c>
      <c r="F250" s="601"/>
      <c r="G250" s="13">
        <f t="shared" si="61"/>
        <v>0</v>
      </c>
      <c r="H250" s="601"/>
      <c r="I250" s="13">
        <f t="shared" si="62"/>
        <v>1</v>
      </c>
      <c r="J250" s="601"/>
      <c r="K250" s="13">
        <f t="shared" si="63"/>
        <v>1</v>
      </c>
      <c r="L250" s="601"/>
      <c r="M250" s="13">
        <f t="shared" si="64"/>
        <v>1</v>
      </c>
      <c r="N250" s="601"/>
      <c r="O250" s="13">
        <f t="shared" si="65"/>
        <v>1</v>
      </c>
      <c r="P250" s="601"/>
      <c r="Q250" s="13">
        <f t="shared" si="66"/>
        <v>0</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0</v>
      </c>
      <c r="F251" s="601"/>
      <c r="G251" s="13">
        <f t="shared" si="61"/>
        <v>0</v>
      </c>
      <c r="H251" s="601"/>
      <c r="I251" s="13">
        <f t="shared" si="62"/>
        <v>1</v>
      </c>
      <c r="J251" s="601"/>
      <c r="K251" s="13">
        <f t="shared" si="63"/>
        <v>1</v>
      </c>
      <c r="L251" s="601"/>
      <c r="M251" s="13">
        <f t="shared" si="64"/>
        <v>1</v>
      </c>
      <c r="N251" s="601"/>
      <c r="O251" s="13">
        <f t="shared" si="65"/>
        <v>1</v>
      </c>
      <c r="P251" s="601"/>
      <c r="Q251" s="13">
        <f t="shared" si="66"/>
        <v>0</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0</v>
      </c>
      <c r="F252" s="601"/>
      <c r="G252" s="13">
        <f t="shared" si="61"/>
        <v>0</v>
      </c>
      <c r="H252" s="601"/>
      <c r="I252" s="13">
        <f t="shared" si="62"/>
        <v>1</v>
      </c>
      <c r="J252" s="601"/>
      <c r="K252" s="13">
        <f t="shared" si="63"/>
        <v>1</v>
      </c>
      <c r="L252" s="601"/>
      <c r="M252" s="13">
        <f t="shared" si="64"/>
        <v>1</v>
      </c>
      <c r="N252" s="601"/>
      <c r="O252" s="13">
        <f t="shared" si="65"/>
        <v>1</v>
      </c>
      <c r="P252" s="601"/>
      <c r="Q252" s="13">
        <f t="shared" si="66"/>
        <v>0</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0</v>
      </c>
      <c r="F253" s="601"/>
      <c r="G253" s="13">
        <f t="shared" si="61"/>
        <v>0</v>
      </c>
      <c r="H253" s="601"/>
      <c r="I253" s="13">
        <f t="shared" si="62"/>
        <v>1</v>
      </c>
      <c r="J253" s="601"/>
      <c r="K253" s="13">
        <f t="shared" si="63"/>
        <v>1</v>
      </c>
      <c r="L253" s="601"/>
      <c r="M253" s="13">
        <f t="shared" si="64"/>
        <v>1</v>
      </c>
      <c r="N253" s="601"/>
      <c r="O253" s="13">
        <f t="shared" si="65"/>
        <v>1</v>
      </c>
      <c r="P253" s="601"/>
      <c r="Q253" s="13">
        <f t="shared" si="66"/>
        <v>0</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0</v>
      </c>
      <c r="F254" s="601"/>
      <c r="G254" s="13">
        <f t="shared" si="61"/>
        <v>0</v>
      </c>
      <c r="H254" s="601"/>
      <c r="I254" s="13">
        <f t="shared" si="62"/>
        <v>1</v>
      </c>
      <c r="J254" s="601"/>
      <c r="K254" s="13">
        <f t="shared" si="63"/>
        <v>1</v>
      </c>
      <c r="L254" s="601"/>
      <c r="M254" s="13">
        <f t="shared" si="64"/>
        <v>1</v>
      </c>
      <c r="N254" s="601"/>
      <c r="O254" s="13">
        <f t="shared" si="65"/>
        <v>1</v>
      </c>
      <c r="P254" s="601"/>
      <c r="Q254" s="13">
        <f t="shared" si="66"/>
        <v>0</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0</v>
      </c>
      <c r="F255" s="601"/>
      <c r="G255" s="13">
        <f t="shared" si="61"/>
        <v>0</v>
      </c>
      <c r="H255" s="601"/>
      <c r="I255" s="13">
        <f t="shared" si="62"/>
        <v>1</v>
      </c>
      <c r="J255" s="601"/>
      <c r="K255" s="13">
        <f t="shared" si="63"/>
        <v>1</v>
      </c>
      <c r="L255" s="601"/>
      <c r="M255" s="13">
        <f t="shared" si="64"/>
        <v>1</v>
      </c>
      <c r="N255" s="601"/>
      <c r="O255" s="13">
        <f t="shared" si="65"/>
        <v>1</v>
      </c>
      <c r="P255" s="601"/>
      <c r="Q255" s="13">
        <f t="shared" si="66"/>
        <v>0</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0</v>
      </c>
      <c r="F256" s="601"/>
      <c r="G256" s="13">
        <f t="shared" si="61"/>
        <v>0</v>
      </c>
      <c r="H256" s="601"/>
      <c r="I256" s="13">
        <f t="shared" si="62"/>
        <v>1</v>
      </c>
      <c r="J256" s="601"/>
      <c r="K256" s="13">
        <f t="shared" si="63"/>
        <v>1</v>
      </c>
      <c r="L256" s="601"/>
      <c r="M256" s="13">
        <f t="shared" si="64"/>
        <v>1</v>
      </c>
      <c r="N256" s="601"/>
      <c r="O256" s="13">
        <f t="shared" si="65"/>
        <v>1</v>
      </c>
      <c r="P256" s="601"/>
      <c r="Q256" s="13">
        <f t="shared" si="66"/>
        <v>0</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0</v>
      </c>
      <c r="F257" s="601"/>
      <c r="G257" s="13">
        <f t="shared" si="61"/>
        <v>0</v>
      </c>
      <c r="H257" s="601"/>
      <c r="I257" s="13">
        <f t="shared" si="62"/>
        <v>1</v>
      </c>
      <c r="J257" s="601"/>
      <c r="K257" s="13">
        <f t="shared" si="63"/>
        <v>1</v>
      </c>
      <c r="L257" s="601"/>
      <c r="M257" s="13">
        <f t="shared" si="64"/>
        <v>1</v>
      </c>
      <c r="N257" s="601"/>
      <c r="O257" s="13">
        <f t="shared" si="65"/>
        <v>1</v>
      </c>
      <c r="P257" s="601"/>
      <c r="Q257" s="13">
        <f t="shared" si="66"/>
        <v>0</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0</v>
      </c>
      <c r="F258" s="601"/>
      <c r="G258" s="13">
        <f t="shared" si="61"/>
        <v>0</v>
      </c>
      <c r="H258" s="601"/>
      <c r="I258" s="13">
        <f t="shared" si="62"/>
        <v>1</v>
      </c>
      <c r="J258" s="601"/>
      <c r="K258" s="13">
        <f t="shared" si="63"/>
        <v>1</v>
      </c>
      <c r="L258" s="601"/>
      <c r="M258" s="13">
        <f t="shared" si="64"/>
        <v>1</v>
      </c>
      <c r="N258" s="601"/>
      <c r="O258" s="13">
        <f t="shared" si="65"/>
        <v>1</v>
      </c>
      <c r="P258" s="601"/>
      <c r="Q258" s="13">
        <f t="shared" si="66"/>
        <v>0</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0</v>
      </c>
      <c r="F259" s="601"/>
      <c r="G259" s="13">
        <f t="shared" si="61"/>
        <v>0</v>
      </c>
      <c r="H259" s="601"/>
      <c r="I259" s="13">
        <f t="shared" si="62"/>
        <v>1</v>
      </c>
      <c r="J259" s="601"/>
      <c r="K259" s="13">
        <f t="shared" si="63"/>
        <v>1</v>
      </c>
      <c r="L259" s="601"/>
      <c r="M259" s="13">
        <f t="shared" si="64"/>
        <v>1</v>
      </c>
      <c r="N259" s="601"/>
      <c r="O259" s="13">
        <f t="shared" si="65"/>
        <v>1</v>
      </c>
      <c r="P259" s="601"/>
      <c r="Q259" s="13">
        <f t="shared" si="66"/>
        <v>0</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0</v>
      </c>
      <c r="F260" s="601"/>
      <c r="G260" s="13">
        <f t="shared" si="61"/>
        <v>0</v>
      </c>
      <c r="H260" s="601"/>
      <c r="I260" s="13">
        <f t="shared" si="62"/>
        <v>1</v>
      </c>
      <c r="J260" s="601"/>
      <c r="K260" s="13">
        <f t="shared" si="63"/>
        <v>1</v>
      </c>
      <c r="L260" s="601"/>
      <c r="M260" s="13">
        <f t="shared" si="64"/>
        <v>1</v>
      </c>
      <c r="N260" s="601"/>
      <c r="O260" s="13">
        <f t="shared" si="65"/>
        <v>1</v>
      </c>
      <c r="P260" s="601"/>
      <c r="Q260" s="13">
        <f t="shared" si="66"/>
        <v>0</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0</v>
      </c>
      <c r="F261" s="601"/>
      <c r="G261" s="13">
        <f t="shared" si="61"/>
        <v>0</v>
      </c>
      <c r="H261" s="601"/>
      <c r="I261" s="13">
        <f t="shared" si="62"/>
        <v>1</v>
      </c>
      <c r="J261" s="601"/>
      <c r="K261" s="13">
        <f t="shared" si="63"/>
        <v>1</v>
      </c>
      <c r="L261" s="601"/>
      <c r="M261" s="13">
        <f t="shared" si="64"/>
        <v>1</v>
      </c>
      <c r="N261" s="601"/>
      <c r="O261" s="13">
        <f t="shared" si="65"/>
        <v>1</v>
      </c>
      <c r="P261" s="601"/>
      <c r="Q261" s="13">
        <f t="shared" si="66"/>
        <v>0</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0</v>
      </c>
      <c r="F262" s="601"/>
      <c r="G262" s="13">
        <f t="shared" si="61"/>
        <v>0</v>
      </c>
      <c r="H262" s="601"/>
      <c r="I262" s="13">
        <f t="shared" si="62"/>
        <v>1</v>
      </c>
      <c r="J262" s="601"/>
      <c r="K262" s="13">
        <f t="shared" si="63"/>
        <v>1</v>
      </c>
      <c r="L262" s="601"/>
      <c r="M262" s="13">
        <f t="shared" si="64"/>
        <v>1</v>
      </c>
      <c r="N262" s="601"/>
      <c r="O262" s="13">
        <f t="shared" si="65"/>
        <v>1</v>
      </c>
      <c r="P262" s="601"/>
      <c r="Q262" s="13">
        <f t="shared" si="66"/>
        <v>0</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0</v>
      </c>
      <c r="F263" s="601"/>
      <c r="G263" s="13">
        <f t="shared" si="61"/>
        <v>0</v>
      </c>
      <c r="H263" s="601"/>
      <c r="I263" s="13">
        <f t="shared" si="62"/>
        <v>1</v>
      </c>
      <c r="J263" s="601"/>
      <c r="K263" s="13">
        <f t="shared" si="63"/>
        <v>1</v>
      </c>
      <c r="L263" s="601"/>
      <c r="M263" s="13">
        <f t="shared" si="64"/>
        <v>1</v>
      </c>
      <c r="N263" s="601"/>
      <c r="O263" s="13">
        <f t="shared" si="65"/>
        <v>1</v>
      </c>
      <c r="P263" s="601"/>
      <c r="Q263" s="13">
        <f t="shared" si="66"/>
        <v>0</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0</v>
      </c>
      <c r="F264" s="601"/>
      <c r="G264" s="13">
        <f t="shared" si="61"/>
        <v>0</v>
      </c>
      <c r="H264" s="601"/>
      <c r="I264" s="13">
        <f t="shared" si="62"/>
        <v>1</v>
      </c>
      <c r="J264" s="601"/>
      <c r="K264" s="13">
        <f t="shared" si="63"/>
        <v>1</v>
      </c>
      <c r="L264" s="601"/>
      <c r="M264" s="13">
        <f t="shared" si="64"/>
        <v>1</v>
      </c>
      <c r="N264" s="601"/>
      <c r="O264" s="13">
        <f t="shared" si="65"/>
        <v>1</v>
      </c>
      <c r="P264" s="601"/>
      <c r="Q264" s="13">
        <f t="shared" si="66"/>
        <v>0</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0</v>
      </c>
      <c r="F265" s="601"/>
      <c r="G265" s="13">
        <f t="shared" si="61"/>
        <v>0</v>
      </c>
      <c r="H265" s="601"/>
      <c r="I265" s="13">
        <f t="shared" si="62"/>
        <v>1</v>
      </c>
      <c r="J265" s="601"/>
      <c r="K265" s="13">
        <f t="shared" si="63"/>
        <v>1</v>
      </c>
      <c r="L265" s="601"/>
      <c r="M265" s="13">
        <f t="shared" si="64"/>
        <v>1</v>
      </c>
      <c r="N265" s="601"/>
      <c r="O265" s="13">
        <f t="shared" si="65"/>
        <v>1</v>
      </c>
      <c r="P265" s="601"/>
      <c r="Q265" s="13">
        <f t="shared" si="66"/>
        <v>0</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0</v>
      </c>
      <c r="F266" s="601"/>
      <c r="G266" s="13">
        <f t="shared" si="61"/>
        <v>0</v>
      </c>
      <c r="H266" s="601"/>
      <c r="I266" s="13">
        <f t="shared" si="62"/>
        <v>1</v>
      </c>
      <c r="J266" s="601"/>
      <c r="K266" s="13">
        <f t="shared" si="63"/>
        <v>1</v>
      </c>
      <c r="L266" s="601"/>
      <c r="M266" s="13">
        <f t="shared" si="64"/>
        <v>1</v>
      </c>
      <c r="N266" s="601"/>
      <c r="O266" s="13">
        <f t="shared" si="65"/>
        <v>1</v>
      </c>
      <c r="P266" s="601"/>
      <c r="Q266" s="13">
        <f t="shared" si="66"/>
        <v>0</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0</v>
      </c>
      <c r="F267" s="601"/>
      <c r="G267" s="13">
        <f t="shared" si="61"/>
        <v>0</v>
      </c>
      <c r="H267" s="601"/>
      <c r="I267" s="13">
        <f t="shared" si="62"/>
        <v>1</v>
      </c>
      <c r="J267" s="601"/>
      <c r="K267" s="13">
        <f t="shared" si="63"/>
        <v>1</v>
      </c>
      <c r="L267" s="601"/>
      <c r="M267" s="13">
        <f t="shared" si="64"/>
        <v>1</v>
      </c>
      <c r="N267" s="601"/>
      <c r="O267" s="13">
        <f t="shared" si="65"/>
        <v>1</v>
      </c>
      <c r="P267" s="601"/>
      <c r="Q267" s="13">
        <f t="shared" si="66"/>
        <v>0</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0</v>
      </c>
      <c r="F268" s="601"/>
      <c r="G268" s="13">
        <f t="shared" si="61"/>
        <v>0</v>
      </c>
      <c r="H268" s="601"/>
      <c r="I268" s="13">
        <f t="shared" si="62"/>
        <v>1</v>
      </c>
      <c r="J268" s="601"/>
      <c r="K268" s="13">
        <f t="shared" si="63"/>
        <v>1</v>
      </c>
      <c r="L268" s="601"/>
      <c r="M268" s="13">
        <f t="shared" si="64"/>
        <v>1</v>
      </c>
      <c r="N268" s="601"/>
      <c r="O268" s="13">
        <f t="shared" si="65"/>
        <v>1</v>
      </c>
      <c r="P268" s="601"/>
      <c r="Q268" s="13">
        <f t="shared" si="66"/>
        <v>0</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0</v>
      </c>
      <c r="F269" s="601"/>
      <c r="G269" s="13">
        <f t="shared" si="61"/>
        <v>0</v>
      </c>
      <c r="H269" s="601"/>
      <c r="I269" s="13">
        <f t="shared" si="62"/>
        <v>1</v>
      </c>
      <c r="J269" s="601"/>
      <c r="K269" s="13">
        <f t="shared" si="63"/>
        <v>1</v>
      </c>
      <c r="L269" s="601"/>
      <c r="M269" s="13">
        <f t="shared" si="64"/>
        <v>1</v>
      </c>
      <c r="N269" s="601"/>
      <c r="O269" s="13">
        <f t="shared" si="65"/>
        <v>1</v>
      </c>
      <c r="P269" s="601"/>
      <c r="Q269" s="13">
        <f t="shared" si="66"/>
        <v>0</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0</v>
      </c>
      <c r="F270" s="601"/>
      <c r="G270" s="13">
        <f t="shared" si="61"/>
        <v>0</v>
      </c>
      <c r="H270" s="601"/>
      <c r="I270" s="13">
        <f t="shared" si="62"/>
        <v>1</v>
      </c>
      <c r="J270" s="601"/>
      <c r="K270" s="13">
        <f t="shared" si="63"/>
        <v>1</v>
      </c>
      <c r="L270" s="601"/>
      <c r="M270" s="13">
        <f t="shared" si="64"/>
        <v>1</v>
      </c>
      <c r="N270" s="601"/>
      <c r="O270" s="13">
        <f t="shared" si="65"/>
        <v>1</v>
      </c>
      <c r="P270" s="601"/>
      <c r="Q270" s="13">
        <f t="shared" si="66"/>
        <v>0</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0</v>
      </c>
      <c r="F271" s="601"/>
      <c r="G271" s="13">
        <f t="shared" si="61"/>
        <v>0</v>
      </c>
      <c r="H271" s="601"/>
      <c r="I271" s="13">
        <f t="shared" si="62"/>
        <v>1</v>
      </c>
      <c r="J271" s="601"/>
      <c r="K271" s="13">
        <f t="shared" si="63"/>
        <v>1</v>
      </c>
      <c r="L271" s="601"/>
      <c r="M271" s="13">
        <f t="shared" si="64"/>
        <v>1</v>
      </c>
      <c r="N271" s="601"/>
      <c r="O271" s="13">
        <f t="shared" si="65"/>
        <v>1</v>
      </c>
      <c r="P271" s="601"/>
      <c r="Q271" s="13">
        <f t="shared" si="66"/>
        <v>0</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0</v>
      </c>
      <c r="F272" s="601"/>
      <c r="G272" s="13">
        <f t="shared" si="61"/>
        <v>0</v>
      </c>
      <c r="H272" s="601"/>
      <c r="I272" s="13">
        <f t="shared" si="62"/>
        <v>1</v>
      </c>
      <c r="J272" s="601"/>
      <c r="K272" s="13">
        <f t="shared" si="63"/>
        <v>1</v>
      </c>
      <c r="L272" s="601"/>
      <c r="M272" s="13">
        <f t="shared" si="64"/>
        <v>1</v>
      </c>
      <c r="N272" s="601"/>
      <c r="O272" s="13">
        <f t="shared" si="65"/>
        <v>1</v>
      </c>
      <c r="P272" s="601"/>
      <c r="Q272" s="13">
        <f t="shared" si="66"/>
        <v>0</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0</v>
      </c>
      <c r="F273" s="601"/>
      <c r="G273" s="13">
        <f t="shared" si="61"/>
        <v>0</v>
      </c>
      <c r="H273" s="601"/>
      <c r="I273" s="13">
        <f t="shared" si="62"/>
        <v>1</v>
      </c>
      <c r="J273" s="601"/>
      <c r="K273" s="13">
        <f t="shared" si="63"/>
        <v>1</v>
      </c>
      <c r="L273" s="601"/>
      <c r="M273" s="13">
        <f t="shared" si="64"/>
        <v>1</v>
      </c>
      <c r="N273" s="601"/>
      <c r="O273" s="13">
        <f t="shared" si="65"/>
        <v>1</v>
      </c>
      <c r="P273" s="601"/>
      <c r="Q273" s="13">
        <f t="shared" si="66"/>
        <v>0</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0</v>
      </c>
      <c r="F274" s="601"/>
      <c r="G274" s="13">
        <f t="shared" si="61"/>
        <v>0</v>
      </c>
      <c r="H274" s="601"/>
      <c r="I274" s="13">
        <f t="shared" si="62"/>
        <v>1</v>
      </c>
      <c r="J274" s="601"/>
      <c r="K274" s="13">
        <f t="shared" si="63"/>
        <v>1</v>
      </c>
      <c r="L274" s="601"/>
      <c r="M274" s="13">
        <f t="shared" si="64"/>
        <v>1</v>
      </c>
      <c r="N274" s="601"/>
      <c r="O274" s="13">
        <f t="shared" si="65"/>
        <v>1</v>
      </c>
      <c r="P274" s="601"/>
      <c r="Q274" s="13">
        <f t="shared" si="66"/>
        <v>0</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0</v>
      </c>
      <c r="F275" s="601"/>
      <c r="G275" s="13">
        <f t="shared" si="61"/>
        <v>0</v>
      </c>
      <c r="H275" s="601"/>
      <c r="I275" s="13">
        <f t="shared" si="62"/>
        <v>1</v>
      </c>
      <c r="J275" s="601"/>
      <c r="K275" s="13">
        <f t="shared" si="63"/>
        <v>1</v>
      </c>
      <c r="L275" s="601"/>
      <c r="M275" s="13">
        <f t="shared" si="64"/>
        <v>1</v>
      </c>
      <c r="N275" s="601"/>
      <c r="O275" s="13">
        <f t="shared" si="65"/>
        <v>1</v>
      </c>
      <c r="P275" s="601"/>
      <c r="Q275" s="13">
        <f t="shared" si="66"/>
        <v>0</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0</v>
      </c>
      <c r="F276" s="601"/>
      <c r="G276" s="13">
        <f t="shared" si="61"/>
        <v>0</v>
      </c>
      <c r="H276" s="601"/>
      <c r="I276" s="13">
        <f t="shared" si="62"/>
        <v>1</v>
      </c>
      <c r="J276" s="601"/>
      <c r="K276" s="13">
        <f t="shared" si="63"/>
        <v>1</v>
      </c>
      <c r="L276" s="601"/>
      <c r="M276" s="13">
        <f t="shared" si="64"/>
        <v>1</v>
      </c>
      <c r="N276" s="601"/>
      <c r="O276" s="13">
        <f t="shared" si="65"/>
        <v>1</v>
      </c>
      <c r="P276" s="601"/>
      <c r="Q276" s="13">
        <f t="shared" si="66"/>
        <v>0</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0</v>
      </c>
      <c r="F277" s="601"/>
      <c r="G277" s="13">
        <f t="shared" si="61"/>
        <v>0</v>
      </c>
      <c r="H277" s="601"/>
      <c r="I277" s="13">
        <f t="shared" si="62"/>
        <v>1</v>
      </c>
      <c r="J277" s="601"/>
      <c r="K277" s="13">
        <f t="shared" si="63"/>
        <v>1</v>
      </c>
      <c r="L277" s="601"/>
      <c r="M277" s="13">
        <f t="shared" si="64"/>
        <v>1</v>
      </c>
      <c r="N277" s="601"/>
      <c r="O277" s="13">
        <f t="shared" si="65"/>
        <v>1</v>
      </c>
      <c r="P277" s="601"/>
      <c r="Q277" s="13">
        <f t="shared" si="66"/>
        <v>0</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0</v>
      </c>
      <c r="F278" s="601"/>
      <c r="G278" s="13">
        <f t="shared" si="61"/>
        <v>0</v>
      </c>
      <c r="H278" s="601"/>
      <c r="I278" s="13">
        <f t="shared" si="62"/>
        <v>1</v>
      </c>
      <c r="J278" s="601"/>
      <c r="K278" s="13">
        <f t="shared" si="63"/>
        <v>1</v>
      </c>
      <c r="L278" s="601"/>
      <c r="M278" s="13">
        <f t="shared" si="64"/>
        <v>1</v>
      </c>
      <c r="N278" s="601"/>
      <c r="O278" s="13">
        <f t="shared" si="65"/>
        <v>1</v>
      </c>
      <c r="P278" s="601"/>
      <c r="Q278" s="13">
        <f t="shared" si="66"/>
        <v>0</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0</v>
      </c>
      <c r="F279" s="601"/>
      <c r="G279" s="13">
        <f t="shared" si="61"/>
        <v>0</v>
      </c>
      <c r="H279" s="601"/>
      <c r="I279" s="13">
        <f t="shared" si="62"/>
        <v>1</v>
      </c>
      <c r="J279" s="601"/>
      <c r="K279" s="13">
        <f t="shared" si="63"/>
        <v>1</v>
      </c>
      <c r="L279" s="601"/>
      <c r="M279" s="13">
        <f t="shared" si="64"/>
        <v>1</v>
      </c>
      <c r="N279" s="601"/>
      <c r="O279" s="13">
        <f t="shared" si="65"/>
        <v>1</v>
      </c>
      <c r="P279" s="601"/>
      <c r="Q279" s="13">
        <f t="shared" si="66"/>
        <v>0</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0</v>
      </c>
      <c r="F280" s="601"/>
      <c r="G280" s="13">
        <f t="shared" si="61"/>
        <v>0</v>
      </c>
      <c r="H280" s="601"/>
      <c r="I280" s="13">
        <f t="shared" si="62"/>
        <v>1</v>
      </c>
      <c r="J280" s="601"/>
      <c r="K280" s="13">
        <f t="shared" si="63"/>
        <v>1</v>
      </c>
      <c r="L280" s="601"/>
      <c r="M280" s="13">
        <f t="shared" si="64"/>
        <v>1</v>
      </c>
      <c r="N280" s="601"/>
      <c r="O280" s="13">
        <f t="shared" si="65"/>
        <v>1</v>
      </c>
      <c r="P280" s="601"/>
      <c r="Q280" s="13">
        <f t="shared" si="66"/>
        <v>0</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0</v>
      </c>
      <c r="F281" s="601"/>
      <c r="G281" s="13">
        <f t="shared" si="61"/>
        <v>0</v>
      </c>
      <c r="H281" s="601"/>
      <c r="I281" s="13">
        <f t="shared" si="62"/>
        <v>1</v>
      </c>
      <c r="J281" s="601"/>
      <c r="K281" s="13">
        <f t="shared" si="63"/>
        <v>1</v>
      </c>
      <c r="L281" s="601"/>
      <c r="M281" s="13">
        <f t="shared" si="64"/>
        <v>1</v>
      </c>
      <c r="N281" s="601"/>
      <c r="O281" s="13">
        <f t="shared" si="65"/>
        <v>1</v>
      </c>
      <c r="P281" s="601"/>
      <c r="Q281" s="13">
        <f t="shared" si="66"/>
        <v>0</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0</v>
      </c>
      <c r="F282" s="601"/>
      <c r="G282" s="13">
        <f t="shared" si="61"/>
        <v>0</v>
      </c>
      <c r="H282" s="601"/>
      <c r="I282" s="13">
        <f t="shared" si="62"/>
        <v>1</v>
      </c>
      <c r="J282" s="601"/>
      <c r="K282" s="13">
        <f t="shared" si="63"/>
        <v>1</v>
      </c>
      <c r="L282" s="601"/>
      <c r="M282" s="13">
        <f t="shared" si="64"/>
        <v>1</v>
      </c>
      <c r="N282" s="601"/>
      <c r="O282" s="13">
        <f t="shared" si="65"/>
        <v>1</v>
      </c>
      <c r="P282" s="601"/>
      <c r="Q282" s="13">
        <f t="shared" si="66"/>
        <v>0</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0</v>
      </c>
      <c r="F283" s="601"/>
      <c r="G283" s="13">
        <f t="shared" si="61"/>
        <v>0</v>
      </c>
      <c r="H283" s="601"/>
      <c r="I283" s="13">
        <f t="shared" si="62"/>
        <v>1</v>
      </c>
      <c r="J283" s="601"/>
      <c r="K283" s="13">
        <f t="shared" si="63"/>
        <v>1</v>
      </c>
      <c r="L283" s="601"/>
      <c r="M283" s="13">
        <f t="shared" si="64"/>
        <v>1</v>
      </c>
      <c r="N283" s="601"/>
      <c r="O283" s="13">
        <f t="shared" si="65"/>
        <v>1</v>
      </c>
      <c r="P283" s="601"/>
      <c r="Q283" s="13">
        <f t="shared" si="66"/>
        <v>0</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0</v>
      </c>
      <c r="F284" s="601"/>
      <c r="G284" s="13">
        <f t="shared" ref="G284:G347" si="76">(SUMIF($10:$10,F284,$11:$11)-SUMIF($10:$10,$F$27,$11:$11)+100)/100</f>
        <v>0</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0</v>
      </c>
      <c r="F285" s="601"/>
      <c r="G285" s="13">
        <f t="shared" si="76"/>
        <v>0</v>
      </c>
      <c r="H285" s="601"/>
      <c r="I285" s="13">
        <f t="shared" si="77"/>
        <v>1</v>
      </c>
      <c r="J285" s="601"/>
      <c r="K285" s="13">
        <f t="shared" si="78"/>
        <v>1</v>
      </c>
      <c r="L285" s="601"/>
      <c r="M285" s="13">
        <f t="shared" si="79"/>
        <v>1</v>
      </c>
      <c r="N285" s="601"/>
      <c r="O285" s="13">
        <f t="shared" si="80"/>
        <v>1</v>
      </c>
      <c r="P285" s="601"/>
      <c r="Q285" s="13">
        <f t="shared" si="81"/>
        <v>0</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0</v>
      </c>
      <c r="F286" s="601"/>
      <c r="G286" s="13">
        <f t="shared" si="76"/>
        <v>0</v>
      </c>
      <c r="H286" s="601"/>
      <c r="I286" s="13">
        <f t="shared" si="77"/>
        <v>1</v>
      </c>
      <c r="J286" s="601"/>
      <c r="K286" s="13">
        <f t="shared" si="78"/>
        <v>1</v>
      </c>
      <c r="L286" s="601"/>
      <c r="M286" s="13">
        <f t="shared" si="79"/>
        <v>1</v>
      </c>
      <c r="N286" s="601"/>
      <c r="O286" s="13">
        <f t="shared" si="80"/>
        <v>1</v>
      </c>
      <c r="P286" s="601"/>
      <c r="Q286" s="13">
        <f t="shared" si="81"/>
        <v>0</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0</v>
      </c>
      <c r="F287" s="601"/>
      <c r="G287" s="13">
        <f t="shared" si="76"/>
        <v>0</v>
      </c>
      <c r="H287" s="601"/>
      <c r="I287" s="13">
        <f t="shared" si="77"/>
        <v>1</v>
      </c>
      <c r="J287" s="601"/>
      <c r="K287" s="13">
        <f t="shared" si="78"/>
        <v>1</v>
      </c>
      <c r="L287" s="601"/>
      <c r="M287" s="13">
        <f t="shared" si="79"/>
        <v>1</v>
      </c>
      <c r="N287" s="601"/>
      <c r="O287" s="13">
        <f t="shared" si="80"/>
        <v>1</v>
      </c>
      <c r="P287" s="601"/>
      <c r="Q287" s="13">
        <f t="shared" si="81"/>
        <v>0</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0</v>
      </c>
      <c r="F288" s="601"/>
      <c r="G288" s="13">
        <f t="shared" si="76"/>
        <v>0</v>
      </c>
      <c r="H288" s="601"/>
      <c r="I288" s="13">
        <f t="shared" si="77"/>
        <v>1</v>
      </c>
      <c r="J288" s="601"/>
      <c r="K288" s="13">
        <f t="shared" si="78"/>
        <v>1</v>
      </c>
      <c r="L288" s="601"/>
      <c r="M288" s="13">
        <f t="shared" si="79"/>
        <v>1</v>
      </c>
      <c r="N288" s="601"/>
      <c r="O288" s="13">
        <f t="shared" si="80"/>
        <v>1</v>
      </c>
      <c r="P288" s="601"/>
      <c r="Q288" s="13">
        <f t="shared" si="81"/>
        <v>0</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0</v>
      </c>
      <c r="F289" s="601"/>
      <c r="G289" s="13">
        <f t="shared" si="76"/>
        <v>0</v>
      </c>
      <c r="H289" s="601"/>
      <c r="I289" s="13">
        <f t="shared" si="77"/>
        <v>1</v>
      </c>
      <c r="J289" s="601"/>
      <c r="K289" s="13">
        <f t="shared" si="78"/>
        <v>1</v>
      </c>
      <c r="L289" s="601"/>
      <c r="M289" s="13">
        <f t="shared" si="79"/>
        <v>1</v>
      </c>
      <c r="N289" s="601"/>
      <c r="O289" s="13">
        <f t="shared" si="80"/>
        <v>1</v>
      </c>
      <c r="P289" s="601"/>
      <c r="Q289" s="13">
        <f t="shared" si="81"/>
        <v>0</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0</v>
      </c>
      <c r="F290" s="601"/>
      <c r="G290" s="13">
        <f t="shared" si="76"/>
        <v>0</v>
      </c>
      <c r="H290" s="601"/>
      <c r="I290" s="13">
        <f t="shared" si="77"/>
        <v>1</v>
      </c>
      <c r="J290" s="601"/>
      <c r="K290" s="13">
        <f t="shared" si="78"/>
        <v>1</v>
      </c>
      <c r="L290" s="601"/>
      <c r="M290" s="13">
        <f t="shared" si="79"/>
        <v>1</v>
      </c>
      <c r="N290" s="601"/>
      <c r="O290" s="13">
        <f t="shared" si="80"/>
        <v>1</v>
      </c>
      <c r="P290" s="601"/>
      <c r="Q290" s="13">
        <f t="shared" si="81"/>
        <v>0</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0</v>
      </c>
      <c r="F291" s="601"/>
      <c r="G291" s="13">
        <f t="shared" si="76"/>
        <v>0</v>
      </c>
      <c r="H291" s="601"/>
      <c r="I291" s="13">
        <f t="shared" si="77"/>
        <v>1</v>
      </c>
      <c r="J291" s="601"/>
      <c r="K291" s="13">
        <f t="shared" si="78"/>
        <v>1</v>
      </c>
      <c r="L291" s="601"/>
      <c r="M291" s="13">
        <f t="shared" si="79"/>
        <v>1</v>
      </c>
      <c r="N291" s="601"/>
      <c r="O291" s="13">
        <f t="shared" si="80"/>
        <v>1</v>
      </c>
      <c r="P291" s="601"/>
      <c r="Q291" s="13">
        <f t="shared" si="81"/>
        <v>0</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0</v>
      </c>
      <c r="F292" s="601"/>
      <c r="G292" s="13">
        <f t="shared" si="76"/>
        <v>0</v>
      </c>
      <c r="H292" s="601"/>
      <c r="I292" s="13">
        <f t="shared" si="77"/>
        <v>1</v>
      </c>
      <c r="J292" s="601"/>
      <c r="K292" s="13">
        <f t="shared" si="78"/>
        <v>1</v>
      </c>
      <c r="L292" s="601"/>
      <c r="M292" s="13">
        <f t="shared" si="79"/>
        <v>1</v>
      </c>
      <c r="N292" s="601"/>
      <c r="O292" s="13">
        <f t="shared" si="80"/>
        <v>1</v>
      </c>
      <c r="P292" s="601"/>
      <c r="Q292" s="13">
        <f t="shared" si="81"/>
        <v>0</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0</v>
      </c>
      <c r="F293" s="601"/>
      <c r="G293" s="13">
        <f t="shared" si="76"/>
        <v>0</v>
      </c>
      <c r="H293" s="601"/>
      <c r="I293" s="13">
        <f t="shared" si="77"/>
        <v>1</v>
      </c>
      <c r="J293" s="601"/>
      <c r="K293" s="13">
        <f t="shared" si="78"/>
        <v>1</v>
      </c>
      <c r="L293" s="601"/>
      <c r="M293" s="13">
        <f t="shared" si="79"/>
        <v>1</v>
      </c>
      <c r="N293" s="601"/>
      <c r="O293" s="13">
        <f t="shared" si="80"/>
        <v>1</v>
      </c>
      <c r="P293" s="601"/>
      <c r="Q293" s="13">
        <f t="shared" si="81"/>
        <v>0</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0</v>
      </c>
      <c r="F294" s="601"/>
      <c r="G294" s="13">
        <f t="shared" si="76"/>
        <v>0</v>
      </c>
      <c r="H294" s="601"/>
      <c r="I294" s="13">
        <f t="shared" si="77"/>
        <v>1</v>
      </c>
      <c r="J294" s="601"/>
      <c r="K294" s="13">
        <f t="shared" si="78"/>
        <v>1</v>
      </c>
      <c r="L294" s="601"/>
      <c r="M294" s="13">
        <f t="shared" si="79"/>
        <v>1</v>
      </c>
      <c r="N294" s="601"/>
      <c r="O294" s="13">
        <f t="shared" si="80"/>
        <v>1</v>
      </c>
      <c r="P294" s="601"/>
      <c r="Q294" s="13">
        <f t="shared" si="81"/>
        <v>0</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0</v>
      </c>
      <c r="F295" s="601"/>
      <c r="G295" s="13">
        <f t="shared" si="76"/>
        <v>0</v>
      </c>
      <c r="H295" s="601"/>
      <c r="I295" s="13">
        <f t="shared" si="77"/>
        <v>1</v>
      </c>
      <c r="J295" s="601"/>
      <c r="K295" s="13">
        <f t="shared" si="78"/>
        <v>1</v>
      </c>
      <c r="L295" s="601"/>
      <c r="M295" s="13">
        <f t="shared" si="79"/>
        <v>1</v>
      </c>
      <c r="N295" s="601"/>
      <c r="O295" s="13">
        <f t="shared" si="80"/>
        <v>1</v>
      </c>
      <c r="P295" s="601"/>
      <c r="Q295" s="13">
        <f t="shared" si="81"/>
        <v>0</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0</v>
      </c>
      <c r="F296" s="601"/>
      <c r="G296" s="13">
        <f t="shared" si="76"/>
        <v>0</v>
      </c>
      <c r="H296" s="601"/>
      <c r="I296" s="13">
        <f t="shared" si="77"/>
        <v>1</v>
      </c>
      <c r="J296" s="601"/>
      <c r="K296" s="13">
        <f t="shared" si="78"/>
        <v>1</v>
      </c>
      <c r="L296" s="601"/>
      <c r="M296" s="13">
        <f t="shared" si="79"/>
        <v>1</v>
      </c>
      <c r="N296" s="601"/>
      <c r="O296" s="13">
        <f t="shared" si="80"/>
        <v>1</v>
      </c>
      <c r="P296" s="601"/>
      <c r="Q296" s="13">
        <f t="shared" si="81"/>
        <v>0</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0</v>
      </c>
      <c r="F297" s="601"/>
      <c r="G297" s="13">
        <f t="shared" si="76"/>
        <v>0</v>
      </c>
      <c r="H297" s="601"/>
      <c r="I297" s="13">
        <f t="shared" si="77"/>
        <v>1</v>
      </c>
      <c r="J297" s="601"/>
      <c r="K297" s="13">
        <f t="shared" si="78"/>
        <v>1</v>
      </c>
      <c r="L297" s="601"/>
      <c r="M297" s="13">
        <f t="shared" si="79"/>
        <v>1</v>
      </c>
      <c r="N297" s="601"/>
      <c r="O297" s="13">
        <f t="shared" si="80"/>
        <v>1</v>
      </c>
      <c r="P297" s="601"/>
      <c r="Q297" s="13">
        <f t="shared" si="81"/>
        <v>0</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0</v>
      </c>
      <c r="F298" s="601"/>
      <c r="G298" s="13">
        <f t="shared" si="76"/>
        <v>0</v>
      </c>
      <c r="H298" s="601"/>
      <c r="I298" s="13">
        <f t="shared" si="77"/>
        <v>1</v>
      </c>
      <c r="J298" s="601"/>
      <c r="K298" s="13">
        <f t="shared" si="78"/>
        <v>1</v>
      </c>
      <c r="L298" s="601"/>
      <c r="M298" s="13">
        <f t="shared" si="79"/>
        <v>1</v>
      </c>
      <c r="N298" s="601"/>
      <c r="O298" s="13">
        <f t="shared" si="80"/>
        <v>1</v>
      </c>
      <c r="P298" s="601"/>
      <c r="Q298" s="13">
        <f t="shared" si="81"/>
        <v>0</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0</v>
      </c>
      <c r="F299" s="601"/>
      <c r="G299" s="13">
        <f t="shared" si="76"/>
        <v>0</v>
      </c>
      <c r="H299" s="601"/>
      <c r="I299" s="13">
        <f t="shared" si="77"/>
        <v>1</v>
      </c>
      <c r="J299" s="601"/>
      <c r="K299" s="13">
        <f t="shared" si="78"/>
        <v>1</v>
      </c>
      <c r="L299" s="601"/>
      <c r="M299" s="13">
        <f t="shared" si="79"/>
        <v>1</v>
      </c>
      <c r="N299" s="601"/>
      <c r="O299" s="13">
        <f t="shared" si="80"/>
        <v>1</v>
      </c>
      <c r="P299" s="601"/>
      <c r="Q299" s="13">
        <f t="shared" si="81"/>
        <v>0</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0</v>
      </c>
      <c r="F300" s="601"/>
      <c r="G300" s="13">
        <f t="shared" si="76"/>
        <v>0</v>
      </c>
      <c r="H300" s="601"/>
      <c r="I300" s="13">
        <f t="shared" si="77"/>
        <v>1</v>
      </c>
      <c r="J300" s="601"/>
      <c r="K300" s="13">
        <f t="shared" si="78"/>
        <v>1</v>
      </c>
      <c r="L300" s="601"/>
      <c r="M300" s="13">
        <f t="shared" si="79"/>
        <v>1</v>
      </c>
      <c r="N300" s="601"/>
      <c r="O300" s="13">
        <f t="shared" si="80"/>
        <v>1</v>
      </c>
      <c r="P300" s="601"/>
      <c r="Q300" s="13">
        <f t="shared" si="81"/>
        <v>0</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0</v>
      </c>
      <c r="F301" s="601"/>
      <c r="G301" s="13">
        <f t="shared" si="76"/>
        <v>0</v>
      </c>
      <c r="H301" s="601"/>
      <c r="I301" s="13">
        <f t="shared" si="77"/>
        <v>1</v>
      </c>
      <c r="J301" s="601"/>
      <c r="K301" s="13">
        <f t="shared" si="78"/>
        <v>1</v>
      </c>
      <c r="L301" s="601"/>
      <c r="M301" s="13">
        <f t="shared" si="79"/>
        <v>1</v>
      </c>
      <c r="N301" s="601"/>
      <c r="O301" s="13">
        <f t="shared" si="80"/>
        <v>1</v>
      </c>
      <c r="P301" s="601"/>
      <c r="Q301" s="13">
        <f t="shared" si="81"/>
        <v>0</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0</v>
      </c>
      <c r="F302" s="601"/>
      <c r="G302" s="13">
        <f t="shared" si="76"/>
        <v>0</v>
      </c>
      <c r="H302" s="601"/>
      <c r="I302" s="13">
        <f t="shared" si="77"/>
        <v>1</v>
      </c>
      <c r="J302" s="601"/>
      <c r="K302" s="13">
        <f t="shared" si="78"/>
        <v>1</v>
      </c>
      <c r="L302" s="601"/>
      <c r="M302" s="13">
        <f t="shared" si="79"/>
        <v>1</v>
      </c>
      <c r="N302" s="601"/>
      <c r="O302" s="13">
        <f t="shared" si="80"/>
        <v>1</v>
      </c>
      <c r="P302" s="601"/>
      <c r="Q302" s="13">
        <f t="shared" si="81"/>
        <v>0</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0</v>
      </c>
      <c r="F303" s="601"/>
      <c r="G303" s="13">
        <f t="shared" si="76"/>
        <v>0</v>
      </c>
      <c r="H303" s="601"/>
      <c r="I303" s="13">
        <f t="shared" si="77"/>
        <v>1</v>
      </c>
      <c r="J303" s="601"/>
      <c r="K303" s="13">
        <f t="shared" si="78"/>
        <v>1</v>
      </c>
      <c r="L303" s="601"/>
      <c r="M303" s="13">
        <f t="shared" si="79"/>
        <v>1</v>
      </c>
      <c r="N303" s="601"/>
      <c r="O303" s="13">
        <f t="shared" si="80"/>
        <v>1</v>
      </c>
      <c r="P303" s="601"/>
      <c r="Q303" s="13">
        <f t="shared" si="81"/>
        <v>0</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0</v>
      </c>
      <c r="F304" s="601"/>
      <c r="G304" s="13">
        <f t="shared" si="76"/>
        <v>0</v>
      </c>
      <c r="H304" s="601"/>
      <c r="I304" s="13">
        <f t="shared" si="77"/>
        <v>1</v>
      </c>
      <c r="J304" s="601"/>
      <c r="K304" s="13">
        <f t="shared" si="78"/>
        <v>1</v>
      </c>
      <c r="L304" s="601"/>
      <c r="M304" s="13">
        <f t="shared" si="79"/>
        <v>1</v>
      </c>
      <c r="N304" s="601"/>
      <c r="O304" s="13">
        <f t="shared" si="80"/>
        <v>1</v>
      </c>
      <c r="P304" s="601"/>
      <c r="Q304" s="13">
        <f t="shared" si="81"/>
        <v>0</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0</v>
      </c>
      <c r="F305" s="601"/>
      <c r="G305" s="13">
        <f t="shared" si="76"/>
        <v>0</v>
      </c>
      <c r="H305" s="601"/>
      <c r="I305" s="13">
        <f t="shared" si="77"/>
        <v>1</v>
      </c>
      <c r="J305" s="601"/>
      <c r="K305" s="13">
        <f t="shared" si="78"/>
        <v>1</v>
      </c>
      <c r="L305" s="601"/>
      <c r="M305" s="13">
        <f t="shared" si="79"/>
        <v>1</v>
      </c>
      <c r="N305" s="601"/>
      <c r="O305" s="13">
        <f t="shared" si="80"/>
        <v>1</v>
      </c>
      <c r="P305" s="601"/>
      <c r="Q305" s="13">
        <f t="shared" si="81"/>
        <v>0</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0</v>
      </c>
      <c r="F306" s="601"/>
      <c r="G306" s="13">
        <f t="shared" si="76"/>
        <v>0</v>
      </c>
      <c r="H306" s="601"/>
      <c r="I306" s="13">
        <f t="shared" si="77"/>
        <v>1</v>
      </c>
      <c r="J306" s="601"/>
      <c r="K306" s="13">
        <f t="shared" si="78"/>
        <v>1</v>
      </c>
      <c r="L306" s="601"/>
      <c r="M306" s="13">
        <f t="shared" si="79"/>
        <v>1</v>
      </c>
      <c r="N306" s="601"/>
      <c r="O306" s="13">
        <f t="shared" si="80"/>
        <v>1</v>
      </c>
      <c r="P306" s="601"/>
      <c r="Q306" s="13">
        <f t="shared" si="81"/>
        <v>0</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0</v>
      </c>
      <c r="F307" s="601"/>
      <c r="G307" s="13">
        <f t="shared" si="76"/>
        <v>0</v>
      </c>
      <c r="H307" s="601"/>
      <c r="I307" s="13">
        <f t="shared" si="77"/>
        <v>1</v>
      </c>
      <c r="J307" s="601"/>
      <c r="K307" s="13">
        <f t="shared" si="78"/>
        <v>1</v>
      </c>
      <c r="L307" s="601"/>
      <c r="M307" s="13">
        <f t="shared" si="79"/>
        <v>1</v>
      </c>
      <c r="N307" s="601"/>
      <c r="O307" s="13">
        <f t="shared" si="80"/>
        <v>1</v>
      </c>
      <c r="P307" s="601"/>
      <c r="Q307" s="13">
        <f t="shared" si="81"/>
        <v>0</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0</v>
      </c>
      <c r="F308" s="601"/>
      <c r="G308" s="13">
        <f t="shared" si="76"/>
        <v>0</v>
      </c>
      <c r="H308" s="601"/>
      <c r="I308" s="13">
        <f t="shared" si="77"/>
        <v>1</v>
      </c>
      <c r="J308" s="601"/>
      <c r="K308" s="13">
        <f t="shared" si="78"/>
        <v>1</v>
      </c>
      <c r="L308" s="601"/>
      <c r="M308" s="13">
        <f t="shared" si="79"/>
        <v>1</v>
      </c>
      <c r="N308" s="601"/>
      <c r="O308" s="13">
        <f t="shared" si="80"/>
        <v>1</v>
      </c>
      <c r="P308" s="601"/>
      <c r="Q308" s="13">
        <f t="shared" si="81"/>
        <v>0</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0</v>
      </c>
      <c r="F309" s="601"/>
      <c r="G309" s="13">
        <f t="shared" si="76"/>
        <v>0</v>
      </c>
      <c r="H309" s="601"/>
      <c r="I309" s="13">
        <f t="shared" si="77"/>
        <v>1</v>
      </c>
      <c r="J309" s="601"/>
      <c r="K309" s="13">
        <f t="shared" si="78"/>
        <v>1</v>
      </c>
      <c r="L309" s="601"/>
      <c r="M309" s="13">
        <f t="shared" si="79"/>
        <v>1</v>
      </c>
      <c r="N309" s="601"/>
      <c r="O309" s="13">
        <f t="shared" si="80"/>
        <v>1</v>
      </c>
      <c r="P309" s="601"/>
      <c r="Q309" s="13">
        <f t="shared" si="81"/>
        <v>0</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0</v>
      </c>
      <c r="F310" s="601"/>
      <c r="G310" s="13">
        <f t="shared" si="76"/>
        <v>0</v>
      </c>
      <c r="H310" s="601"/>
      <c r="I310" s="13">
        <f t="shared" si="77"/>
        <v>1</v>
      </c>
      <c r="J310" s="601"/>
      <c r="K310" s="13">
        <f t="shared" si="78"/>
        <v>1</v>
      </c>
      <c r="L310" s="601"/>
      <c r="M310" s="13">
        <f t="shared" si="79"/>
        <v>1</v>
      </c>
      <c r="N310" s="601"/>
      <c r="O310" s="13">
        <f t="shared" si="80"/>
        <v>1</v>
      </c>
      <c r="P310" s="601"/>
      <c r="Q310" s="13">
        <f t="shared" si="81"/>
        <v>0</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0</v>
      </c>
      <c r="F311" s="601"/>
      <c r="G311" s="13">
        <f t="shared" si="76"/>
        <v>0</v>
      </c>
      <c r="H311" s="601"/>
      <c r="I311" s="13">
        <f t="shared" si="77"/>
        <v>1</v>
      </c>
      <c r="J311" s="601"/>
      <c r="K311" s="13">
        <f t="shared" si="78"/>
        <v>1</v>
      </c>
      <c r="L311" s="601"/>
      <c r="M311" s="13">
        <f t="shared" si="79"/>
        <v>1</v>
      </c>
      <c r="N311" s="601"/>
      <c r="O311" s="13">
        <f t="shared" si="80"/>
        <v>1</v>
      </c>
      <c r="P311" s="601"/>
      <c r="Q311" s="13">
        <f t="shared" si="81"/>
        <v>0</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0</v>
      </c>
      <c r="F312" s="601"/>
      <c r="G312" s="13">
        <f t="shared" si="76"/>
        <v>0</v>
      </c>
      <c r="H312" s="601"/>
      <c r="I312" s="13">
        <f t="shared" si="77"/>
        <v>1</v>
      </c>
      <c r="J312" s="601"/>
      <c r="K312" s="13">
        <f t="shared" si="78"/>
        <v>1</v>
      </c>
      <c r="L312" s="601"/>
      <c r="M312" s="13">
        <f t="shared" si="79"/>
        <v>1</v>
      </c>
      <c r="N312" s="601"/>
      <c r="O312" s="13">
        <f t="shared" si="80"/>
        <v>1</v>
      </c>
      <c r="P312" s="601"/>
      <c r="Q312" s="13">
        <f t="shared" si="81"/>
        <v>0</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0</v>
      </c>
      <c r="F313" s="601"/>
      <c r="G313" s="13">
        <f t="shared" si="76"/>
        <v>0</v>
      </c>
      <c r="H313" s="601"/>
      <c r="I313" s="13">
        <f t="shared" si="77"/>
        <v>1</v>
      </c>
      <c r="J313" s="601"/>
      <c r="K313" s="13">
        <f t="shared" si="78"/>
        <v>1</v>
      </c>
      <c r="L313" s="601"/>
      <c r="M313" s="13">
        <f t="shared" si="79"/>
        <v>1</v>
      </c>
      <c r="N313" s="601"/>
      <c r="O313" s="13">
        <f t="shared" si="80"/>
        <v>1</v>
      </c>
      <c r="P313" s="601"/>
      <c r="Q313" s="13">
        <f t="shared" si="81"/>
        <v>0</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0</v>
      </c>
      <c r="F314" s="601"/>
      <c r="G314" s="13">
        <f t="shared" si="76"/>
        <v>0</v>
      </c>
      <c r="H314" s="601"/>
      <c r="I314" s="13">
        <f t="shared" si="77"/>
        <v>1</v>
      </c>
      <c r="J314" s="601"/>
      <c r="K314" s="13">
        <f t="shared" si="78"/>
        <v>1</v>
      </c>
      <c r="L314" s="601"/>
      <c r="M314" s="13">
        <f t="shared" si="79"/>
        <v>1</v>
      </c>
      <c r="N314" s="601"/>
      <c r="O314" s="13">
        <f t="shared" si="80"/>
        <v>1</v>
      </c>
      <c r="P314" s="601"/>
      <c r="Q314" s="13">
        <f t="shared" si="81"/>
        <v>0</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0</v>
      </c>
      <c r="F315" s="601"/>
      <c r="G315" s="13">
        <f t="shared" si="76"/>
        <v>0</v>
      </c>
      <c r="H315" s="601"/>
      <c r="I315" s="13">
        <f t="shared" si="77"/>
        <v>1</v>
      </c>
      <c r="J315" s="601"/>
      <c r="K315" s="13">
        <f t="shared" si="78"/>
        <v>1</v>
      </c>
      <c r="L315" s="601"/>
      <c r="M315" s="13">
        <f t="shared" si="79"/>
        <v>1</v>
      </c>
      <c r="N315" s="601"/>
      <c r="O315" s="13">
        <f t="shared" si="80"/>
        <v>1</v>
      </c>
      <c r="P315" s="601"/>
      <c r="Q315" s="13">
        <f t="shared" si="81"/>
        <v>0</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0</v>
      </c>
      <c r="F316" s="601"/>
      <c r="G316" s="13">
        <f t="shared" si="76"/>
        <v>0</v>
      </c>
      <c r="H316" s="601"/>
      <c r="I316" s="13">
        <f t="shared" si="77"/>
        <v>1</v>
      </c>
      <c r="J316" s="601"/>
      <c r="K316" s="13">
        <f t="shared" si="78"/>
        <v>1</v>
      </c>
      <c r="L316" s="601"/>
      <c r="M316" s="13">
        <f t="shared" si="79"/>
        <v>1</v>
      </c>
      <c r="N316" s="601"/>
      <c r="O316" s="13">
        <f t="shared" si="80"/>
        <v>1</v>
      </c>
      <c r="P316" s="601"/>
      <c r="Q316" s="13">
        <f t="shared" si="81"/>
        <v>0</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0</v>
      </c>
      <c r="F317" s="601"/>
      <c r="G317" s="13">
        <f t="shared" si="76"/>
        <v>0</v>
      </c>
      <c r="H317" s="601"/>
      <c r="I317" s="13">
        <f t="shared" si="77"/>
        <v>1</v>
      </c>
      <c r="J317" s="601"/>
      <c r="K317" s="13">
        <f t="shared" si="78"/>
        <v>1</v>
      </c>
      <c r="L317" s="601"/>
      <c r="M317" s="13">
        <f t="shared" si="79"/>
        <v>1</v>
      </c>
      <c r="N317" s="601"/>
      <c r="O317" s="13">
        <f t="shared" si="80"/>
        <v>1</v>
      </c>
      <c r="P317" s="601"/>
      <c r="Q317" s="13">
        <f t="shared" si="81"/>
        <v>0</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0</v>
      </c>
      <c r="F318" s="601"/>
      <c r="G318" s="13">
        <f t="shared" si="76"/>
        <v>0</v>
      </c>
      <c r="H318" s="601"/>
      <c r="I318" s="13">
        <f t="shared" si="77"/>
        <v>1</v>
      </c>
      <c r="J318" s="601"/>
      <c r="K318" s="13">
        <f t="shared" si="78"/>
        <v>1</v>
      </c>
      <c r="L318" s="601"/>
      <c r="M318" s="13">
        <f t="shared" si="79"/>
        <v>1</v>
      </c>
      <c r="N318" s="601"/>
      <c r="O318" s="13">
        <f t="shared" si="80"/>
        <v>1</v>
      </c>
      <c r="P318" s="601"/>
      <c r="Q318" s="13">
        <f t="shared" si="81"/>
        <v>0</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0</v>
      </c>
      <c r="F319" s="601"/>
      <c r="G319" s="13">
        <f t="shared" si="76"/>
        <v>0</v>
      </c>
      <c r="H319" s="601"/>
      <c r="I319" s="13">
        <f t="shared" si="77"/>
        <v>1</v>
      </c>
      <c r="J319" s="601"/>
      <c r="K319" s="13">
        <f t="shared" si="78"/>
        <v>1</v>
      </c>
      <c r="L319" s="601"/>
      <c r="M319" s="13">
        <f t="shared" si="79"/>
        <v>1</v>
      </c>
      <c r="N319" s="601"/>
      <c r="O319" s="13">
        <f t="shared" si="80"/>
        <v>1</v>
      </c>
      <c r="P319" s="601"/>
      <c r="Q319" s="13">
        <f t="shared" si="81"/>
        <v>0</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0</v>
      </c>
      <c r="F320" s="601"/>
      <c r="G320" s="13">
        <f t="shared" si="76"/>
        <v>0</v>
      </c>
      <c r="H320" s="601"/>
      <c r="I320" s="13">
        <f t="shared" si="77"/>
        <v>1</v>
      </c>
      <c r="J320" s="601"/>
      <c r="K320" s="13">
        <f t="shared" si="78"/>
        <v>1</v>
      </c>
      <c r="L320" s="601"/>
      <c r="M320" s="13">
        <f t="shared" si="79"/>
        <v>1</v>
      </c>
      <c r="N320" s="601"/>
      <c r="O320" s="13">
        <f t="shared" si="80"/>
        <v>1</v>
      </c>
      <c r="P320" s="601"/>
      <c r="Q320" s="13">
        <f t="shared" si="81"/>
        <v>0</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0</v>
      </c>
      <c r="F321" s="601"/>
      <c r="G321" s="13">
        <f t="shared" si="76"/>
        <v>0</v>
      </c>
      <c r="H321" s="601"/>
      <c r="I321" s="13">
        <f t="shared" si="77"/>
        <v>1</v>
      </c>
      <c r="J321" s="601"/>
      <c r="K321" s="13">
        <f t="shared" si="78"/>
        <v>1</v>
      </c>
      <c r="L321" s="601"/>
      <c r="M321" s="13">
        <f t="shared" si="79"/>
        <v>1</v>
      </c>
      <c r="N321" s="601"/>
      <c r="O321" s="13">
        <f t="shared" si="80"/>
        <v>1</v>
      </c>
      <c r="P321" s="601"/>
      <c r="Q321" s="13">
        <f t="shared" si="81"/>
        <v>0</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0</v>
      </c>
      <c r="F322" s="601"/>
      <c r="G322" s="13">
        <f t="shared" si="76"/>
        <v>0</v>
      </c>
      <c r="H322" s="601"/>
      <c r="I322" s="13">
        <f t="shared" si="77"/>
        <v>1</v>
      </c>
      <c r="J322" s="601"/>
      <c r="K322" s="13">
        <f t="shared" si="78"/>
        <v>1</v>
      </c>
      <c r="L322" s="601"/>
      <c r="M322" s="13">
        <f t="shared" si="79"/>
        <v>1</v>
      </c>
      <c r="N322" s="601"/>
      <c r="O322" s="13">
        <f t="shared" si="80"/>
        <v>1</v>
      </c>
      <c r="P322" s="601"/>
      <c r="Q322" s="13">
        <f t="shared" si="81"/>
        <v>0</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0</v>
      </c>
      <c r="F323" s="601"/>
      <c r="G323" s="13">
        <f t="shared" si="76"/>
        <v>0</v>
      </c>
      <c r="H323" s="601"/>
      <c r="I323" s="13">
        <f t="shared" si="77"/>
        <v>1</v>
      </c>
      <c r="J323" s="601"/>
      <c r="K323" s="13">
        <f t="shared" si="78"/>
        <v>1</v>
      </c>
      <c r="L323" s="601"/>
      <c r="M323" s="13">
        <f t="shared" si="79"/>
        <v>1</v>
      </c>
      <c r="N323" s="601"/>
      <c r="O323" s="13">
        <f t="shared" si="80"/>
        <v>1</v>
      </c>
      <c r="P323" s="601"/>
      <c r="Q323" s="13">
        <f t="shared" si="81"/>
        <v>0</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0</v>
      </c>
      <c r="F324" s="601"/>
      <c r="G324" s="13">
        <f t="shared" si="76"/>
        <v>0</v>
      </c>
      <c r="H324" s="601"/>
      <c r="I324" s="13">
        <f t="shared" si="77"/>
        <v>1</v>
      </c>
      <c r="J324" s="601"/>
      <c r="K324" s="13">
        <f t="shared" si="78"/>
        <v>1</v>
      </c>
      <c r="L324" s="601"/>
      <c r="M324" s="13">
        <f t="shared" si="79"/>
        <v>1</v>
      </c>
      <c r="N324" s="601"/>
      <c r="O324" s="13">
        <f t="shared" si="80"/>
        <v>1</v>
      </c>
      <c r="P324" s="601"/>
      <c r="Q324" s="13">
        <f t="shared" si="81"/>
        <v>0</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0</v>
      </c>
      <c r="F325" s="601"/>
      <c r="G325" s="13">
        <f t="shared" si="76"/>
        <v>0</v>
      </c>
      <c r="H325" s="601"/>
      <c r="I325" s="13">
        <f t="shared" si="77"/>
        <v>1</v>
      </c>
      <c r="J325" s="601"/>
      <c r="K325" s="13">
        <f t="shared" si="78"/>
        <v>1</v>
      </c>
      <c r="L325" s="601"/>
      <c r="M325" s="13">
        <f t="shared" si="79"/>
        <v>1</v>
      </c>
      <c r="N325" s="601"/>
      <c r="O325" s="13">
        <f t="shared" si="80"/>
        <v>1</v>
      </c>
      <c r="P325" s="601"/>
      <c r="Q325" s="13">
        <f t="shared" si="81"/>
        <v>0</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0</v>
      </c>
      <c r="F326" s="601"/>
      <c r="G326" s="13">
        <f t="shared" si="76"/>
        <v>0</v>
      </c>
      <c r="H326" s="601"/>
      <c r="I326" s="13">
        <f t="shared" si="77"/>
        <v>1</v>
      </c>
      <c r="J326" s="601"/>
      <c r="K326" s="13">
        <f t="shared" si="78"/>
        <v>1</v>
      </c>
      <c r="L326" s="601"/>
      <c r="M326" s="13">
        <f t="shared" si="79"/>
        <v>1</v>
      </c>
      <c r="N326" s="601"/>
      <c r="O326" s="13">
        <f t="shared" si="80"/>
        <v>1</v>
      </c>
      <c r="P326" s="601"/>
      <c r="Q326" s="13">
        <f t="shared" si="81"/>
        <v>0</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0</v>
      </c>
      <c r="F327" s="601"/>
      <c r="G327" s="13">
        <f t="shared" si="76"/>
        <v>0</v>
      </c>
      <c r="H327" s="601"/>
      <c r="I327" s="13">
        <f t="shared" si="77"/>
        <v>1</v>
      </c>
      <c r="J327" s="601"/>
      <c r="K327" s="13">
        <f t="shared" si="78"/>
        <v>1</v>
      </c>
      <c r="L327" s="601"/>
      <c r="M327" s="13">
        <f t="shared" si="79"/>
        <v>1</v>
      </c>
      <c r="N327" s="601"/>
      <c r="O327" s="13">
        <f t="shared" si="80"/>
        <v>1</v>
      </c>
      <c r="P327" s="601"/>
      <c r="Q327" s="13">
        <f t="shared" si="81"/>
        <v>0</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0</v>
      </c>
      <c r="F328" s="601"/>
      <c r="G328" s="13">
        <f t="shared" si="76"/>
        <v>0</v>
      </c>
      <c r="H328" s="601"/>
      <c r="I328" s="13">
        <f t="shared" si="77"/>
        <v>1</v>
      </c>
      <c r="J328" s="601"/>
      <c r="K328" s="13">
        <f t="shared" si="78"/>
        <v>1</v>
      </c>
      <c r="L328" s="601"/>
      <c r="M328" s="13">
        <f t="shared" si="79"/>
        <v>1</v>
      </c>
      <c r="N328" s="601"/>
      <c r="O328" s="13">
        <f t="shared" si="80"/>
        <v>1</v>
      </c>
      <c r="P328" s="601"/>
      <c r="Q328" s="13">
        <f t="shared" si="81"/>
        <v>0</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0</v>
      </c>
      <c r="F329" s="601"/>
      <c r="G329" s="13">
        <f t="shared" si="76"/>
        <v>0</v>
      </c>
      <c r="H329" s="601"/>
      <c r="I329" s="13">
        <f t="shared" si="77"/>
        <v>1</v>
      </c>
      <c r="J329" s="601"/>
      <c r="K329" s="13">
        <f t="shared" si="78"/>
        <v>1</v>
      </c>
      <c r="L329" s="601"/>
      <c r="M329" s="13">
        <f t="shared" si="79"/>
        <v>1</v>
      </c>
      <c r="N329" s="601"/>
      <c r="O329" s="13">
        <f t="shared" si="80"/>
        <v>1</v>
      </c>
      <c r="P329" s="601"/>
      <c r="Q329" s="13">
        <f t="shared" si="81"/>
        <v>0</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0</v>
      </c>
      <c r="F330" s="601"/>
      <c r="G330" s="13">
        <f t="shared" si="76"/>
        <v>0</v>
      </c>
      <c r="H330" s="601"/>
      <c r="I330" s="13">
        <f t="shared" si="77"/>
        <v>1</v>
      </c>
      <c r="J330" s="601"/>
      <c r="K330" s="13">
        <f t="shared" si="78"/>
        <v>1</v>
      </c>
      <c r="L330" s="601"/>
      <c r="M330" s="13">
        <f t="shared" si="79"/>
        <v>1</v>
      </c>
      <c r="N330" s="601"/>
      <c r="O330" s="13">
        <f t="shared" si="80"/>
        <v>1</v>
      </c>
      <c r="P330" s="601"/>
      <c r="Q330" s="13">
        <f t="shared" si="81"/>
        <v>0</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0</v>
      </c>
      <c r="F331" s="601"/>
      <c r="G331" s="13">
        <f t="shared" si="76"/>
        <v>0</v>
      </c>
      <c r="H331" s="601"/>
      <c r="I331" s="13">
        <f t="shared" si="77"/>
        <v>1</v>
      </c>
      <c r="J331" s="601"/>
      <c r="K331" s="13">
        <f t="shared" si="78"/>
        <v>1</v>
      </c>
      <c r="L331" s="601"/>
      <c r="M331" s="13">
        <f t="shared" si="79"/>
        <v>1</v>
      </c>
      <c r="N331" s="601"/>
      <c r="O331" s="13">
        <f t="shared" si="80"/>
        <v>1</v>
      </c>
      <c r="P331" s="601"/>
      <c r="Q331" s="13">
        <f t="shared" si="81"/>
        <v>0</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0</v>
      </c>
      <c r="F332" s="601"/>
      <c r="G332" s="13">
        <f t="shared" si="76"/>
        <v>0</v>
      </c>
      <c r="H332" s="601"/>
      <c r="I332" s="13">
        <f t="shared" si="77"/>
        <v>1</v>
      </c>
      <c r="J332" s="601"/>
      <c r="K332" s="13">
        <f t="shared" si="78"/>
        <v>1</v>
      </c>
      <c r="L332" s="601"/>
      <c r="M332" s="13">
        <f t="shared" si="79"/>
        <v>1</v>
      </c>
      <c r="N332" s="601"/>
      <c r="O332" s="13">
        <f t="shared" si="80"/>
        <v>1</v>
      </c>
      <c r="P332" s="601"/>
      <c r="Q332" s="13">
        <f t="shared" si="81"/>
        <v>0</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0</v>
      </c>
      <c r="F333" s="601"/>
      <c r="G333" s="13">
        <f t="shared" si="76"/>
        <v>0</v>
      </c>
      <c r="H333" s="601"/>
      <c r="I333" s="13">
        <f t="shared" si="77"/>
        <v>1</v>
      </c>
      <c r="J333" s="601"/>
      <c r="K333" s="13">
        <f t="shared" si="78"/>
        <v>1</v>
      </c>
      <c r="L333" s="601"/>
      <c r="M333" s="13">
        <f t="shared" si="79"/>
        <v>1</v>
      </c>
      <c r="N333" s="601"/>
      <c r="O333" s="13">
        <f t="shared" si="80"/>
        <v>1</v>
      </c>
      <c r="P333" s="601"/>
      <c r="Q333" s="13">
        <f t="shared" si="81"/>
        <v>0</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0</v>
      </c>
      <c r="F334" s="601"/>
      <c r="G334" s="13">
        <f t="shared" si="76"/>
        <v>0</v>
      </c>
      <c r="H334" s="601"/>
      <c r="I334" s="13">
        <f t="shared" si="77"/>
        <v>1</v>
      </c>
      <c r="J334" s="601"/>
      <c r="K334" s="13">
        <f t="shared" si="78"/>
        <v>1</v>
      </c>
      <c r="L334" s="601"/>
      <c r="M334" s="13">
        <f t="shared" si="79"/>
        <v>1</v>
      </c>
      <c r="N334" s="601"/>
      <c r="O334" s="13">
        <f t="shared" si="80"/>
        <v>1</v>
      </c>
      <c r="P334" s="601"/>
      <c r="Q334" s="13">
        <f t="shared" si="81"/>
        <v>0</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0</v>
      </c>
      <c r="F335" s="601"/>
      <c r="G335" s="13">
        <f t="shared" si="76"/>
        <v>0</v>
      </c>
      <c r="H335" s="601"/>
      <c r="I335" s="13">
        <f t="shared" si="77"/>
        <v>1</v>
      </c>
      <c r="J335" s="601"/>
      <c r="K335" s="13">
        <f t="shared" si="78"/>
        <v>1</v>
      </c>
      <c r="L335" s="601"/>
      <c r="M335" s="13">
        <f t="shared" si="79"/>
        <v>1</v>
      </c>
      <c r="N335" s="601"/>
      <c r="O335" s="13">
        <f t="shared" si="80"/>
        <v>1</v>
      </c>
      <c r="P335" s="601"/>
      <c r="Q335" s="13">
        <f t="shared" si="81"/>
        <v>0</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0</v>
      </c>
      <c r="F336" s="601"/>
      <c r="G336" s="13">
        <f t="shared" si="76"/>
        <v>0</v>
      </c>
      <c r="H336" s="601"/>
      <c r="I336" s="13">
        <f t="shared" si="77"/>
        <v>1</v>
      </c>
      <c r="J336" s="601"/>
      <c r="K336" s="13">
        <f t="shared" si="78"/>
        <v>1</v>
      </c>
      <c r="L336" s="601"/>
      <c r="M336" s="13">
        <f t="shared" si="79"/>
        <v>1</v>
      </c>
      <c r="N336" s="601"/>
      <c r="O336" s="13">
        <f t="shared" si="80"/>
        <v>1</v>
      </c>
      <c r="P336" s="601"/>
      <c r="Q336" s="13">
        <f t="shared" si="81"/>
        <v>0</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0</v>
      </c>
      <c r="F337" s="601"/>
      <c r="G337" s="13">
        <f t="shared" si="76"/>
        <v>0</v>
      </c>
      <c r="H337" s="601"/>
      <c r="I337" s="13">
        <f t="shared" si="77"/>
        <v>1</v>
      </c>
      <c r="J337" s="601"/>
      <c r="K337" s="13">
        <f t="shared" si="78"/>
        <v>1</v>
      </c>
      <c r="L337" s="601"/>
      <c r="M337" s="13">
        <f t="shared" si="79"/>
        <v>1</v>
      </c>
      <c r="N337" s="601"/>
      <c r="O337" s="13">
        <f t="shared" si="80"/>
        <v>1</v>
      </c>
      <c r="P337" s="601"/>
      <c r="Q337" s="13">
        <f t="shared" si="81"/>
        <v>0</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0</v>
      </c>
      <c r="F338" s="601"/>
      <c r="G338" s="13">
        <f t="shared" si="76"/>
        <v>0</v>
      </c>
      <c r="H338" s="601"/>
      <c r="I338" s="13">
        <f t="shared" si="77"/>
        <v>1</v>
      </c>
      <c r="J338" s="601"/>
      <c r="K338" s="13">
        <f t="shared" si="78"/>
        <v>1</v>
      </c>
      <c r="L338" s="601"/>
      <c r="M338" s="13">
        <f t="shared" si="79"/>
        <v>1</v>
      </c>
      <c r="N338" s="601"/>
      <c r="O338" s="13">
        <f t="shared" si="80"/>
        <v>1</v>
      </c>
      <c r="P338" s="601"/>
      <c r="Q338" s="13">
        <f t="shared" si="81"/>
        <v>0</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0</v>
      </c>
      <c r="F339" s="601"/>
      <c r="G339" s="13">
        <f t="shared" si="76"/>
        <v>0</v>
      </c>
      <c r="H339" s="601"/>
      <c r="I339" s="13">
        <f t="shared" si="77"/>
        <v>1</v>
      </c>
      <c r="J339" s="601"/>
      <c r="K339" s="13">
        <f t="shared" si="78"/>
        <v>1</v>
      </c>
      <c r="L339" s="601"/>
      <c r="M339" s="13">
        <f t="shared" si="79"/>
        <v>1</v>
      </c>
      <c r="N339" s="601"/>
      <c r="O339" s="13">
        <f t="shared" si="80"/>
        <v>1</v>
      </c>
      <c r="P339" s="601"/>
      <c r="Q339" s="13">
        <f t="shared" si="81"/>
        <v>0</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0</v>
      </c>
      <c r="F340" s="601"/>
      <c r="G340" s="13">
        <f t="shared" si="76"/>
        <v>0</v>
      </c>
      <c r="H340" s="601"/>
      <c r="I340" s="13">
        <f t="shared" si="77"/>
        <v>1</v>
      </c>
      <c r="J340" s="601"/>
      <c r="K340" s="13">
        <f t="shared" si="78"/>
        <v>1</v>
      </c>
      <c r="L340" s="601"/>
      <c r="M340" s="13">
        <f t="shared" si="79"/>
        <v>1</v>
      </c>
      <c r="N340" s="601"/>
      <c r="O340" s="13">
        <f t="shared" si="80"/>
        <v>1</v>
      </c>
      <c r="P340" s="601"/>
      <c r="Q340" s="13">
        <f t="shared" si="81"/>
        <v>0</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0</v>
      </c>
      <c r="F341" s="601"/>
      <c r="G341" s="13">
        <f t="shared" si="76"/>
        <v>0</v>
      </c>
      <c r="H341" s="601"/>
      <c r="I341" s="13">
        <f t="shared" si="77"/>
        <v>1</v>
      </c>
      <c r="J341" s="601"/>
      <c r="K341" s="13">
        <f t="shared" si="78"/>
        <v>1</v>
      </c>
      <c r="L341" s="601"/>
      <c r="M341" s="13">
        <f t="shared" si="79"/>
        <v>1</v>
      </c>
      <c r="N341" s="601"/>
      <c r="O341" s="13">
        <f t="shared" si="80"/>
        <v>1</v>
      </c>
      <c r="P341" s="601"/>
      <c r="Q341" s="13">
        <f t="shared" si="81"/>
        <v>0</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0</v>
      </c>
      <c r="F342" s="601"/>
      <c r="G342" s="13">
        <f t="shared" si="76"/>
        <v>0</v>
      </c>
      <c r="H342" s="601"/>
      <c r="I342" s="13">
        <f t="shared" si="77"/>
        <v>1</v>
      </c>
      <c r="J342" s="601"/>
      <c r="K342" s="13">
        <f t="shared" si="78"/>
        <v>1</v>
      </c>
      <c r="L342" s="601"/>
      <c r="M342" s="13">
        <f t="shared" si="79"/>
        <v>1</v>
      </c>
      <c r="N342" s="601"/>
      <c r="O342" s="13">
        <f t="shared" si="80"/>
        <v>1</v>
      </c>
      <c r="P342" s="601"/>
      <c r="Q342" s="13">
        <f t="shared" si="81"/>
        <v>0</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0</v>
      </c>
      <c r="F343" s="601"/>
      <c r="G343" s="13">
        <f t="shared" si="76"/>
        <v>0</v>
      </c>
      <c r="H343" s="601"/>
      <c r="I343" s="13">
        <f t="shared" si="77"/>
        <v>1</v>
      </c>
      <c r="J343" s="601"/>
      <c r="K343" s="13">
        <f t="shared" si="78"/>
        <v>1</v>
      </c>
      <c r="L343" s="601"/>
      <c r="M343" s="13">
        <f t="shared" si="79"/>
        <v>1</v>
      </c>
      <c r="N343" s="601"/>
      <c r="O343" s="13">
        <f t="shared" si="80"/>
        <v>1</v>
      </c>
      <c r="P343" s="601"/>
      <c r="Q343" s="13">
        <f t="shared" si="81"/>
        <v>0</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0</v>
      </c>
      <c r="F344" s="601"/>
      <c r="G344" s="13">
        <f t="shared" si="76"/>
        <v>0</v>
      </c>
      <c r="H344" s="601"/>
      <c r="I344" s="13">
        <f t="shared" si="77"/>
        <v>1</v>
      </c>
      <c r="J344" s="601"/>
      <c r="K344" s="13">
        <f t="shared" si="78"/>
        <v>1</v>
      </c>
      <c r="L344" s="601"/>
      <c r="M344" s="13">
        <f t="shared" si="79"/>
        <v>1</v>
      </c>
      <c r="N344" s="601"/>
      <c r="O344" s="13">
        <f t="shared" si="80"/>
        <v>1</v>
      </c>
      <c r="P344" s="601"/>
      <c r="Q344" s="13">
        <f t="shared" si="81"/>
        <v>0</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0</v>
      </c>
      <c r="F345" s="601"/>
      <c r="G345" s="13">
        <f t="shared" si="76"/>
        <v>0</v>
      </c>
      <c r="H345" s="601"/>
      <c r="I345" s="13">
        <f t="shared" si="77"/>
        <v>1</v>
      </c>
      <c r="J345" s="601"/>
      <c r="K345" s="13">
        <f t="shared" si="78"/>
        <v>1</v>
      </c>
      <c r="L345" s="601"/>
      <c r="M345" s="13">
        <f t="shared" si="79"/>
        <v>1</v>
      </c>
      <c r="N345" s="601"/>
      <c r="O345" s="13">
        <f t="shared" si="80"/>
        <v>1</v>
      </c>
      <c r="P345" s="601"/>
      <c r="Q345" s="13">
        <f t="shared" si="81"/>
        <v>0</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0</v>
      </c>
      <c r="F346" s="601"/>
      <c r="G346" s="13">
        <f t="shared" si="76"/>
        <v>0</v>
      </c>
      <c r="H346" s="601"/>
      <c r="I346" s="13">
        <f t="shared" si="77"/>
        <v>1</v>
      </c>
      <c r="J346" s="601"/>
      <c r="K346" s="13">
        <f t="shared" si="78"/>
        <v>1</v>
      </c>
      <c r="L346" s="601"/>
      <c r="M346" s="13">
        <f t="shared" si="79"/>
        <v>1</v>
      </c>
      <c r="N346" s="601"/>
      <c r="O346" s="13">
        <f t="shared" si="80"/>
        <v>1</v>
      </c>
      <c r="P346" s="601"/>
      <c r="Q346" s="13">
        <f t="shared" si="81"/>
        <v>0</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0</v>
      </c>
      <c r="F347" s="601"/>
      <c r="G347" s="13">
        <f t="shared" si="76"/>
        <v>0</v>
      </c>
      <c r="H347" s="601"/>
      <c r="I347" s="13">
        <f t="shared" si="77"/>
        <v>1</v>
      </c>
      <c r="J347" s="601"/>
      <c r="K347" s="13">
        <f t="shared" si="78"/>
        <v>1</v>
      </c>
      <c r="L347" s="601"/>
      <c r="M347" s="13">
        <f t="shared" si="79"/>
        <v>1</v>
      </c>
      <c r="N347" s="601"/>
      <c r="O347" s="13">
        <f t="shared" si="80"/>
        <v>1</v>
      </c>
      <c r="P347" s="601"/>
      <c r="Q347" s="13">
        <f t="shared" si="81"/>
        <v>0</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0</v>
      </c>
      <c r="F348" s="601"/>
      <c r="G348" s="13">
        <f t="shared" ref="G348:G411" si="91">(SUMIF($10:$10,F348,$11:$11)-SUMIF($10:$10,$F$27,$11:$11)+100)/100</f>
        <v>0</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0</v>
      </c>
      <c r="F349" s="601"/>
      <c r="G349" s="13">
        <f t="shared" si="91"/>
        <v>0</v>
      </c>
      <c r="H349" s="601"/>
      <c r="I349" s="13">
        <f t="shared" si="92"/>
        <v>1</v>
      </c>
      <c r="J349" s="601"/>
      <c r="K349" s="13">
        <f t="shared" si="93"/>
        <v>1</v>
      </c>
      <c r="L349" s="601"/>
      <c r="M349" s="13">
        <f t="shared" si="94"/>
        <v>1</v>
      </c>
      <c r="N349" s="601"/>
      <c r="O349" s="13">
        <f t="shared" si="95"/>
        <v>1</v>
      </c>
      <c r="P349" s="601"/>
      <c r="Q349" s="13">
        <f t="shared" si="96"/>
        <v>0</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0</v>
      </c>
      <c r="F350" s="601"/>
      <c r="G350" s="13">
        <f t="shared" si="91"/>
        <v>0</v>
      </c>
      <c r="H350" s="601"/>
      <c r="I350" s="13">
        <f t="shared" si="92"/>
        <v>1</v>
      </c>
      <c r="J350" s="601"/>
      <c r="K350" s="13">
        <f t="shared" si="93"/>
        <v>1</v>
      </c>
      <c r="L350" s="601"/>
      <c r="M350" s="13">
        <f t="shared" si="94"/>
        <v>1</v>
      </c>
      <c r="N350" s="601"/>
      <c r="O350" s="13">
        <f t="shared" si="95"/>
        <v>1</v>
      </c>
      <c r="P350" s="601"/>
      <c r="Q350" s="13">
        <f t="shared" si="96"/>
        <v>0</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0</v>
      </c>
      <c r="F351" s="601"/>
      <c r="G351" s="13">
        <f t="shared" si="91"/>
        <v>0</v>
      </c>
      <c r="H351" s="601"/>
      <c r="I351" s="13">
        <f t="shared" si="92"/>
        <v>1</v>
      </c>
      <c r="J351" s="601"/>
      <c r="K351" s="13">
        <f t="shared" si="93"/>
        <v>1</v>
      </c>
      <c r="L351" s="601"/>
      <c r="M351" s="13">
        <f t="shared" si="94"/>
        <v>1</v>
      </c>
      <c r="N351" s="601"/>
      <c r="O351" s="13">
        <f t="shared" si="95"/>
        <v>1</v>
      </c>
      <c r="P351" s="601"/>
      <c r="Q351" s="13">
        <f t="shared" si="96"/>
        <v>0</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0</v>
      </c>
      <c r="F352" s="601"/>
      <c r="G352" s="13">
        <f t="shared" si="91"/>
        <v>0</v>
      </c>
      <c r="H352" s="601"/>
      <c r="I352" s="13">
        <f t="shared" si="92"/>
        <v>1</v>
      </c>
      <c r="J352" s="601"/>
      <c r="K352" s="13">
        <f t="shared" si="93"/>
        <v>1</v>
      </c>
      <c r="L352" s="601"/>
      <c r="M352" s="13">
        <f t="shared" si="94"/>
        <v>1</v>
      </c>
      <c r="N352" s="601"/>
      <c r="O352" s="13">
        <f t="shared" si="95"/>
        <v>1</v>
      </c>
      <c r="P352" s="601"/>
      <c r="Q352" s="13">
        <f t="shared" si="96"/>
        <v>0</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0</v>
      </c>
      <c r="F353" s="601"/>
      <c r="G353" s="13">
        <f t="shared" si="91"/>
        <v>0</v>
      </c>
      <c r="H353" s="601"/>
      <c r="I353" s="13">
        <f t="shared" si="92"/>
        <v>1</v>
      </c>
      <c r="J353" s="601"/>
      <c r="K353" s="13">
        <f t="shared" si="93"/>
        <v>1</v>
      </c>
      <c r="L353" s="601"/>
      <c r="M353" s="13">
        <f t="shared" si="94"/>
        <v>1</v>
      </c>
      <c r="N353" s="601"/>
      <c r="O353" s="13">
        <f t="shared" si="95"/>
        <v>1</v>
      </c>
      <c r="P353" s="601"/>
      <c r="Q353" s="13">
        <f t="shared" si="96"/>
        <v>0</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0</v>
      </c>
      <c r="F354" s="601"/>
      <c r="G354" s="13">
        <f t="shared" si="91"/>
        <v>0</v>
      </c>
      <c r="H354" s="601"/>
      <c r="I354" s="13">
        <f t="shared" si="92"/>
        <v>1</v>
      </c>
      <c r="J354" s="601"/>
      <c r="K354" s="13">
        <f t="shared" si="93"/>
        <v>1</v>
      </c>
      <c r="L354" s="601"/>
      <c r="M354" s="13">
        <f t="shared" si="94"/>
        <v>1</v>
      </c>
      <c r="N354" s="601"/>
      <c r="O354" s="13">
        <f t="shared" si="95"/>
        <v>1</v>
      </c>
      <c r="P354" s="601"/>
      <c r="Q354" s="13">
        <f t="shared" si="96"/>
        <v>0</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0</v>
      </c>
      <c r="F355" s="601"/>
      <c r="G355" s="13">
        <f t="shared" si="91"/>
        <v>0</v>
      </c>
      <c r="H355" s="601"/>
      <c r="I355" s="13">
        <f t="shared" si="92"/>
        <v>1</v>
      </c>
      <c r="J355" s="601"/>
      <c r="K355" s="13">
        <f t="shared" si="93"/>
        <v>1</v>
      </c>
      <c r="L355" s="601"/>
      <c r="M355" s="13">
        <f t="shared" si="94"/>
        <v>1</v>
      </c>
      <c r="N355" s="601"/>
      <c r="O355" s="13">
        <f t="shared" si="95"/>
        <v>1</v>
      </c>
      <c r="P355" s="601"/>
      <c r="Q355" s="13">
        <f t="shared" si="96"/>
        <v>0</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0</v>
      </c>
      <c r="F356" s="601"/>
      <c r="G356" s="13">
        <f t="shared" si="91"/>
        <v>0</v>
      </c>
      <c r="H356" s="601"/>
      <c r="I356" s="13">
        <f t="shared" si="92"/>
        <v>1</v>
      </c>
      <c r="J356" s="601"/>
      <c r="K356" s="13">
        <f t="shared" si="93"/>
        <v>1</v>
      </c>
      <c r="L356" s="601"/>
      <c r="M356" s="13">
        <f t="shared" si="94"/>
        <v>1</v>
      </c>
      <c r="N356" s="601"/>
      <c r="O356" s="13">
        <f t="shared" si="95"/>
        <v>1</v>
      </c>
      <c r="P356" s="601"/>
      <c r="Q356" s="13">
        <f t="shared" si="96"/>
        <v>0</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0</v>
      </c>
      <c r="F357" s="601"/>
      <c r="G357" s="13">
        <f t="shared" si="91"/>
        <v>0</v>
      </c>
      <c r="H357" s="601"/>
      <c r="I357" s="13">
        <f t="shared" si="92"/>
        <v>1</v>
      </c>
      <c r="J357" s="601"/>
      <c r="K357" s="13">
        <f t="shared" si="93"/>
        <v>1</v>
      </c>
      <c r="L357" s="601"/>
      <c r="M357" s="13">
        <f t="shared" si="94"/>
        <v>1</v>
      </c>
      <c r="N357" s="601"/>
      <c r="O357" s="13">
        <f t="shared" si="95"/>
        <v>1</v>
      </c>
      <c r="P357" s="601"/>
      <c r="Q357" s="13">
        <f t="shared" si="96"/>
        <v>0</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0</v>
      </c>
      <c r="F358" s="601"/>
      <c r="G358" s="13">
        <f t="shared" si="91"/>
        <v>0</v>
      </c>
      <c r="H358" s="601"/>
      <c r="I358" s="13">
        <f t="shared" si="92"/>
        <v>1</v>
      </c>
      <c r="J358" s="601"/>
      <c r="K358" s="13">
        <f t="shared" si="93"/>
        <v>1</v>
      </c>
      <c r="L358" s="601"/>
      <c r="M358" s="13">
        <f t="shared" si="94"/>
        <v>1</v>
      </c>
      <c r="N358" s="601"/>
      <c r="O358" s="13">
        <f t="shared" si="95"/>
        <v>1</v>
      </c>
      <c r="P358" s="601"/>
      <c r="Q358" s="13">
        <f t="shared" si="96"/>
        <v>0</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0</v>
      </c>
      <c r="F359" s="601"/>
      <c r="G359" s="13">
        <f t="shared" si="91"/>
        <v>0</v>
      </c>
      <c r="H359" s="601"/>
      <c r="I359" s="13">
        <f t="shared" si="92"/>
        <v>1</v>
      </c>
      <c r="J359" s="601"/>
      <c r="K359" s="13">
        <f t="shared" si="93"/>
        <v>1</v>
      </c>
      <c r="L359" s="601"/>
      <c r="M359" s="13">
        <f t="shared" si="94"/>
        <v>1</v>
      </c>
      <c r="N359" s="601"/>
      <c r="O359" s="13">
        <f t="shared" si="95"/>
        <v>1</v>
      </c>
      <c r="P359" s="601"/>
      <c r="Q359" s="13">
        <f t="shared" si="96"/>
        <v>0</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0</v>
      </c>
      <c r="F360" s="601"/>
      <c r="G360" s="13">
        <f t="shared" si="91"/>
        <v>0</v>
      </c>
      <c r="H360" s="601"/>
      <c r="I360" s="13">
        <f t="shared" si="92"/>
        <v>1</v>
      </c>
      <c r="J360" s="601"/>
      <c r="K360" s="13">
        <f t="shared" si="93"/>
        <v>1</v>
      </c>
      <c r="L360" s="601"/>
      <c r="M360" s="13">
        <f t="shared" si="94"/>
        <v>1</v>
      </c>
      <c r="N360" s="601"/>
      <c r="O360" s="13">
        <f t="shared" si="95"/>
        <v>1</v>
      </c>
      <c r="P360" s="601"/>
      <c r="Q360" s="13">
        <f t="shared" si="96"/>
        <v>0</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0</v>
      </c>
      <c r="F361" s="601"/>
      <c r="G361" s="13">
        <f t="shared" si="91"/>
        <v>0</v>
      </c>
      <c r="H361" s="601"/>
      <c r="I361" s="13">
        <f t="shared" si="92"/>
        <v>1</v>
      </c>
      <c r="J361" s="601"/>
      <c r="K361" s="13">
        <f t="shared" si="93"/>
        <v>1</v>
      </c>
      <c r="L361" s="601"/>
      <c r="M361" s="13">
        <f t="shared" si="94"/>
        <v>1</v>
      </c>
      <c r="N361" s="601"/>
      <c r="O361" s="13">
        <f t="shared" si="95"/>
        <v>1</v>
      </c>
      <c r="P361" s="601"/>
      <c r="Q361" s="13">
        <f t="shared" si="96"/>
        <v>0</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0</v>
      </c>
      <c r="F362" s="601"/>
      <c r="G362" s="13">
        <f t="shared" si="91"/>
        <v>0</v>
      </c>
      <c r="H362" s="601"/>
      <c r="I362" s="13">
        <f t="shared" si="92"/>
        <v>1</v>
      </c>
      <c r="J362" s="601"/>
      <c r="K362" s="13">
        <f t="shared" si="93"/>
        <v>1</v>
      </c>
      <c r="L362" s="601"/>
      <c r="M362" s="13">
        <f t="shared" si="94"/>
        <v>1</v>
      </c>
      <c r="N362" s="601"/>
      <c r="O362" s="13">
        <f t="shared" si="95"/>
        <v>1</v>
      </c>
      <c r="P362" s="601"/>
      <c r="Q362" s="13">
        <f t="shared" si="96"/>
        <v>0</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0</v>
      </c>
      <c r="F363" s="601"/>
      <c r="G363" s="13">
        <f t="shared" si="91"/>
        <v>0</v>
      </c>
      <c r="H363" s="601"/>
      <c r="I363" s="13">
        <f t="shared" si="92"/>
        <v>1</v>
      </c>
      <c r="J363" s="601"/>
      <c r="K363" s="13">
        <f t="shared" si="93"/>
        <v>1</v>
      </c>
      <c r="L363" s="601"/>
      <c r="M363" s="13">
        <f t="shared" si="94"/>
        <v>1</v>
      </c>
      <c r="N363" s="601"/>
      <c r="O363" s="13">
        <f t="shared" si="95"/>
        <v>1</v>
      </c>
      <c r="P363" s="601"/>
      <c r="Q363" s="13">
        <f t="shared" si="96"/>
        <v>0</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0</v>
      </c>
      <c r="F364" s="601"/>
      <c r="G364" s="13">
        <f t="shared" si="91"/>
        <v>0</v>
      </c>
      <c r="H364" s="601"/>
      <c r="I364" s="13">
        <f t="shared" si="92"/>
        <v>1</v>
      </c>
      <c r="J364" s="601"/>
      <c r="K364" s="13">
        <f t="shared" si="93"/>
        <v>1</v>
      </c>
      <c r="L364" s="601"/>
      <c r="M364" s="13">
        <f t="shared" si="94"/>
        <v>1</v>
      </c>
      <c r="N364" s="601"/>
      <c r="O364" s="13">
        <f t="shared" si="95"/>
        <v>1</v>
      </c>
      <c r="P364" s="601"/>
      <c r="Q364" s="13">
        <f t="shared" si="96"/>
        <v>0</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0</v>
      </c>
      <c r="F365" s="601"/>
      <c r="G365" s="13">
        <f t="shared" si="91"/>
        <v>0</v>
      </c>
      <c r="H365" s="601"/>
      <c r="I365" s="13">
        <f t="shared" si="92"/>
        <v>1</v>
      </c>
      <c r="J365" s="601"/>
      <c r="K365" s="13">
        <f t="shared" si="93"/>
        <v>1</v>
      </c>
      <c r="L365" s="601"/>
      <c r="M365" s="13">
        <f t="shared" si="94"/>
        <v>1</v>
      </c>
      <c r="N365" s="601"/>
      <c r="O365" s="13">
        <f t="shared" si="95"/>
        <v>1</v>
      </c>
      <c r="P365" s="601"/>
      <c r="Q365" s="13">
        <f t="shared" si="96"/>
        <v>0</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0</v>
      </c>
      <c r="F366" s="601"/>
      <c r="G366" s="13">
        <f t="shared" si="91"/>
        <v>0</v>
      </c>
      <c r="H366" s="601"/>
      <c r="I366" s="13">
        <f t="shared" si="92"/>
        <v>1</v>
      </c>
      <c r="J366" s="601"/>
      <c r="K366" s="13">
        <f t="shared" si="93"/>
        <v>1</v>
      </c>
      <c r="L366" s="601"/>
      <c r="M366" s="13">
        <f t="shared" si="94"/>
        <v>1</v>
      </c>
      <c r="N366" s="601"/>
      <c r="O366" s="13">
        <f t="shared" si="95"/>
        <v>1</v>
      </c>
      <c r="P366" s="601"/>
      <c r="Q366" s="13">
        <f t="shared" si="96"/>
        <v>0</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0</v>
      </c>
      <c r="F367" s="601"/>
      <c r="G367" s="13">
        <f t="shared" si="91"/>
        <v>0</v>
      </c>
      <c r="H367" s="601"/>
      <c r="I367" s="13">
        <f t="shared" si="92"/>
        <v>1</v>
      </c>
      <c r="J367" s="601"/>
      <c r="K367" s="13">
        <f t="shared" si="93"/>
        <v>1</v>
      </c>
      <c r="L367" s="601"/>
      <c r="M367" s="13">
        <f t="shared" si="94"/>
        <v>1</v>
      </c>
      <c r="N367" s="601"/>
      <c r="O367" s="13">
        <f t="shared" si="95"/>
        <v>1</v>
      </c>
      <c r="P367" s="601"/>
      <c r="Q367" s="13">
        <f t="shared" si="96"/>
        <v>0</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0</v>
      </c>
      <c r="F368" s="601"/>
      <c r="G368" s="13">
        <f t="shared" si="91"/>
        <v>0</v>
      </c>
      <c r="H368" s="601"/>
      <c r="I368" s="13">
        <f t="shared" si="92"/>
        <v>1</v>
      </c>
      <c r="J368" s="601"/>
      <c r="K368" s="13">
        <f t="shared" si="93"/>
        <v>1</v>
      </c>
      <c r="L368" s="601"/>
      <c r="M368" s="13">
        <f t="shared" si="94"/>
        <v>1</v>
      </c>
      <c r="N368" s="601"/>
      <c r="O368" s="13">
        <f t="shared" si="95"/>
        <v>1</v>
      </c>
      <c r="P368" s="601"/>
      <c r="Q368" s="13">
        <f t="shared" si="96"/>
        <v>0</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0</v>
      </c>
      <c r="F369" s="601"/>
      <c r="G369" s="13">
        <f t="shared" si="91"/>
        <v>0</v>
      </c>
      <c r="H369" s="601"/>
      <c r="I369" s="13">
        <f t="shared" si="92"/>
        <v>1</v>
      </c>
      <c r="J369" s="601"/>
      <c r="K369" s="13">
        <f t="shared" si="93"/>
        <v>1</v>
      </c>
      <c r="L369" s="601"/>
      <c r="M369" s="13">
        <f t="shared" si="94"/>
        <v>1</v>
      </c>
      <c r="N369" s="601"/>
      <c r="O369" s="13">
        <f t="shared" si="95"/>
        <v>1</v>
      </c>
      <c r="P369" s="601"/>
      <c r="Q369" s="13">
        <f t="shared" si="96"/>
        <v>0</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0</v>
      </c>
      <c r="F370" s="601"/>
      <c r="G370" s="13">
        <f t="shared" si="91"/>
        <v>0</v>
      </c>
      <c r="H370" s="601"/>
      <c r="I370" s="13">
        <f t="shared" si="92"/>
        <v>1</v>
      </c>
      <c r="J370" s="601"/>
      <c r="K370" s="13">
        <f t="shared" si="93"/>
        <v>1</v>
      </c>
      <c r="L370" s="601"/>
      <c r="M370" s="13">
        <f t="shared" si="94"/>
        <v>1</v>
      </c>
      <c r="N370" s="601"/>
      <c r="O370" s="13">
        <f t="shared" si="95"/>
        <v>1</v>
      </c>
      <c r="P370" s="601"/>
      <c r="Q370" s="13">
        <f t="shared" si="96"/>
        <v>0</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0</v>
      </c>
      <c r="F371" s="601"/>
      <c r="G371" s="13">
        <f t="shared" si="91"/>
        <v>0</v>
      </c>
      <c r="H371" s="601"/>
      <c r="I371" s="13">
        <f t="shared" si="92"/>
        <v>1</v>
      </c>
      <c r="J371" s="601"/>
      <c r="K371" s="13">
        <f t="shared" si="93"/>
        <v>1</v>
      </c>
      <c r="L371" s="601"/>
      <c r="M371" s="13">
        <f t="shared" si="94"/>
        <v>1</v>
      </c>
      <c r="N371" s="601"/>
      <c r="O371" s="13">
        <f t="shared" si="95"/>
        <v>1</v>
      </c>
      <c r="P371" s="601"/>
      <c r="Q371" s="13">
        <f t="shared" si="96"/>
        <v>0</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0</v>
      </c>
      <c r="F372" s="601"/>
      <c r="G372" s="13">
        <f t="shared" si="91"/>
        <v>0</v>
      </c>
      <c r="H372" s="601"/>
      <c r="I372" s="13">
        <f t="shared" si="92"/>
        <v>1</v>
      </c>
      <c r="J372" s="601"/>
      <c r="K372" s="13">
        <f t="shared" si="93"/>
        <v>1</v>
      </c>
      <c r="L372" s="601"/>
      <c r="M372" s="13">
        <f t="shared" si="94"/>
        <v>1</v>
      </c>
      <c r="N372" s="601"/>
      <c r="O372" s="13">
        <f t="shared" si="95"/>
        <v>1</v>
      </c>
      <c r="P372" s="601"/>
      <c r="Q372" s="13">
        <f t="shared" si="96"/>
        <v>0</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0</v>
      </c>
      <c r="F373" s="601"/>
      <c r="G373" s="13">
        <f t="shared" si="91"/>
        <v>0</v>
      </c>
      <c r="H373" s="601"/>
      <c r="I373" s="13">
        <f t="shared" si="92"/>
        <v>1</v>
      </c>
      <c r="J373" s="601"/>
      <c r="K373" s="13">
        <f t="shared" si="93"/>
        <v>1</v>
      </c>
      <c r="L373" s="601"/>
      <c r="M373" s="13">
        <f t="shared" si="94"/>
        <v>1</v>
      </c>
      <c r="N373" s="601"/>
      <c r="O373" s="13">
        <f t="shared" si="95"/>
        <v>1</v>
      </c>
      <c r="P373" s="601"/>
      <c r="Q373" s="13">
        <f t="shared" si="96"/>
        <v>0</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0</v>
      </c>
      <c r="F374" s="601"/>
      <c r="G374" s="13">
        <f t="shared" si="91"/>
        <v>0</v>
      </c>
      <c r="H374" s="601"/>
      <c r="I374" s="13">
        <f t="shared" si="92"/>
        <v>1</v>
      </c>
      <c r="J374" s="601"/>
      <c r="K374" s="13">
        <f t="shared" si="93"/>
        <v>1</v>
      </c>
      <c r="L374" s="601"/>
      <c r="M374" s="13">
        <f t="shared" si="94"/>
        <v>1</v>
      </c>
      <c r="N374" s="601"/>
      <c r="O374" s="13">
        <f t="shared" si="95"/>
        <v>1</v>
      </c>
      <c r="P374" s="601"/>
      <c r="Q374" s="13">
        <f t="shared" si="96"/>
        <v>0</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0</v>
      </c>
      <c r="F375" s="601"/>
      <c r="G375" s="13">
        <f t="shared" si="91"/>
        <v>0</v>
      </c>
      <c r="H375" s="601"/>
      <c r="I375" s="13">
        <f t="shared" si="92"/>
        <v>1</v>
      </c>
      <c r="J375" s="601"/>
      <c r="K375" s="13">
        <f t="shared" si="93"/>
        <v>1</v>
      </c>
      <c r="L375" s="601"/>
      <c r="M375" s="13">
        <f t="shared" si="94"/>
        <v>1</v>
      </c>
      <c r="N375" s="601"/>
      <c r="O375" s="13">
        <f t="shared" si="95"/>
        <v>1</v>
      </c>
      <c r="P375" s="601"/>
      <c r="Q375" s="13">
        <f t="shared" si="96"/>
        <v>0</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0</v>
      </c>
      <c r="F376" s="601"/>
      <c r="G376" s="13">
        <f t="shared" si="91"/>
        <v>0</v>
      </c>
      <c r="H376" s="601"/>
      <c r="I376" s="13">
        <f t="shared" si="92"/>
        <v>1</v>
      </c>
      <c r="J376" s="601"/>
      <c r="K376" s="13">
        <f t="shared" si="93"/>
        <v>1</v>
      </c>
      <c r="L376" s="601"/>
      <c r="M376" s="13">
        <f t="shared" si="94"/>
        <v>1</v>
      </c>
      <c r="N376" s="601"/>
      <c r="O376" s="13">
        <f t="shared" si="95"/>
        <v>1</v>
      </c>
      <c r="P376" s="601"/>
      <c r="Q376" s="13">
        <f t="shared" si="96"/>
        <v>0</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0</v>
      </c>
      <c r="F377" s="601"/>
      <c r="G377" s="13">
        <f t="shared" si="91"/>
        <v>0</v>
      </c>
      <c r="H377" s="601"/>
      <c r="I377" s="13">
        <f t="shared" si="92"/>
        <v>1</v>
      </c>
      <c r="J377" s="601"/>
      <c r="K377" s="13">
        <f t="shared" si="93"/>
        <v>1</v>
      </c>
      <c r="L377" s="601"/>
      <c r="M377" s="13">
        <f t="shared" si="94"/>
        <v>1</v>
      </c>
      <c r="N377" s="601"/>
      <c r="O377" s="13">
        <f t="shared" si="95"/>
        <v>1</v>
      </c>
      <c r="P377" s="601"/>
      <c r="Q377" s="13">
        <f t="shared" si="96"/>
        <v>0</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0</v>
      </c>
      <c r="F378" s="601"/>
      <c r="G378" s="13">
        <f t="shared" si="91"/>
        <v>0</v>
      </c>
      <c r="H378" s="601"/>
      <c r="I378" s="13">
        <f t="shared" si="92"/>
        <v>1</v>
      </c>
      <c r="J378" s="601"/>
      <c r="K378" s="13">
        <f t="shared" si="93"/>
        <v>1</v>
      </c>
      <c r="L378" s="601"/>
      <c r="M378" s="13">
        <f t="shared" si="94"/>
        <v>1</v>
      </c>
      <c r="N378" s="601"/>
      <c r="O378" s="13">
        <f t="shared" si="95"/>
        <v>1</v>
      </c>
      <c r="P378" s="601"/>
      <c r="Q378" s="13">
        <f t="shared" si="96"/>
        <v>0</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0</v>
      </c>
      <c r="F379" s="601"/>
      <c r="G379" s="13">
        <f t="shared" si="91"/>
        <v>0</v>
      </c>
      <c r="H379" s="601"/>
      <c r="I379" s="13">
        <f t="shared" si="92"/>
        <v>1</v>
      </c>
      <c r="J379" s="601"/>
      <c r="K379" s="13">
        <f t="shared" si="93"/>
        <v>1</v>
      </c>
      <c r="L379" s="601"/>
      <c r="M379" s="13">
        <f t="shared" si="94"/>
        <v>1</v>
      </c>
      <c r="N379" s="601"/>
      <c r="O379" s="13">
        <f t="shared" si="95"/>
        <v>1</v>
      </c>
      <c r="P379" s="601"/>
      <c r="Q379" s="13">
        <f t="shared" si="96"/>
        <v>0</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0</v>
      </c>
      <c r="F380" s="601"/>
      <c r="G380" s="13">
        <f t="shared" si="91"/>
        <v>0</v>
      </c>
      <c r="H380" s="601"/>
      <c r="I380" s="13">
        <f t="shared" si="92"/>
        <v>1</v>
      </c>
      <c r="J380" s="601"/>
      <c r="K380" s="13">
        <f t="shared" si="93"/>
        <v>1</v>
      </c>
      <c r="L380" s="601"/>
      <c r="M380" s="13">
        <f t="shared" si="94"/>
        <v>1</v>
      </c>
      <c r="N380" s="601"/>
      <c r="O380" s="13">
        <f t="shared" si="95"/>
        <v>1</v>
      </c>
      <c r="P380" s="601"/>
      <c r="Q380" s="13">
        <f t="shared" si="96"/>
        <v>0</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0</v>
      </c>
      <c r="F381" s="601"/>
      <c r="G381" s="13">
        <f t="shared" si="91"/>
        <v>0</v>
      </c>
      <c r="H381" s="601"/>
      <c r="I381" s="13">
        <f t="shared" si="92"/>
        <v>1</v>
      </c>
      <c r="J381" s="601"/>
      <c r="K381" s="13">
        <f t="shared" si="93"/>
        <v>1</v>
      </c>
      <c r="L381" s="601"/>
      <c r="M381" s="13">
        <f t="shared" si="94"/>
        <v>1</v>
      </c>
      <c r="N381" s="601"/>
      <c r="O381" s="13">
        <f t="shared" si="95"/>
        <v>1</v>
      </c>
      <c r="P381" s="601"/>
      <c r="Q381" s="13">
        <f t="shared" si="96"/>
        <v>0</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0</v>
      </c>
      <c r="F382" s="601"/>
      <c r="G382" s="13">
        <f t="shared" si="91"/>
        <v>0</v>
      </c>
      <c r="H382" s="601"/>
      <c r="I382" s="13">
        <f t="shared" si="92"/>
        <v>1</v>
      </c>
      <c r="J382" s="601"/>
      <c r="K382" s="13">
        <f t="shared" si="93"/>
        <v>1</v>
      </c>
      <c r="L382" s="601"/>
      <c r="M382" s="13">
        <f t="shared" si="94"/>
        <v>1</v>
      </c>
      <c r="N382" s="601"/>
      <c r="O382" s="13">
        <f t="shared" si="95"/>
        <v>1</v>
      </c>
      <c r="P382" s="601"/>
      <c r="Q382" s="13">
        <f t="shared" si="96"/>
        <v>0</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0</v>
      </c>
      <c r="F383" s="601"/>
      <c r="G383" s="13">
        <f t="shared" si="91"/>
        <v>0</v>
      </c>
      <c r="H383" s="601"/>
      <c r="I383" s="13">
        <f t="shared" si="92"/>
        <v>1</v>
      </c>
      <c r="J383" s="601"/>
      <c r="K383" s="13">
        <f t="shared" si="93"/>
        <v>1</v>
      </c>
      <c r="L383" s="601"/>
      <c r="M383" s="13">
        <f t="shared" si="94"/>
        <v>1</v>
      </c>
      <c r="N383" s="601"/>
      <c r="O383" s="13">
        <f t="shared" si="95"/>
        <v>1</v>
      </c>
      <c r="P383" s="601"/>
      <c r="Q383" s="13">
        <f t="shared" si="96"/>
        <v>0</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0</v>
      </c>
      <c r="F384" s="601"/>
      <c r="G384" s="13">
        <f t="shared" si="91"/>
        <v>0</v>
      </c>
      <c r="H384" s="601"/>
      <c r="I384" s="13">
        <f t="shared" si="92"/>
        <v>1</v>
      </c>
      <c r="J384" s="601"/>
      <c r="K384" s="13">
        <f t="shared" si="93"/>
        <v>1</v>
      </c>
      <c r="L384" s="601"/>
      <c r="M384" s="13">
        <f t="shared" si="94"/>
        <v>1</v>
      </c>
      <c r="N384" s="601"/>
      <c r="O384" s="13">
        <f t="shared" si="95"/>
        <v>1</v>
      </c>
      <c r="P384" s="601"/>
      <c r="Q384" s="13">
        <f t="shared" si="96"/>
        <v>0</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0</v>
      </c>
      <c r="F385" s="601"/>
      <c r="G385" s="13">
        <f t="shared" si="91"/>
        <v>0</v>
      </c>
      <c r="H385" s="601"/>
      <c r="I385" s="13">
        <f t="shared" si="92"/>
        <v>1</v>
      </c>
      <c r="J385" s="601"/>
      <c r="K385" s="13">
        <f t="shared" si="93"/>
        <v>1</v>
      </c>
      <c r="L385" s="601"/>
      <c r="M385" s="13">
        <f t="shared" si="94"/>
        <v>1</v>
      </c>
      <c r="N385" s="601"/>
      <c r="O385" s="13">
        <f t="shared" si="95"/>
        <v>1</v>
      </c>
      <c r="P385" s="601"/>
      <c r="Q385" s="13">
        <f t="shared" si="96"/>
        <v>0</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0</v>
      </c>
      <c r="F386" s="601"/>
      <c r="G386" s="13">
        <f t="shared" si="91"/>
        <v>0</v>
      </c>
      <c r="H386" s="601"/>
      <c r="I386" s="13">
        <f t="shared" si="92"/>
        <v>1</v>
      </c>
      <c r="J386" s="601"/>
      <c r="K386" s="13">
        <f t="shared" si="93"/>
        <v>1</v>
      </c>
      <c r="L386" s="601"/>
      <c r="M386" s="13">
        <f t="shared" si="94"/>
        <v>1</v>
      </c>
      <c r="N386" s="601"/>
      <c r="O386" s="13">
        <f t="shared" si="95"/>
        <v>1</v>
      </c>
      <c r="P386" s="601"/>
      <c r="Q386" s="13">
        <f t="shared" si="96"/>
        <v>0</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0</v>
      </c>
      <c r="F387" s="601"/>
      <c r="G387" s="13">
        <f t="shared" si="91"/>
        <v>0</v>
      </c>
      <c r="H387" s="601"/>
      <c r="I387" s="13">
        <f t="shared" si="92"/>
        <v>1</v>
      </c>
      <c r="J387" s="601"/>
      <c r="K387" s="13">
        <f t="shared" si="93"/>
        <v>1</v>
      </c>
      <c r="L387" s="601"/>
      <c r="M387" s="13">
        <f t="shared" si="94"/>
        <v>1</v>
      </c>
      <c r="N387" s="601"/>
      <c r="O387" s="13">
        <f t="shared" si="95"/>
        <v>1</v>
      </c>
      <c r="P387" s="601"/>
      <c r="Q387" s="13">
        <f t="shared" si="96"/>
        <v>0</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0</v>
      </c>
      <c r="F388" s="601"/>
      <c r="G388" s="13">
        <f t="shared" si="91"/>
        <v>0</v>
      </c>
      <c r="H388" s="601"/>
      <c r="I388" s="13">
        <f t="shared" si="92"/>
        <v>1</v>
      </c>
      <c r="J388" s="601"/>
      <c r="K388" s="13">
        <f t="shared" si="93"/>
        <v>1</v>
      </c>
      <c r="L388" s="601"/>
      <c r="M388" s="13">
        <f t="shared" si="94"/>
        <v>1</v>
      </c>
      <c r="N388" s="601"/>
      <c r="O388" s="13">
        <f t="shared" si="95"/>
        <v>1</v>
      </c>
      <c r="P388" s="601"/>
      <c r="Q388" s="13">
        <f t="shared" si="96"/>
        <v>0</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0</v>
      </c>
      <c r="F389" s="601"/>
      <c r="G389" s="13">
        <f t="shared" si="91"/>
        <v>0</v>
      </c>
      <c r="H389" s="601"/>
      <c r="I389" s="13">
        <f t="shared" si="92"/>
        <v>1</v>
      </c>
      <c r="J389" s="601"/>
      <c r="K389" s="13">
        <f t="shared" si="93"/>
        <v>1</v>
      </c>
      <c r="L389" s="601"/>
      <c r="M389" s="13">
        <f t="shared" si="94"/>
        <v>1</v>
      </c>
      <c r="N389" s="601"/>
      <c r="O389" s="13">
        <f t="shared" si="95"/>
        <v>1</v>
      </c>
      <c r="P389" s="601"/>
      <c r="Q389" s="13">
        <f t="shared" si="96"/>
        <v>0</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0</v>
      </c>
      <c r="F390" s="601"/>
      <c r="G390" s="13">
        <f t="shared" si="91"/>
        <v>0</v>
      </c>
      <c r="H390" s="601"/>
      <c r="I390" s="13">
        <f t="shared" si="92"/>
        <v>1</v>
      </c>
      <c r="J390" s="601"/>
      <c r="K390" s="13">
        <f t="shared" si="93"/>
        <v>1</v>
      </c>
      <c r="L390" s="601"/>
      <c r="M390" s="13">
        <f t="shared" si="94"/>
        <v>1</v>
      </c>
      <c r="N390" s="601"/>
      <c r="O390" s="13">
        <f t="shared" si="95"/>
        <v>1</v>
      </c>
      <c r="P390" s="601"/>
      <c r="Q390" s="13">
        <f t="shared" si="96"/>
        <v>0</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0</v>
      </c>
      <c r="F391" s="601"/>
      <c r="G391" s="13">
        <f t="shared" si="91"/>
        <v>0</v>
      </c>
      <c r="H391" s="601"/>
      <c r="I391" s="13">
        <f t="shared" si="92"/>
        <v>1</v>
      </c>
      <c r="J391" s="601"/>
      <c r="K391" s="13">
        <f t="shared" si="93"/>
        <v>1</v>
      </c>
      <c r="L391" s="601"/>
      <c r="M391" s="13">
        <f t="shared" si="94"/>
        <v>1</v>
      </c>
      <c r="N391" s="601"/>
      <c r="O391" s="13">
        <f t="shared" si="95"/>
        <v>1</v>
      </c>
      <c r="P391" s="601"/>
      <c r="Q391" s="13">
        <f t="shared" si="96"/>
        <v>0</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0</v>
      </c>
      <c r="F392" s="601"/>
      <c r="G392" s="13">
        <f t="shared" si="91"/>
        <v>0</v>
      </c>
      <c r="H392" s="601"/>
      <c r="I392" s="13">
        <f t="shared" si="92"/>
        <v>1</v>
      </c>
      <c r="J392" s="601"/>
      <c r="K392" s="13">
        <f t="shared" si="93"/>
        <v>1</v>
      </c>
      <c r="L392" s="601"/>
      <c r="M392" s="13">
        <f t="shared" si="94"/>
        <v>1</v>
      </c>
      <c r="N392" s="601"/>
      <c r="O392" s="13">
        <f t="shared" si="95"/>
        <v>1</v>
      </c>
      <c r="P392" s="601"/>
      <c r="Q392" s="13">
        <f t="shared" si="96"/>
        <v>0</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0</v>
      </c>
      <c r="F393" s="601"/>
      <c r="G393" s="13">
        <f t="shared" si="91"/>
        <v>0</v>
      </c>
      <c r="H393" s="601"/>
      <c r="I393" s="13">
        <f t="shared" si="92"/>
        <v>1</v>
      </c>
      <c r="J393" s="601"/>
      <c r="K393" s="13">
        <f t="shared" si="93"/>
        <v>1</v>
      </c>
      <c r="L393" s="601"/>
      <c r="M393" s="13">
        <f t="shared" si="94"/>
        <v>1</v>
      </c>
      <c r="N393" s="601"/>
      <c r="O393" s="13">
        <f t="shared" si="95"/>
        <v>1</v>
      </c>
      <c r="P393" s="601"/>
      <c r="Q393" s="13">
        <f t="shared" si="96"/>
        <v>0</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0</v>
      </c>
      <c r="F394" s="601"/>
      <c r="G394" s="13">
        <f t="shared" si="91"/>
        <v>0</v>
      </c>
      <c r="H394" s="601"/>
      <c r="I394" s="13">
        <f t="shared" si="92"/>
        <v>1</v>
      </c>
      <c r="J394" s="601"/>
      <c r="K394" s="13">
        <f t="shared" si="93"/>
        <v>1</v>
      </c>
      <c r="L394" s="601"/>
      <c r="M394" s="13">
        <f t="shared" si="94"/>
        <v>1</v>
      </c>
      <c r="N394" s="601"/>
      <c r="O394" s="13">
        <f t="shared" si="95"/>
        <v>1</v>
      </c>
      <c r="P394" s="601"/>
      <c r="Q394" s="13">
        <f t="shared" si="96"/>
        <v>0</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0</v>
      </c>
      <c r="F395" s="601"/>
      <c r="G395" s="13">
        <f t="shared" si="91"/>
        <v>0</v>
      </c>
      <c r="H395" s="601"/>
      <c r="I395" s="13">
        <f t="shared" si="92"/>
        <v>1</v>
      </c>
      <c r="J395" s="601"/>
      <c r="K395" s="13">
        <f t="shared" si="93"/>
        <v>1</v>
      </c>
      <c r="L395" s="601"/>
      <c r="M395" s="13">
        <f t="shared" si="94"/>
        <v>1</v>
      </c>
      <c r="N395" s="601"/>
      <c r="O395" s="13">
        <f t="shared" si="95"/>
        <v>1</v>
      </c>
      <c r="P395" s="601"/>
      <c r="Q395" s="13">
        <f t="shared" si="96"/>
        <v>0</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0</v>
      </c>
      <c r="F396" s="601"/>
      <c r="G396" s="13">
        <f t="shared" si="91"/>
        <v>0</v>
      </c>
      <c r="H396" s="601"/>
      <c r="I396" s="13">
        <f t="shared" si="92"/>
        <v>1</v>
      </c>
      <c r="J396" s="601"/>
      <c r="K396" s="13">
        <f t="shared" si="93"/>
        <v>1</v>
      </c>
      <c r="L396" s="601"/>
      <c r="M396" s="13">
        <f t="shared" si="94"/>
        <v>1</v>
      </c>
      <c r="N396" s="601"/>
      <c r="O396" s="13">
        <f t="shared" si="95"/>
        <v>1</v>
      </c>
      <c r="P396" s="601"/>
      <c r="Q396" s="13">
        <f t="shared" si="96"/>
        <v>0</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0</v>
      </c>
      <c r="F397" s="601"/>
      <c r="G397" s="13">
        <f t="shared" si="91"/>
        <v>0</v>
      </c>
      <c r="H397" s="601"/>
      <c r="I397" s="13">
        <f t="shared" si="92"/>
        <v>1</v>
      </c>
      <c r="J397" s="601"/>
      <c r="K397" s="13">
        <f t="shared" si="93"/>
        <v>1</v>
      </c>
      <c r="L397" s="601"/>
      <c r="M397" s="13">
        <f t="shared" si="94"/>
        <v>1</v>
      </c>
      <c r="N397" s="601"/>
      <c r="O397" s="13">
        <f t="shared" si="95"/>
        <v>1</v>
      </c>
      <c r="P397" s="601"/>
      <c r="Q397" s="13">
        <f t="shared" si="96"/>
        <v>0</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0</v>
      </c>
      <c r="F398" s="601"/>
      <c r="G398" s="13">
        <f t="shared" si="91"/>
        <v>0</v>
      </c>
      <c r="H398" s="601"/>
      <c r="I398" s="13">
        <f t="shared" si="92"/>
        <v>1</v>
      </c>
      <c r="J398" s="601"/>
      <c r="K398" s="13">
        <f t="shared" si="93"/>
        <v>1</v>
      </c>
      <c r="L398" s="601"/>
      <c r="M398" s="13">
        <f t="shared" si="94"/>
        <v>1</v>
      </c>
      <c r="N398" s="601"/>
      <c r="O398" s="13">
        <f t="shared" si="95"/>
        <v>1</v>
      </c>
      <c r="P398" s="601"/>
      <c r="Q398" s="13">
        <f t="shared" si="96"/>
        <v>0</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0</v>
      </c>
      <c r="F399" s="601"/>
      <c r="G399" s="13">
        <f t="shared" si="91"/>
        <v>0</v>
      </c>
      <c r="H399" s="601"/>
      <c r="I399" s="13">
        <f t="shared" si="92"/>
        <v>1</v>
      </c>
      <c r="J399" s="601"/>
      <c r="K399" s="13">
        <f t="shared" si="93"/>
        <v>1</v>
      </c>
      <c r="L399" s="601"/>
      <c r="M399" s="13">
        <f t="shared" si="94"/>
        <v>1</v>
      </c>
      <c r="N399" s="601"/>
      <c r="O399" s="13">
        <f t="shared" si="95"/>
        <v>1</v>
      </c>
      <c r="P399" s="601"/>
      <c r="Q399" s="13">
        <f t="shared" si="96"/>
        <v>0</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0</v>
      </c>
      <c r="F400" s="601"/>
      <c r="G400" s="13">
        <f t="shared" si="91"/>
        <v>0</v>
      </c>
      <c r="H400" s="601"/>
      <c r="I400" s="13">
        <f t="shared" si="92"/>
        <v>1</v>
      </c>
      <c r="J400" s="601"/>
      <c r="K400" s="13">
        <f t="shared" si="93"/>
        <v>1</v>
      </c>
      <c r="L400" s="601"/>
      <c r="M400" s="13">
        <f t="shared" si="94"/>
        <v>1</v>
      </c>
      <c r="N400" s="601"/>
      <c r="O400" s="13">
        <f t="shared" si="95"/>
        <v>1</v>
      </c>
      <c r="P400" s="601"/>
      <c r="Q400" s="13">
        <f t="shared" si="96"/>
        <v>0</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0</v>
      </c>
      <c r="F401" s="601"/>
      <c r="G401" s="13">
        <f t="shared" si="91"/>
        <v>0</v>
      </c>
      <c r="H401" s="601"/>
      <c r="I401" s="13">
        <f t="shared" si="92"/>
        <v>1</v>
      </c>
      <c r="J401" s="601"/>
      <c r="K401" s="13">
        <f t="shared" si="93"/>
        <v>1</v>
      </c>
      <c r="L401" s="601"/>
      <c r="M401" s="13">
        <f t="shared" si="94"/>
        <v>1</v>
      </c>
      <c r="N401" s="601"/>
      <c r="O401" s="13">
        <f t="shared" si="95"/>
        <v>1</v>
      </c>
      <c r="P401" s="601"/>
      <c r="Q401" s="13">
        <f t="shared" si="96"/>
        <v>0</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0</v>
      </c>
      <c r="F402" s="601"/>
      <c r="G402" s="13">
        <f t="shared" si="91"/>
        <v>0</v>
      </c>
      <c r="H402" s="601"/>
      <c r="I402" s="13">
        <f t="shared" si="92"/>
        <v>1</v>
      </c>
      <c r="J402" s="601"/>
      <c r="K402" s="13">
        <f t="shared" si="93"/>
        <v>1</v>
      </c>
      <c r="L402" s="601"/>
      <c r="M402" s="13">
        <f t="shared" si="94"/>
        <v>1</v>
      </c>
      <c r="N402" s="601"/>
      <c r="O402" s="13">
        <f t="shared" si="95"/>
        <v>1</v>
      </c>
      <c r="P402" s="601"/>
      <c r="Q402" s="13">
        <f t="shared" si="96"/>
        <v>0</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0</v>
      </c>
      <c r="F403" s="601"/>
      <c r="G403" s="13">
        <f t="shared" si="91"/>
        <v>0</v>
      </c>
      <c r="H403" s="601"/>
      <c r="I403" s="13">
        <f t="shared" si="92"/>
        <v>1</v>
      </c>
      <c r="J403" s="601"/>
      <c r="K403" s="13">
        <f t="shared" si="93"/>
        <v>1</v>
      </c>
      <c r="L403" s="601"/>
      <c r="M403" s="13">
        <f t="shared" si="94"/>
        <v>1</v>
      </c>
      <c r="N403" s="601"/>
      <c r="O403" s="13">
        <f t="shared" si="95"/>
        <v>1</v>
      </c>
      <c r="P403" s="601"/>
      <c r="Q403" s="13">
        <f t="shared" si="96"/>
        <v>0</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0</v>
      </c>
      <c r="F404" s="601"/>
      <c r="G404" s="13">
        <f t="shared" si="91"/>
        <v>0</v>
      </c>
      <c r="H404" s="601"/>
      <c r="I404" s="13">
        <f t="shared" si="92"/>
        <v>1</v>
      </c>
      <c r="J404" s="601"/>
      <c r="K404" s="13">
        <f t="shared" si="93"/>
        <v>1</v>
      </c>
      <c r="L404" s="601"/>
      <c r="M404" s="13">
        <f t="shared" si="94"/>
        <v>1</v>
      </c>
      <c r="N404" s="601"/>
      <c r="O404" s="13">
        <f t="shared" si="95"/>
        <v>1</v>
      </c>
      <c r="P404" s="601"/>
      <c r="Q404" s="13">
        <f t="shared" si="96"/>
        <v>0</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0</v>
      </c>
      <c r="F405" s="601"/>
      <c r="G405" s="13">
        <f t="shared" si="91"/>
        <v>0</v>
      </c>
      <c r="H405" s="601"/>
      <c r="I405" s="13">
        <f t="shared" si="92"/>
        <v>1</v>
      </c>
      <c r="J405" s="601"/>
      <c r="K405" s="13">
        <f t="shared" si="93"/>
        <v>1</v>
      </c>
      <c r="L405" s="601"/>
      <c r="M405" s="13">
        <f t="shared" si="94"/>
        <v>1</v>
      </c>
      <c r="N405" s="601"/>
      <c r="O405" s="13">
        <f t="shared" si="95"/>
        <v>1</v>
      </c>
      <c r="P405" s="601"/>
      <c r="Q405" s="13">
        <f t="shared" si="96"/>
        <v>0</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0</v>
      </c>
      <c r="F406" s="601"/>
      <c r="G406" s="13">
        <f t="shared" si="91"/>
        <v>0</v>
      </c>
      <c r="H406" s="601"/>
      <c r="I406" s="13">
        <f t="shared" si="92"/>
        <v>1</v>
      </c>
      <c r="J406" s="601"/>
      <c r="K406" s="13">
        <f t="shared" si="93"/>
        <v>1</v>
      </c>
      <c r="L406" s="601"/>
      <c r="M406" s="13">
        <f t="shared" si="94"/>
        <v>1</v>
      </c>
      <c r="N406" s="601"/>
      <c r="O406" s="13">
        <f t="shared" si="95"/>
        <v>1</v>
      </c>
      <c r="P406" s="601"/>
      <c r="Q406" s="13">
        <f t="shared" si="96"/>
        <v>0</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0</v>
      </c>
      <c r="F407" s="601"/>
      <c r="G407" s="13">
        <f t="shared" si="91"/>
        <v>0</v>
      </c>
      <c r="H407" s="601"/>
      <c r="I407" s="13">
        <f t="shared" si="92"/>
        <v>1</v>
      </c>
      <c r="J407" s="601"/>
      <c r="K407" s="13">
        <f t="shared" si="93"/>
        <v>1</v>
      </c>
      <c r="L407" s="601"/>
      <c r="M407" s="13">
        <f t="shared" si="94"/>
        <v>1</v>
      </c>
      <c r="N407" s="601"/>
      <c r="O407" s="13">
        <f t="shared" si="95"/>
        <v>1</v>
      </c>
      <c r="P407" s="601"/>
      <c r="Q407" s="13">
        <f t="shared" si="96"/>
        <v>0</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0</v>
      </c>
      <c r="F408" s="601"/>
      <c r="G408" s="13">
        <f t="shared" si="91"/>
        <v>0</v>
      </c>
      <c r="H408" s="601"/>
      <c r="I408" s="13">
        <f t="shared" si="92"/>
        <v>1</v>
      </c>
      <c r="J408" s="601"/>
      <c r="K408" s="13">
        <f t="shared" si="93"/>
        <v>1</v>
      </c>
      <c r="L408" s="601"/>
      <c r="M408" s="13">
        <f t="shared" si="94"/>
        <v>1</v>
      </c>
      <c r="N408" s="601"/>
      <c r="O408" s="13">
        <f t="shared" si="95"/>
        <v>1</v>
      </c>
      <c r="P408" s="601"/>
      <c r="Q408" s="13">
        <f t="shared" si="96"/>
        <v>0</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0</v>
      </c>
      <c r="F409" s="601"/>
      <c r="G409" s="13">
        <f t="shared" si="91"/>
        <v>0</v>
      </c>
      <c r="H409" s="601"/>
      <c r="I409" s="13">
        <f t="shared" si="92"/>
        <v>1</v>
      </c>
      <c r="J409" s="601"/>
      <c r="K409" s="13">
        <f t="shared" si="93"/>
        <v>1</v>
      </c>
      <c r="L409" s="601"/>
      <c r="M409" s="13">
        <f t="shared" si="94"/>
        <v>1</v>
      </c>
      <c r="N409" s="601"/>
      <c r="O409" s="13">
        <f t="shared" si="95"/>
        <v>1</v>
      </c>
      <c r="P409" s="601"/>
      <c r="Q409" s="13">
        <f t="shared" si="96"/>
        <v>0</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0</v>
      </c>
      <c r="F410" s="601"/>
      <c r="G410" s="13">
        <f t="shared" si="91"/>
        <v>0</v>
      </c>
      <c r="H410" s="601"/>
      <c r="I410" s="13">
        <f t="shared" si="92"/>
        <v>1</v>
      </c>
      <c r="J410" s="601"/>
      <c r="K410" s="13">
        <f t="shared" si="93"/>
        <v>1</v>
      </c>
      <c r="L410" s="601"/>
      <c r="M410" s="13">
        <f t="shared" si="94"/>
        <v>1</v>
      </c>
      <c r="N410" s="601"/>
      <c r="O410" s="13">
        <f t="shared" si="95"/>
        <v>1</v>
      </c>
      <c r="P410" s="601"/>
      <c r="Q410" s="13">
        <f t="shared" si="96"/>
        <v>0</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0</v>
      </c>
      <c r="F411" s="601"/>
      <c r="G411" s="13">
        <f t="shared" si="91"/>
        <v>0</v>
      </c>
      <c r="H411" s="601"/>
      <c r="I411" s="13">
        <f t="shared" si="92"/>
        <v>1</v>
      </c>
      <c r="J411" s="601"/>
      <c r="K411" s="13">
        <f t="shared" si="93"/>
        <v>1</v>
      </c>
      <c r="L411" s="601"/>
      <c r="M411" s="13">
        <f t="shared" si="94"/>
        <v>1</v>
      </c>
      <c r="N411" s="601"/>
      <c r="O411" s="13">
        <f t="shared" si="95"/>
        <v>1</v>
      </c>
      <c r="P411" s="601"/>
      <c r="Q411" s="13">
        <f t="shared" si="96"/>
        <v>0</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0</v>
      </c>
      <c r="F412" s="601"/>
      <c r="G412" s="13">
        <f t="shared" ref="G412:G475" si="106">(SUMIF($10:$10,F412,$11:$11)-SUMIF($10:$10,$F$27,$11:$11)+100)/100</f>
        <v>0</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0</v>
      </c>
      <c r="F413" s="601"/>
      <c r="G413" s="13">
        <f t="shared" si="106"/>
        <v>0</v>
      </c>
      <c r="H413" s="601"/>
      <c r="I413" s="13">
        <f t="shared" si="107"/>
        <v>1</v>
      </c>
      <c r="J413" s="601"/>
      <c r="K413" s="13">
        <f t="shared" si="108"/>
        <v>1</v>
      </c>
      <c r="L413" s="601"/>
      <c r="M413" s="13">
        <f t="shared" si="109"/>
        <v>1</v>
      </c>
      <c r="N413" s="601"/>
      <c r="O413" s="13">
        <f t="shared" si="110"/>
        <v>1</v>
      </c>
      <c r="P413" s="601"/>
      <c r="Q413" s="13">
        <f t="shared" si="111"/>
        <v>0</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0</v>
      </c>
      <c r="F414" s="601"/>
      <c r="G414" s="13">
        <f t="shared" si="106"/>
        <v>0</v>
      </c>
      <c r="H414" s="601"/>
      <c r="I414" s="13">
        <f t="shared" si="107"/>
        <v>1</v>
      </c>
      <c r="J414" s="601"/>
      <c r="K414" s="13">
        <f t="shared" si="108"/>
        <v>1</v>
      </c>
      <c r="L414" s="601"/>
      <c r="M414" s="13">
        <f t="shared" si="109"/>
        <v>1</v>
      </c>
      <c r="N414" s="601"/>
      <c r="O414" s="13">
        <f t="shared" si="110"/>
        <v>1</v>
      </c>
      <c r="P414" s="601"/>
      <c r="Q414" s="13">
        <f t="shared" si="111"/>
        <v>0</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0</v>
      </c>
      <c r="F415" s="601"/>
      <c r="G415" s="13">
        <f t="shared" si="106"/>
        <v>0</v>
      </c>
      <c r="H415" s="601"/>
      <c r="I415" s="13">
        <f t="shared" si="107"/>
        <v>1</v>
      </c>
      <c r="J415" s="601"/>
      <c r="K415" s="13">
        <f t="shared" si="108"/>
        <v>1</v>
      </c>
      <c r="L415" s="601"/>
      <c r="M415" s="13">
        <f t="shared" si="109"/>
        <v>1</v>
      </c>
      <c r="N415" s="601"/>
      <c r="O415" s="13">
        <f t="shared" si="110"/>
        <v>1</v>
      </c>
      <c r="P415" s="601"/>
      <c r="Q415" s="13">
        <f t="shared" si="111"/>
        <v>0</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0</v>
      </c>
      <c r="F416" s="601"/>
      <c r="G416" s="13">
        <f t="shared" si="106"/>
        <v>0</v>
      </c>
      <c r="H416" s="601"/>
      <c r="I416" s="13">
        <f t="shared" si="107"/>
        <v>1</v>
      </c>
      <c r="J416" s="601"/>
      <c r="K416" s="13">
        <f t="shared" si="108"/>
        <v>1</v>
      </c>
      <c r="L416" s="601"/>
      <c r="M416" s="13">
        <f t="shared" si="109"/>
        <v>1</v>
      </c>
      <c r="N416" s="601"/>
      <c r="O416" s="13">
        <f t="shared" si="110"/>
        <v>1</v>
      </c>
      <c r="P416" s="601"/>
      <c r="Q416" s="13">
        <f t="shared" si="111"/>
        <v>0</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0</v>
      </c>
      <c r="F417" s="601"/>
      <c r="G417" s="13">
        <f t="shared" si="106"/>
        <v>0</v>
      </c>
      <c r="H417" s="601"/>
      <c r="I417" s="13">
        <f t="shared" si="107"/>
        <v>1</v>
      </c>
      <c r="J417" s="601"/>
      <c r="K417" s="13">
        <f t="shared" si="108"/>
        <v>1</v>
      </c>
      <c r="L417" s="601"/>
      <c r="M417" s="13">
        <f t="shared" si="109"/>
        <v>1</v>
      </c>
      <c r="N417" s="601"/>
      <c r="O417" s="13">
        <f t="shared" si="110"/>
        <v>1</v>
      </c>
      <c r="P417" s="601"/>
      <c r="Q417" s="13">
        <f t="shared" si="111"/>
        <v>0</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0</v>
      </c>
      <c r="F418" s="601"/>
      <c r="G418" s="13">
        <f t="shared" si="106"/>
        <v>0</v>
      </c>
      <c r="H418" s="601"/>
      <c r="I418" s="13">
        <f t="shared" si="107"/>
        <v>1</v>
      </c>
      <c r="J418" s="601"/>
      <c r="K418" s="13">
        <f t="shared" si="108"/>
        <v>1</v>
      </c>
      <c r="L418" s="601"/>
      <c r="M418" s="13">
        <f t="shared" si="109"/>
        <v>1</v>
      </c>
      <c r="N418" s="601"/>
      <c r="O418" s="13">
        <f t="shared" si="110"/>
        <v>1</v>
      </c>
      <c r="P418" s="601"/>
      <c r="Q418" s="13">
        <f t="shared" si="111"/>
        <v>0</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0</v>
      </c>
      <c r="F419" s="601"/>
      <c r="G419" s="13">
        <f t="shared" si="106"/>
        <v>0</v>
      </c>
      <c r="H419" s="601"/>
      <c r="I419" s="13">
        <f t="shared" si="107"/>
        <v>1</v>
      </c>
      <c r="J419" s="601"/>
      <c r="K419" s="13">
        <f t="shared" si="108"/>
        <v>1</v>
      </c>
      <c r="L419" s="601"/>
      <c r="M419" s="13">
        <f t="shared" si="109"/>
        <v>1</v>
      </c>
      <c r="N419" s="601"/>
      <c r="O419" s="13">
        <f t="shared" si="110"/>
        <v>1</v>
      </c>
      <c r="P419" s="601"/>
      <c r="Q419" s="13">
        <f t="shared" si="111"/>
        <v>0</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0</v>
      </c>
      <c r="F420" s="601"/>
      <c r="G420" s="13">
        <f t="shared" si="106"/>
        <v>0</v>
      </c>
      <c r="H420" s="601"/>
      <c r="I420" s="13">
        <f t="shared" si="107"/>
        <v>1</v>
      </c>
      <c r="J420" s="601"/>
      <c r="K420" s="13">
        <f t="shared" si="108"/>
        <v>1</v>
      </c>
      <c r="L420" s="601"/>
      <c r="M420" s="13">
        <f t="shared" si="109"/>
        <v>1</v>
      </c>
      <c r="N420" s="601"/>
      <c r="O420" s="13">
        <f t="shared" si="110"/>
        <v>1</v>
      </c>
      <c r="P420" s="601"/>
      <c r="Q420" s="13">
        <f t="shared" si="111"/>
        <v>0</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0</v>
      </c>
      <c r="F421" s="601"/>
      <c r="G421" s="13">
        <f t="shared" si="106"/>
        <v>0</v>
      </c>
      <c r="H421" s="601"/>
      <c r="I421" s="13">
        <f t="shared" si="107"/>
        <v>1</v>
      </c>
      <c r="J421" s="601"/>
      <c r="K421" s="13">
        <f t="shared" si="108"/>
        <v>1</v>
      </c>
      <c r="L421" s="601"/>
      <c r="M421" s="13">
        <f t="shared" si="109"/>
        <v>1</v>
      </c>
      <c r="N421" s="601"/>
      <c r="O421" s="13">
        <f t="shared" si="110"/>
        <v>1</v>
      </c>
      <c r="P421" s="601"/>
      <c r="Q421" s="13">
        <f t="shared" si="111"/>
        <v>0</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0</v>
      </c>
      <c r="F422" s="601"/>
      <c r="G422" s="13">
        <f t="shared" si="106"/>
        <v>0</v>
      </c>
      <c r="H422" s="601"/>
      <c r="I422" s="13">
        <f t="shared" si="107"/>
        <v>1</v>
      </c>
      <c r="J422" s="601"/>
      <c r="K422" s="13">
        <f t="shared" si="108"/>
        <v>1</v>
      </c>
      <c r="L422" s="601"/>
      <c r="M422" s="13">
        <f t="shared" si="109"/>
        <v>1</v>
      </c>
      <c r="N422" s="601"/>
      <c r="O422" s="13">
        <f t="shared" si="110"/>
        <v>1</v>
      </c>
      <c r="P422" s="601"/>
      <c r="Q422" s="13">
        <f t="shared" si="111"/>
        <v>0</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0</v>
      </c>
      <c r="F423" s="601"/>
      <c r="G423" s="13">
        <f t="shared" si="106"/>
        <v>0</v>
      </c>
      <c r="H423" s="601"/>
      <c r="I423" s="13">
        <f t="shared" si="107"/>
        <v>1</v>
      </c>
      <c r="J423" s="601"/>
      <c r="K423" s="13">
        <f t="shared" si="108"/>
        <v>1</v>
      </c>
      <c r="L423" s="601"/>
      <c r="M423" s="13">
        <f t="shared" si="109"/>
        <v>1</v>
      </c>
      <c r="N423" s="601"/>
      <c r="O423" s="13">
        <f t="shared" si="110"/>
        <v>1</v>
      </c>
      <c r="P423" s="601"/>
      <c r="Q423" s="13">
        <f t="shared" si="111"/>
        <v>0</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0</v>
      </c>
      <c r="F424" s="601"/>
      <c r="G424" s="13">
        <f t="shared" si="106"/>
        <v>0</v>
      </c>
      <c r="H424" s="601"/>
      <c r="I424" s="13">
        <f t="shared" si="107"/>
        <v>1</v>
      </c>
      <c r="J424" s="601"/>
      <c r="K424" s="13">
        <f t="shared" si="108"/>
        <v>1</v>
      </c>
      <c r="L424" s="601"/>
      <c r="M424" s="13">
        <f t="shared" si="109"/>
        <v>1</v>
      </c>
      <c r="N424" s="601"/>
      <c r="O424" s="13">
        <f t="shared" si="110"/>
        <v>1</v>
      </c>
      <c r="P424" s="601"/>
      <c r="Q424" s="13">
        <f t="shared" si="111"/>
        <v>0</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0</v>
      </c>
      <c r="F425" s="601"/>
      <c r="G425" s="13">
        <f t="shared" si="106"/>
        <v>0</v>
      </c>
      <c r="H425" s="601"/>
      <c r="I425" s="13">
        <f t="shared" si="107"/>
        <v>1</v>
      </c>
      <c r="J425" s="601"/>
      <c r="K425" s="13">
        <f t="shared" si="108"/>
        <v>1</v>
      </c>
      <c r="L425" s="601"/>
      <c r="M425" s="13">
        <f t="shared" si="109"/>
        <v>1</v>
      </c>
      <c r="N425" s="601"/>
      <c r="O425" s="13">
        <f t="shared" si="110"/>
        <v>1</v>
      </c>
      <c r="P425" s="601"/>
      <c r="Q425" s="13">
        <f t="shared" si="111"/>
        <v>0</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0</v>
      </c>
      <c r="F426" s="601"/>
      <c r="G426" s="13">
        <f t="shared" si="106"/>
        <v>0</v>
      </c>
      <c r="H426" s="601"/>
      <c r="I426" s="13">
        <f t="shared" si="107"/>
        <v>1</v>
      </c>
      <c r="J426" s="601"/>
      <c r="K426" s="13">
        <f t="shared" si="108"/>
        <v>1</v>
      </c>
      <c r="L426" s="601"/>
      <c r="M426" s="13">
        <f t="shared" si="109"/>
        <v>1</v>
      </c>
      <c r="N426" s="601"/>
      <c r="O426" s="13">
        <f t="shared" si="110"/>
        <v>1</v>
      </c>
      <c r="P426" s="601"/>
      <c r="Q426" s="13">
        <f t="shared" si="111"/>
        <v>0</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0</v>
      </c>
      <c r="F427" s="601"/>
      <c r="G427" s="13">
        <f t="shared" si="106"/>
        <v>0</v>
      </c>
      <c r="H427" s="601"/>
      <c r="I427" s="13">
        <f t="shared" si="107"/>
        <v>1</v>
      </c>
      <c r="J427" s="601"/>
      <c r="K427" s="13">
        <f t="shared" si="108"/>
        <v>1</v>
      </c>
      <c r="L427" s="601"/>
      <c r="M427" s="13">
        <f t="shared" si="109"/>
        <v>1</v>
      </c>
      <c r="N427" s="601"/>
      <c r="O427" s="13">
        <f t="shared" si="110"/>
        <v>1</v>
      </c>
      <c r="P427" s="601"/>
      <c r="Q427" s="13">
        <f t="shared" si="111"/>
        <v>0</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0</v>
      </c>
      <c r="F428" s="601"/>
      <c r="G428" s="13">
        <f t="shared" si="106"/>
        <v>0</v>
      </c>
      <c r="H428" s="601"/>
      <c r="I428" s="13">
        <f t="shared" si="107"/>
        <v>1</v>
      </c>
      <c r="J428" s="601"/>
      <c r="K428" s="13">
        <f t="shared" si="108"/>
        <v>1</v>
      </c>
      <c r="L428" s="601"/>
      <c r="M428" s="13">
        <f t="shared" si="109"/>
        <v>1</v>
      </c>
      <c r="N428" s="601"/>
      <c r="O428" s="13">
        <f t="shared" si="110"/>
        <v>1</v>
      </c>
      <c r="P428" s="601"/>
      <c r="Q428" s="13">
        <f t="shared" si="111"/>
        <v>0</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0</v>
      </c>
      <c r="F429" s="601"/>
      <c r="G429" s="13">
        <f t="shared" si="106"/>
        <v>0</v>
      </c>
      <c r="H429" s="601"/>
      <c r="I429" s="13">
        <f t="shared" si="107"/>
        <v>1</v>
      </c>
      <c r="J429" s="601"/>
      <c r="K429" s="13">
        <f t="shared" si="108"/>
        <v>1</v>
      </c>
      <c r="L429" s="601"/>
      <c r="M429" s="13">
        <f t="shared" si="109"/>
        <v>1</v>
      </c>
      <c r="N429" s="601"/>
      <c r="O429" s="13">
        <f t="shared" si="110"/>
        <v>1</v>
      </c>
      <c r="P429" s="601"/>
      <c r="Q429" s="13">
        <f t="shared" si="111"/>
        <v>0</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0</v>
      </c>
      <c r="F430" s="601"/>
      <c r="G430" s="13">
        <f t="shared" si="106"/>
        <v>0</v>
      </c>
      <c r="H430" s="601"/>
      <c r="I430" s="13">
        <f t="shared" si="107"/>
        <v>1</v>
      </c>
      <c r="J430" s="601"/>
      <c r="K430" s="13">
        <f t="shared" si="108"/>
        <v>1</v>
      </c>
      <c r="L430" s="601"/>
      <c r="M430" s="13">
        <f t="shared" si="109"/>
        <v>1</v>
      </c>
      <c r="N430" s="601"/>
      <c r="O430" s="13">
        <f t="shared" si="110"/>
        <v>1</v>
      </c>
      <c r="P430" s="601"/>
      <c r="Q430" s="13">
        <f t="shared" si="111"/>
        <v>0</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0</v>
      </c>
      <c r="F431" s="601"/>
      <c r="G431" s="13">
        <f t="shared" si="106"/>
        <v>0</v>
      </c>
      <c r="H431" s="601"/>
      <c r="I431" s="13">
        <f t="shared" si="107"/>
        <v>1</v>
      </c>
      <c r="J431" s="601"/>
      <c r="K431" s="13">
        <f t="shared" si="108"/>
        <v>1</v>
      </c>
      <c r="L431" s="601"/>
      <c r="M431" s="13">
        <f t="shared" si="109"/>
        <v>1</v>
      </c>
      <c r="N431" s="601"/>
      <c r="O431" s="13">
        <f t="shared" si="110"/>
        <v>1</v>
      </c>
      <c r="P431" s="601"/>
      <c r="Q431" s="13">
        <f t="shared" si="111"/>
        <v>0</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0</v>
      </c>
      <c r="F432" s="601"/>
      <c r="G432" s="13">
        <f t="shared" si="106"/>
        <v>0</v>
      </c>
      <c r="H432" s="601"/>
      <c r="I432" s="13">
        <f t="shared" si="107"/>
        <v>1</v>
      </c>
      <c r="J432" s="601"/>
      <c r="K432" s="13">
        <f t="shared" si="108"/>
        <v>1</v>
      </c>
      <c r="L432" s="601"/>
      <c r="M432" s="13">
        <f t="shared" si="109"/>
        <v>1</v>
      </c>
      <c r="N432" s="601"/>
      <c r="O432" s="13">
        <f t="shared" si="110"/>
        <v>1</v>
      </c>
      <c r="P432" s="601"/>
      <c r="Q432" s="13">
        <f t="shared" si="111"/>
        <v>0</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0</v>
      </c>
      <c r="F433" s="601"/>
      <c r="G433" s="13">
        <f t="shared" si="106"/>
        <v>0</v>
      </c>
      <c r="H433" s="601"/>
      <c r="I433" s="13">
        <f t="shared" si="107"/>
        <v>1</v>
      </c>
      <c r="J433" s="601"/>
      <c r="K433" s="13">
        <f t="shared" si="108"/>
        <v>1</v>
      </c>
      <c r="L433" s="601"/>
      <c r="M433" s="13">
        <f t="shared" si="109"/>
        <v>1</v>
      </c>
      <c r="N433" s="601"/>
      <c r="O433" s="13">
        <f t="shared" si="110"/>
        <v>1</v>
      </c>
      <c r="P433" s="601"/>
      <c r="Q433" s="13">
        <f t="shared" si="111"/>
        <v>0</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0</v>
      </c>
      <c r="F434" s="601"/>
      <c r="G434" s="13">
        <f t="shared" si="106"/>
        <v>0</v>
      </c>
      <c r="H434" s="601"/>
      <c r="I434" s="13">
        <f t="shared" si="107"/>
        <v>1</v>
      </c>
      <c r="J434" s="601"/>
      <c r="K434" s="13">
        <f t="shared" si="108"/>
        <v>1</v>
      </c>
      <c r="L434" s="601"/>
      <c r="M434" s="13">
        <f t="shared" si="109"/>
        <v>1</v>
      </c>
      <c r="N434" s="601"/>
      <c r="O434" s="13">
        <f t="shared" si="110"/>
        <v>1</v>
      </c>
      <c r="P434" s="601"/>
      <c r="Q434" s="13">
        <f t="shared" si="111"/>
        <v>0</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0</v>
      </c>
      <c r="F435" s="601"/>
      <c r="G435" s="13">
        <f t="shared" si="106"/>
        <v>0</v>
      </c>
      <c r="H435" s="601"/>
      <c r="I435" s="13">
        <f t="shared" si="107"/>
        <v>1</v>
      </c>
      <c r="J435" s="601"/>
      <c r="K435" s="13">
        <f t="shared" si="108"/>
        <v>1</v>
      </c>
      <c r="L435" s="601"/>
      <c r="M435" s="13">
        <f t="shared" si="109"/>
        <v>1</v>
      </c>
      <c r="N435" s="601"/>
      <c r="O435" s="13">
        <f t="shared" si="110"/>
        <v>1</v>
      </c>
      <c r="P435" s="601"/>
      <c r="Q435" s="13">
        <f t="shared" si="111"/>
        <v>0</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0</v>
      </c>
      <c r="F436" s="601"/>
      <c r="G436" s="13">
        <f t="shared" si="106"/>
        <v>0</v>
      </c>
      <c r="H436" s="601"/>
      <c r="I436" s="13">
        <f t="shared" si="107"/>
        <v>1</v>
      </c>
      <c r="J436" s="601"/>
      <c r="K436" s="13">
        <f t="shared" si="108"/>
        <v>1</v>
      </c>
      <c r="L436" s="601"/>
      <c r="M436" s="13">
        <f t="shared" si="109"/>
        <v>1</v>
      </c>
      <c r="N436" s="601"/>
      <c r="O436" s="13">
        <f t="shared" si="110"/>
        <v>1</v>
      </c>
      <c r="P436" s="601"/>
      <c r="Q436" s="13">
        <f t="shared" si="111"/>
        <v>0</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0</v>
      </c>
      <c r="F437" s="601"/>
      <c r="G437" s="13">
        <f t="shared" si="106"/>
        <v>0</v>
      </c>
      <c r="H437" s="601"/>
      <c r="I437" s="13">
        <f t="shared" si="107"/>
        <v>1</v>
      </c>
      <c r="J437" s="601"/>
      <c r="K437" s="13">
        <f t="shared" si="108"/>
        <v>1</v>
      </c>
      <c r="L437" s="601"/>
      <c r="M437" s="13">
        <f t="shared" si="109"/>
        <v>1</v>
      </c>
      <c r="N437" s="601"/>
      <c r="O437" s="13">
        <f t="shared" si="110"/>
        <v>1</v>
      </c>
      <c r="P437" s="601"/>
      <c r="Q437" s="13">
        <f t="shared" si="111"/>
        <v>0</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0</v>
      </c>
      <c r="F438" s="601"/>
      <c r="G438" s="13">
        <f t="shared" si="106"/>
        <v>0</v>
      </c>
      <c r="H438" s="601"/>
      <c r="I438" s="13">
        <f t="shared" si="107"/>
        <v>1</v>
      </c>
      <c r="J438" s="601"/>
      <c r="K438" s="13">
        <f t="shared" si="108"/>
        <v>1</v>
      </c>
      <c r="L438" s="601"/>
      <c r="M438" s="13">
        <f t="shared" si="109"/>
        <v>1</v>
      </c>
      <c r="N438" s="601"/>
      <c r="O438" s="13">
        <f t="shared" si="110"/>
        <v>1</v>
      </c>
      <c r="P438" s="601"/>
      <c r="Q438" s="13">
        <f t="shared" si="111"/>
        <v>0</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0</v>
      </c>
      <c r="F439" s="601"/>
      <c r="G439" s="13">
        <f t="shared" si="106"/>
        <v>0</v>
      </c>
      <c r="H439" s="601"/>
      <c r="I439" s="13">
        <f t="shared" si="107"/>
        <v>1</v>
      </c>
      <c r="J439" s="601"/>
      <c r="K439" s="13">
        <f t="shared" si="108"/>
        <v>1</v>
      </c>
      <c r="L439" s="601"/>
      <c r="M439" s="13">
        <f t="shared" si="109"/>
        <v>1</v>
      </c>
      <c r="N439" s="601"/>
      <c r="O439" s="13">
        <f t="shared" si="110"/>
        <v>1</v>
      </c>
      <c r="P439" s="601"/>
      <c r="Q439" s="13">
        <f t="shared" si="111"/>
        <v>0</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0</v>
      </c>
      <c r="F440" s="601"/>
      <c r="G440" s="13">
        <f t="shared" si="106"/>
        <v>0</v>
      </c>
      <c r="H440" s="601"/>
      <c r="I440" s="13">
        <f t="shared" si="107"/>
        <v>1</v>
      </c>
      <c r="J440" s="601"/>
      <c r="K440" s="13">
        <f t="shared" si="108"/>
        <v>1</v>
      </c>
      <c r="L440" s="601"/>
      <c r="M440" s="13">
        <f t="shared" si="109"/>
        <v>1</v>
      </c>
      <c r="N440" s="601"/>
      <c r="O440" s="13">
        <f t="shared" si="110"/>
        <v>1</v>
      </c>
      <c r="P440" s="601"/>
      <c r="Q440" s="13">
        <f t="shared" si="111"/>
        <v>0</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0</v>
      </c>
      <c r="F441" s="601"/>
      <c r="G441" s="13">
        <f t="shared" si="106"/>
        <v>0</v>
      </c>
      <c r="H441" s="601"/>
      <c r="I441" s="13">
        <f t="shared" si="107"/>
        <v>1</v>
      </c>
      <c r="J441" s="601"/>
      <c r="K441" s="13">
        <f t="shared" si="108"/>
        <v>1</v>
      </c>
      <c r="L441" s="601"/>
      <c r="M441" s="13">
        <f t="shared" si="109"/>
        <v>1</v>
      </c>
      <c r="N441" s="601"/>
      <c r="O441" s="13">
        <f t="shared" si="110"/>
        <v>1</v>
      </c>
      <c r="P441" s="601"/>
      <c r="Q441" s="13">
        <f t="shared" si="111"/>
        <v>0</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0</v>
      </c>
      <c r="F442" s="601"/>
      <c r="G442" s="13">
        <f t="shared" si="106"/>
        <v>0</v>
      </c>
      <c r="H442" s="601"/>
      <c r="I442" s="13">
        <f t="shared" si="107"/>
        <v>1</v>
      </c>
      <c r="J442" s="601"/>
      <c r="K442" s="13">
        <f t="shared" si="108"/>
        <v>1</v>
      </c>
      <c r="L442" s="601"/>
      <c r="M442" s="13">
        <f t="shared" si="109"/>
        <v>1</v>
      </c>
      <c r="N442" s="601"/>
      <c r="O442" s="13">
        <f t="shared" si="110"/>
        <v>1</v>
      </c>
      <c r="P442" s="601"/>
      <c r="Q442" s="13">
        <f t="shared" si="111"/>
        <v>0</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0</v>
      </c>
      <c r="F443" s="601"/>
      <c r="G443" s="13">
        <f t="shared" si="106"/>
        <v>0</v>
      </c>
      <c r="H443" s="601"/>
      <c r="I443" s="13">
        <f t="shared" si="107"/>
        <v>1</v>
      </c>
      <c r="J443" s="601"/>
      <c r="K443" s="13">
        <f t="shared" si="108"/>
        <v>1</v>
      </c>
      <c r="L443" s="601"/>
      <c r="M443" s="13">
        <f t="shared" si="109"/>
        <v>1</v>
      </c>
      <c r="N443" s="601"/>
      <c r="O443" s="13">
        <f t="shared" si="110"/>
        <v>1</v>
      </c>
      <c r="P443" s="601"/>
      <c r="Q443" s="13">
        <f t="shared" si="111"/>
        <v>0</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0</v>
      </c>
      <c r="F444" s="601"/>
      <c r="G444" s="13">
        <f t="shared" si="106"/>
        <v>0</v>
      </c>
      <c r="H444" s="601"/>
      <c r="I444" s="13">
        <f t="shared" si="107"/>
        <v>1</v>
      </c>
      <c r="J444" s="601"/>
      <c r="K444" s="13">
        <f t="shared" si="108"/>
        <v>1</v>
      </c>
      <c r="L444" s="601"/>
      <c r="M444" s="13">
        <f t="shared" si="109"/>
        <v>1</v>
      </c>
      <c r="N444" s="601"/>
      <c r="O444" s="13">
        <f t="shared" si="110"/>
        <v>1</v>
      </c>
      <c r="P444" s="601"/>
      <c r="Q444" s="13">
        <f t="shared" si="111"/>
        <v>0</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0</v>
      </c>
      <c r="F445" s="601"/>
      <c r="G445" s="13">
        <f t="shared" si="106"/>
        <v>0</v>
      </c>
      <c r="H445" s="601"/>
      <c r="I445" s="13">
        <f t="shared" si="107"/>
        <v>1</v>
      </c>
      <c r="J445" s="601"/>
      <c r="K445" s="13">
        <f t="shared" si="108"/>
        <v>1</v>
      </c>
      <c r="L445" s="601"/>
      <c r="M445" s="13">
        <f t="shared" si="109"/>
        <v>1</v>
      </c>
      <c r="N445" s="601"/>
      <c r="O445" s="13">
        <f t="shared" si="110"/>
        <v>1</v>
      </c>
      <c r="P445" s="601"/>
      <c r="Q445" s="13">
        <f t="shared" si="111"/>
        <v>0</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0</v>
      </c>
      <c r="F446" s="601"/>
      <c r="G446" s="13">
        <f t="shared" si="106"/>
        <v>0</v>
      </c>
      <c r="H446" s="601"/>
      <c r="I446" s="13">
        <f t="shared" si="107"/>
        <v>1</v>
      </c>
      <c r="J446" s="601"/>
      <c r="K446" s="13">
        <f t="shared" si="108"/>
        <v>1</v>
      </c>
      <c r="L446" s="601"/>
      <c r="M446" s="13">
        <f t="shared" si="109"/>
        <v>1</v>
      </c>
      <c r="N446" s="601"/>
      <c r="O446" s="13">
        <f t="shared" si="110"/>
        <v>1</v>
      </c>
      <c r="P446" s="601"/>
      <c r="Q446" s="13">
        <f t="shared" si="111"/>
        <v>0</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0</v>
      </c>
      <c r="F447" s="601"/>
      <c r="G447" s="13">
        <f t="shared" si="106"/>
        <v>0</v>
      </c>
      <c r="H447" s="601"/>
      <c r="I447" s="13">
        <f t="shared" si="107"/>
        <v>1</v>
      </c>
      <c r="J447" s="601"/>
      <c r="K447" s="13">
        <f t="shared" si="108"/>
        <v>1</v>
      </c>
      <c r="L447" s="601"/>
      <c r="M447" s="13">
        <f t="shared" si="109"/>
        <v>1</v>
      </c>
      <c r="N447" s="601"/>
      <c r="O447" s="13">
        <f t="shared" si="110"/>
        <v>1</v>
      </c>
      <c r="P447" s="601"/>
      <c r="Q447" s="13">
        <f t="shared" si="111"/>
        <v>0</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0</v>
      </c>
      <c r="F448" s="601"/>
      <c r="G448" s="13">
        <f t="shared" si="106"/>
        <v>0</v>
      </c>
      <c r="H448" s="601"/>
      <c r="I448" s="13">
        <f t="shared" si="107"/>
        <v>1</v>
      </c>
      <c r="J448" s="601"/>
      <c r="K448" s="13">
        <f t="shared" si="108"/>
        <v>1</v>
      </c>
      <c r="L448" s="601"/>
      <c r="M448" s="13">
        <f t="shared" si="109"/>
        <v>1</v>
      </c>
      <c r="N448" s="601"/>
      <c r="O448" s="13">
        <f t="shared" si="110"/>
        <v>1</v>
      </c>
      <c r="P448" s="601"/>
      <c r="Q448" s="13">
        <f t="shared" si="111"/>
        <v>0</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0</v>
      </c>
      <c r="F449" s="601"/>
      <c r="G449" s="13">
        <f t="shared" si="106"/>
        <v>0</v>
      </c>
      <c r="H449" s="601"/>
      <c r="I449" s="13">
        <f t="shared" si="107"/>
        <v>1</v>
      </c>
      <c r="J449" s="601"/>
      <c r="K449" s="13">
        <f t="shared" si="108"/>
        <v>1</v>
      </c>
      <c r="L449" s="601"/>
      <c r="M449" s="13">
        <f t="shared" si="109"/>
        <v>1</v>
      </c>
      <c r="N449" s="601"/>
      <c r="O449" s="13">
        <f t="shared" si="110"/>
        <v>1</v>
      </c>
      <c r="P449" s="601"/>
      <c r="Q449" s="13">
        <f t="shared" si="111"/>
        <v>0</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0</v>
      </c>
      <c r="F450" s="601"/>
      <c r="G450" s="13">
        <f t="shared" si="106"/>
        <v>0</v>
      </c>
      <c r="H450" s="601"/>
      <c r="I450" s="13">
        <f t="shared" si="107"/>
        <v>1</v>
      </c>
      <c r="J450" s="601"/>
      <c r="K450" s="13">
        <f t="shared" si="108"/>
        <v>1</v>
      </c>
      <c r="L450" s="601"/>
      <c r="M450" s="13">
        <f t="shared" si="109"/>
        <v>1</v>
      </c>
      <c r="N450" s="601"/>
      <c r="O450" s="13">
        <f t="shared" si="110"/>
        <v>1</v>
      </c>
      <c r="P450" s="601"/>
      <c r="Q450" s="13">
        <f t="shared" si="111"/>
        <v>0</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0</v>
      </c>
      <c r="F451" s="601"/>
      <c r="G451" s="13">
        <f t="shared" si="106"/>
        <v>0</v>
      </c>
      <c r="H451" s="601"/>
      <c r="I451" s="13">
        <f t="shared" si="107"/>
        <v>1</v>
      </c>
      <c r="J451" s="601"/>
      <c r="K451" s="13">
        <f t="shared" si="108"/>
        <v>1</v>
      </c>
      <c r="L451" s="601"/>
      <c r="M451" s="13">
        <f t="shared" si="109"/>
        <v>1</v>
      </c>
      <c r="N451" s="601"/>
      <c r="O451" s="13">
        <f t="shared" si="110"/>
        <v>1</v>
      </c>
      <c r="P451" s="601"/>
      <c r="Q451" s="13">
        <f t="shared" si="111"/>
        <v>0</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0</v>
      </c>
      <c r="F452" s="601"/>
      <c r="G452" s="13">
        <f t="shared" si="106"/>
        <v>0</v>
      </c>
      <c r="H452" s="601"/>
      <c r="I452" s="13">
        <f t="shared" si="107"/>
        <v>1</v>
      </c>
      <c r="J452" s="601"/>
      <c r="K452" s="13">
        <f t="shared" si="108"/>
        <v>1</v>
      </c>
      <c r="L452" s="601"/>
      <c r="M452" s="13">
        <f t="shared" si="109"/>
        <v>1</v>
      </c>
      <c r="N452" s="601"/>
      <c r="O452" s="13">
        <f t="shared" si="110"/>
        <v>1</v>
      </c>
      <c r="P452" s="601"/>
      <c r="Q452" s="13">
        <f t="shared" si="111"/>
        <v>0</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0</v>
      </c>
      <c r="F453" s="601"/>
      <c r="G453" s="13">
        <f t="shared" si="106"/>
        <v>0</v>
      </c>
      <c r="H453" s="601"/>
      <c r="I453" s="13">
        <f t="shared" si="107"/>
        <v>1</v>
      </c>
      <c r="J453" s="601"/>
      <c r="K453" s="13">
        <f t="shared" si="108"/>
        <v>1</v>
      </c>
      <c r="L453" s="601"/>
      <c r="M453" s="13">
        <f t="shared" si="109"/>
        <v>1</v>
      </c>
      <c r="N453" s="601"/>
      <c r="O453" s="13">
        <f t="shared" si="110"/>
        <v>1</v>
      </c>
      <c r="P453" s="601"/>
      <c r="Q453" s="13">
        <f t="shared" si="111"/>
        <v>0</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0</v>
      </c>
      <c r="F454" s="601"/>
      <c r="G454" s="13">
        <f t="shared" si="106"/>
        <v>0</v>
      </c>
      <c r="H454" s="601"/>
      <c r="I454" s="13">
        <f t="shared" si="107"/>
        <v>1</v>
      </c>
      <c r="J454" s="601"/>
      <c r="K454" s="13">
        <f t="shared" si="108"/>
        <v>1</v>
      </c>
      <c r="L454" s="601"/>
      <c r="M454" s="13">
        <f t="shared" si="109"/>
        <v>1</v>
      </c>
      <c r="N454" s="601"/>
      <c r="O454" s="13">
        <f t="shared" si="110"/>
        <v>1</v>
      </c>
      <c r="P454" s="601"/>
      <c r="Q454" s="13">
        <f t="shared" si="111"/>
        <v>0</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0</v>
      </c>
      <c r="F455" s="601"/>
      <c r="G455" s="13">
        <f t="shared" si="106"/>
        <v>0</v>
      </c>
      <c r="H455" s="601"/>
      <c r="I455" s="13">
        <f t="shared" si="107"/>
        <v>1</v>
      </c>
      <c r="J455" s="601"/>
      <c r="K455" s="13">
        <f t="shared" si="108"/>
        <v>1</v>
      </c>
      <c r="L455" s="601"/>
      <c r="M455" s="13">
        <f t="shared" si="109"/>
        <v>1</v>
      </c>
      <c r="N455" s="601"/>
      <c r="O455" s="13">
        <f t="shared" si="110"/>
        <v>1</v>
      </c>
      <c r="P455" s="601"/>
      <c r="Q455" s="13">
        <f t="shared" si="111"/>
        <v>0</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0</v>
      </c>
      <c r="F456" s="601"/>
      <c r="G456" s="13">
        <f t="shared" si="106"/>
        <v>0</v>
      </c>
      <c r="H456" s="601"/>
      <c r="I456" s="13">
        <f t="shared" si="107"/>
        <v>1</v>
      </c>
      <c r="J456" s="601"/>
      <c r="K456" s="13">
        <f t="shared" si="108"/>
        <v>1</v>
      </c>
      <c r="L456" s="601"/>
      <c r="M456" s="13">
        <f t="shared" si="109"/>
        <v>1</v>
      </c>
      <c r="N456" s="601"/>
      <c r="O456" s="13">
        <f t="shared" si="110"/>
        <v>1</v>
      </c>
      <c r="P456" s="601"/>
      <c r="Q456" s="13">
        <f t="shared" si="111"/>
        <v>0</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0</v>
      </c>
      <c r="F457" s="601"/>
      <c r="G457" s="13">
        <f t="shared" si="106"/>
        <v>0</v>
      </c>
      <c r="H457" s="601"/>
      <c r="I457" s="13">
        <f t="shared" si="107"/>
        <v>1</v>
      </c>
      <c r="J457" s="601"/>
      <c r="K457" s="13">
        <f t="shared" si="108"/>
        <v>1</v>
      </c>
      <c r="L457" s="601"/>
      <c r="M457" s="13">
        <f t="shared" si="109"/>
        <v>1</v>
      </c>
      <c r="N457" s="601"/>
      <c r="O457" s="13">
        <f t="shared" si="110"/>
        <v>1</v>
      </c>
      <c r="P457" s="601"/>
      <c r="Q457" s="13">
        <f t="shared" si="111"/>
        <v>0</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0</v>
      </c>
      <c r="F458" s="601"/>
      <c r="G458" s="13">
        <f t="shared" si="106"/>
        <v>0</v>
      </c>
      <c r="H458" s="601"/>
      <c r="I458" s="13">
        <f t="shared" si="107"/>
        <v>1</v>
      </c>
      <c r="J458" s="601"/>
      <c r="K458" s="13">
        <f t="shared" si="108"/>
        <v>1</v>
      </c>
      <c r="L458" s="601"/>
      <c r="M458" s="13">
        <f t="shared" si="109"/>
        <v>1</v>
      </c>
      <c r="N458" s="601"/>
      <c r="O458" s="13">
        <f t="shared" si="110"/>
        <v>1</v>
      </c>
      <c r="P458" s="601"/>
      <c r="Q458" s="13">
        <f t="shared" si="111"/>
        <v>0</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0</v>
      </c>
      <c r="F459" s="601"/>
      <c r="G459" s="13">
        <f t="shared" si="106"/>
        <v>0</v>
      </c>
      <c r="H459" s="601"/>
      <c r="I459" s="13">
        <f t="shared" si="107"/>
        <v>1</v>
      </c>
      <c r="J459" s="601"/>
      <c r="K459" s="13">
        <f t="shared" si="108"/>
        <v>1</v>
      </c>
      <c r="L459" s="601"/>
      <c r="M459" s="13">
        <f t="shared" si="109"/>
        <v>1</v>
      </c>
      <c r="N459" s="601"/>
      <c r="O459" s="13">
        <f t="shared" si="110"/>
        <v>1</v>
      </c>
      <c r="P459" s="601"/>
      <c r="Q459" s="13">
        <f t="shared" si="111"/>
        <v>0</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0</v>
      </c>
      <c r="F460" s="601"/>
      <c r="G460" s="13">
        <f t="shared" si="106"/>
        <v>0</v>
      </c>
      <c r="H460" s="601"/>
      <c r="I460" s="13">
        <f t="shared" si="107"/>
        <v>1</v>
      </c>
      <c r="J460" s="601"/>
      <c r="K460" s="13">
        <f t="shared" si="108"/>
        <v>1</v>
      </c>
      <c r="L460" s="601"/>
      <c r="M460" s="13">
        <f t="shared" si="109"/>
        <v>1</v>
      </c>
      <c r="N460" s="601"/>
      <c r="O460" s="13">
        <f t="shared" si="110"/>
        <v>1</v>
      </c>
      <c r="P460" s="601"/>
      <c r="Q460" s="13">
        <f t="shared" si="111"/>
        <v>0</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0</v>
      </c>
      <c r="F461" s="601"/>
      <c r="G461" s="13">
        <f t="shared" si="106"/>
        <v>0</v>
      </c>
      <c r="H461" s="601"/>
      <c r="I461" s="13">
        <f t="shared" si="107"/>
        <v>1</v>
      </c>
      <c r="J461" s="601"/>
      <c r="K461" s="13">
        <f t="shared" si="108"/>
        <v>1</v>
      </c>
      <c r="L461" s="601"/>
      <c r="M461" s="13">
        <f t="shared" si="109"/>
        <v>1</v>
      </c>
      <c r="N461" s="601"/>
      <c r="O461" s="13">
        <f t="shared" si="110"/>
        <v>1</v>
      </c>
      <c r="P461" s="601"/>
      <c r="Q461" s="13">
        <f t="shared" si="111"/>
        <v>0</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0</v>
      </c>
      <c r="F462" s="601"/>
      <c r="G462" s="13">
        <f t="shared" si="106"/>
        <v>0</v>
      </c>
      <c r="H462" s="601"/>
      <c r="I462" s="13">
        <f t="shared" si="107"/>
        <v>1</v>
      </c>
      <c r="J462" s="601"/>
      <c r="K462" s="13">
        <f t="shared" si="108"/>
        <v>1</v>
      </c>
      <c r="L462" s="601"/>
      <c r="M462" s="13">
        <f t="shared" si="109"/>
        <v>1</v>
      </c>
      <c r="N462" s="601"/>
      <c r="O462" s="13">
        <f t="shared" si="110"/>
        <v>1</v>
      </c>
      <c r="P462" s="601"/>
      <c r="Q462" s="13">
        <f t="shared" si="111"/>
        <v>0</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0</v>
      </c>
      <c r="F463" s="601"/>
      <c r="G463" s="13">
        <f t="shared" si="106"/>
        <v>0</v>
      </c>
      <c r="H463" s="601"/>
      <c r="I463" s="13">
        <f t="shared" si="107"/>
        <v>1</v>
      </c>
      <c r="J463" s="601"/>
      <c r="K463" s="13">
        <f t="shared" si="108"/>
        <v>1</v>
      </c>
      <c r="L463" s="601"/>
      <c r="M463" s="13">
        <f t="shared" si="109"/>
        <v>1</v>
      </c>
      <c r="N463" s="601"/>
      <c r="O463" s="13">
        <f t="shared" si="110"/>
        <v>1</v>
      </c>
      <c r="P463" s="601"/>
      <c r="Q463" s="13">
        <f t="shared" si="111"/>
        <v>0</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0</v>
      </c>
      <c r="F464" s="601"/>
      <c r="G464" s="13">
        <f t="shared" si="106"/>
        <v>0</v>
      </c>
      <c r="H464" s="601"/>
      <c r="I464" s="13">
        <f t="shared" si="107"/>
        <v>1</v>
      </c>
      <c r="J464" s="601"/>
      <c r="K464" s="13">
        <f t="shared" si="108"/>
        <v>1</v>
      </c>
      <c r="L464" s="601"/>
      <c r="M464" s="13">
        <f t="shared" si="109"/>
        <v>1</v>
      </c>
      <c r="N464" s="601"/>
      <c r="O464" s="13">
        <f t="shared" si="110"/>
        <v>1</v>
      </c>
      <c r="P464" s="601"/>
      <c r="Q464" s="13">
        <f t="shared" si="111"/>
        <v>0</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0</v>
      </c>
      <c r="F465" s="601"/>
      <c r="G465" s="13">
        <f t="shared" si="106"/>
        <v>0</v>
      </c>
      <c r="H465" s="601"/>
      <c r="I465" s="13">
        <f t="shared" si="107"/>
        <v>1</v>
      </c>
      <c r="J465" s="601"/>
      <c r="K465" s="13">
        <f t="shared" si="108"/>
        <v>1</v>
      </c>
      <c r="L465" s="601"/>
      <c r="M465" s="13">
        <f t="shared" si="109"/>
        <v>1</v>
      </c>
      <c r="N465" s="601"/>
      <c r="O465" s="13">
        <f t="shared" si="110"/>
        <v>1</v>
      </c>
      <c r="P465" s="601"/>
      <c r="Q465" s="13">
        <f t="shared" si="111"/>
        <v>0</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0</v>
      </c>
      <c r="F466" s="601"/>
      <c r="G466" s="13">
        <f t="shared" si="106"/>
        <v>0</v>
      </c>
      <c r="H466" s="601"/>
      <c r="I466" s="13">
        <f t="shared" si="107"/>
        <v>1</v>
      </c>
      <c r="J466" s="601"/>
      <c r="K466" s="13">
        <f t="shared" si="108"/>
        <v>1</v>
      </c>
      <c r="L466" s="601"/>
      <c r="M466" s="13">
        <f t="shared" si="109"/>
        <v>1</v>
      </c>
      <c r="N466" s="601"/>
      <c r="O466" s="13">
        <f t="shared" si="110"/>
        <v>1</v>
      </c>
      <c r="P466" s="601"/>
      <c r="Q466" s="13">
        <f t="shared" si="111"/>
        <v>0</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0</v>
      </c>
      <c r="F467" s="601"/>
      <c r="G467" s="13">
        <f t="shared" si="106"/>
        <v>0</v>
      </c>
      <c r="H467" s="601"/>
      <c r="I467" s="13">
        <f t="shared" si="107"/>
        <v>1</v>
      </c>
      <c r="J467" s="601"/>
      <c r="K467" s="13">
        <f t="shared" si="108"/>
        <v>1</v>
      </c>
      <c r="L467" s="601"/>
      <c r="M467" s="13">
        <f t="shared" si="109"/>
        <v>1</v>
      </c>
      <c r="N467" s="601"/>
      <c r="O467" s="13">
        <f t="shared" si="110"/>
        <v>1</v>
      </c>
      <c r="P467" s="601"/>
      <c r="Q467" s="13">
        <f t="shared" si="111"/>
        <v>0</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0</v>
      </c>
      <c r="F468" s="601"/>
      <c r="G468" s="13">
        <f t="shared" si="106"/>
        <v>0</v>
      </c>
      <c r="H468" s="601"/>
      <c r="I468" s="13">
        <f t="shared" si="107"/>
        <v>1</v>
      </c>
      <c r="J468" s="601"/>
      <c r="K468" s="13">
        <f t="shared" si="108"/>
        <v>1</v>
      </c>
      <c r="L468" s="601"/>
      <c r="M468" s="13">
        <f t="shared" si="109"/>
        <v>1</v>
      </c>
      <c r="N468" s="601"/>
      <c r="O468" s="13">
        <f t="shared" si="110"/>
        <v>1</v>
      </c>
      <c r="P468" s="601"/>
      <c r="Q468" s="13">
        <f t="shared" si="111"/>
        <v>0</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0</v>
      </c>
      <c r="F469" s="601"/>
      <c r="G469" s="13">
        <f t="shared" si="106"/>
        <v>0</v>
      </c>
      <c r="H469" s="601"/>
      <c r="I469" s="13">
        <f t="shared" si="107"/>
        <v>1</v>
      </c>
      <c r="J469" s="601"/>
      <c r="K469" s="13">
        <f t="shared" si="108"/>
        <v>1</v>
      </c>
      <c r="L469" s="601"/>
      <c r="M469" s="13">
        <f t="shared" si="109"/>
        <v>1</v>
      </c>
      <c r="N469" s="601"/>
      <c r="O469" s="13">
        <f t="shared" si="110"/>
        <v>1</v>
      </c>
      <c r="P469" s="601"/>
      <c r="Q469" s="13">
        <f t="shared" si="111"/>
        <v>0</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0</v>
      </c>
      <c r="F470" s="601"/>
      <c r="G470" s="13">
        <f t="shared" si="106"/>
        <v>0</v>
      </c>
      <c r="H470" s="601"/>
      <c r="I470" s="13">
        <f t="shared" si="107"/>
        <v>1</v>
      </c>
      <c r="J470" s="601"/>
      <c r="K470" s="13">
        <f t="shared" si="108"/>
        <v>1</v>
      </c>
      <c r="L470" s="601"/>
      <c r="M470" s="13">
        <f t="shared" si="109"/>
        <v>1</v>
      </c>
      <c r="N470" s="601"/>
      <c r="O470" s="13">
        <f t="shared" si="110"/>
        <v>1</v>
      </c>
      <c r="P470" s="601"/>
      <c r="Q470" s="13">
        <f t="shared" si="111"/>
        <v>0</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0</v>
      </c>
      <c r="F471" s="601"/>
      <c r="G471" s="13">
        <f t="shared" si="106"/>
        <v>0</v>
      </c>
      <c r="H471" s="601"/>
      <c r="I471" s="13">
        <f t="shared" si="107"/>
        <v>1</v>
      </c>
      <c r="J471" s="601"/>
      <c r="K471" s="13">
        <f t="shared" si="108"/>
        <v>1</v>
      </c>
      <c r="L471" s="601"/>
      <c r="M471" s="13">
        <f t="shared" si="109"/>
        <v>1</v>
      </c>
      <c r="N471" s="601"/>
      <c r="O471" s="13">
        <f t="shared" si="110"/>
        <v>1</v>
      </c>
      <c r="P471" s="601"/>
      <c r="Q471" s="13">
        <f t="shared" si="111"/>
        <v>0</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0</v>
      </c>
      <c r="F472" s="601"/>
      <c r="G472" s="13">
        <f t="shared" si="106"/>
        <v>0</v>
      </c>
      <c r="H472" s="601"/>
      <c r="I472" s="13">
        <f t="shared" si="107"/>
        <v>1</v>
      </c>
      <c r="J472" s="601"/>
      <c r="K472" s="13">
        <f t="shared" si="108"/>
        <v>1</v>
      </c>
      <c r="L472" s="601"/>
      <c r="M472" s="13">
        <f t="shared" si="109"/>
        <v>1</v>
      </c>
      <c r="N472" s="601"/>
      <c r="O472" s="13">
        <f t="shared" si="110"/>
        <v>1</v>
      </c>
      <c r="P472" s="601"/>
      <c r="Q472" s="13">
        <f t="shared" si="111"/>
        <v>0</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0</v>
      </c>
      <c r="F473" s="601"/>
      <c r="G473" s="13">
        <f t="shared" si="106"/>
        <v>0</v>
      </c>
      <c r="H473" s="601"/>
      <c r="I473" s="13">
        <f t="shared" si="107"/>
        <v>1</v>
      </c>
      <c r="J473" s="601"/>
      <c r="K473" s="13">
        <f t="shared" si="108"/>
        <v>1</v>
      </c>
      <c r="L473" s="601"/>
      <c r="M473" s="13">
        <f t="shared" si="109"/>
        <v>1</v>
      </c>
      <c r="N473" s="601"/>
      <c r="O473" s="13">
        <f t="shared" si="110"/>
        <v>1</v>
      </c>
      <c r="P473" s="601"/>
      <c r="Q473" s="13">
        <f t="shared" si="111"/>
        <v>0</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0</v>
      </c>
      <c r="F474" s="601"/>
      <c r="G474" s="13">
        <f t="shared" si="106"/>
        <v>0</v>
      </c>
      <c r="H474" s="601"/>
      <c r="I474" s="13">
        <f t="shared" si="107"/>
        <v>1</v>
      </c>
      <c r="J474" s="601"/>
      <c r="K474" s="13">
        <f t="shared" si="108"/>
        <v>1</v>
      </c>
      <c r="L474" s="601"/>
      <c r="M474" s="13">
        <f t="shared" si="109"/>
        <v>1</v>
      </c>
      <c r="N474" s="601"/>
      <c r="O474" s="13">
        <f t="shared" si="110"/>
        <v>1</v>
      </c>
      <c r="P474" s="601"/>
      <c r="Q474" s="13">
        <f t="shared" si="111"/>
        <v>0</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0</v>
      </c>
      <c r="F475" s="601"/>
      <c r="G475" s="13">
        <f t="shared" si="106"/>
        <v>0</v>
      </c>
      <c r="H475" s="601"/>
      <c r="I475" s="13">
        <f t="shared" si="107"/>
        <v>1</v>
      </c>
      <c r="J475" s="601"/>
      <c r="K475" s="13">
        <f t="shared" si="108"/>
        <v>1</v>
      </c>
      <c r="L475" s="601"/>
      <c r="M475" s="13">
        <f t="shared" si="109"/>
        <v>1</v>
      </c>
      <c r="N475" s="601"/>
      <c r="O475" s="13">
        <f t="shared" si="110"/>
        <v>1</v>
      </c>
      <c r="P475" s="601"/>
      <c r="Q475" s="13">
        <f t="shared" si="111"/>
        <v>0</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0</v>
      </c>
      <c r="F476" s="601"/>
      <c r="G476" s="13">
        <f t="shared" ref="G476:G527" si="121">(SUMIF($10:$10,F476,$11:$11)-SUMIF($10:$10,$F$27,$11:$11)+100)/100</f>
        <v>0</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0</v>
      </c>
      <c r="F477" s="601"/>
      <c r="G477" s="13">
        <f t="shared" si="121"/>
        <v>0</v>
      </c>
      <c r="H477" s="601"/>
      <c r="I477" s="13">
        <f t="shared" si="122"/>
        <v>1</v>
      </c>
      <c r="J477" s="601"/>
      <c r="K477" s="13">
        <f t="shared" si="123"/>
        <v>1</v>
      </c>
      <c r="L477" s="601"/>
      <c r="M477" s="13">
        <f t="shared" si="124"/>
        <v>1</v>
      </c>
      <c r="N477" s="601"/>
      <c r="O477" s="13">
        <f t="shared" si="125"/>
        <v>1</v>
      </c>
      <c r="P477" s="601"/>
      <c r="Q477" s="13">
        <f t="shared" si="126"/>
        <v>0</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0</v>
      </c>
      <c r="F478" s="601"/>
      <c r="G478" s="13">
        <f t="shared" si="121"/>
        <v>0</v>
      </c>
      <c r="H478" s="601"/>
      <c r="I478" s="13">
        <f t="shared" si="122"/>
        <v>1</v>
      </c>
      <c r="J478" s="601"/>
      <c r="K478" s="13">
        <f t="shared" si="123"/>
        <v>1</v>
      </c>
      <c r="L478" s="601"/>
      <c r="M478" s="13">
        <f t="shared" si="124"/>
        <v>1</v>
      </c>
      <c r="N478" s="601"/>
      <c r="O478" s="13">
        <f t="shared" si="125"/>
        <v>1</v>
      </c>
      <c r="P478" s="601"/>
      <c r="Q478" s="13">
        <f t="shared" si="126"/>
        <v>0</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0</v>
      </c>
      <c r="F479" s="601"/>
      <c r="G479" s="13">
        <f t="shared" si="121"/>
        <v>0</v>
      </c>
      <c r="H479" s="601"/>
      <c r="I479" s="13">
        <f t="shared" si="122"/>
        <v>1</v>
      </c>
      <c r="J479" s="601"/>
      <c r="K479" s="13">
        <f t="shared" si="123"/>
        <v>1</v>
      </c>
      <c r="L479" s="601"/>
      <c r="M479" s="13">
        <f t="shared" si="124"/>
        <v>1</v>
      </c>
      <c r="N479" s="601"/>
      <c r="O479" s="13">
        <f t="shared" si="125"/>
        <v>1</v>
      </c>
      <c r="P479" s="601"/>
      <c r="Q479" s="13">
        <f t="shared" si="126"/>
        <v>0</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0</v>
      </c>
      <c r="F480" s="601"/>
      <c r="G480" s="13">
        <f t="shared" si="121"/>
        <v>0</v>
      </c>
      <c r="H480" s="601"/>
      <c r="I480" s="13">
        <f t="shared" si="122"/>
        <v>1</v>
      </c>
      <c r="J480" s="601"/>
      <c r="K480" s="13">
        <f t="shared" si="123"/>
        <v>1</v>
      </c>
      <c r="L480" s="601"/>
      <c r="M480" s="13">
        <f t="shared" si="124"/>
        <v>1</v>
      </c>
      <c r="N480" s="601"/>
      <c r="O480" s="13">
        <f t="shared" si="125"/>
        <v>1</v>
      </c>
      <c r="P480" s="601"/>
      <c r="Q480" s="13">
        <f t="shared" si="126"/>
        <v>0</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0</v>
      </c>
      <c r="F481" s="601"/>
      <c r="G481" s="13">
        <f t="shared" si="121"/>
        <v>0</v>
      </c>
      <c r="H481" s="601"/>
      <c r="I481" s="13">
        <f t="shared" si="122"/>
        <v>1</v>
      </c>
      <c r="J481" s="601"/>
      <c r="K481" s="13">
        <f t="shared" si="123"/>
        <v>1</v>
      </c>
      <c r="L481" s="601"/>
      <c r="M481" s="13">
        <f t="shared" si="124"/>
        <v>1</v>
      </c>
      <c r="N481" s="601"/>
      <c r="O481" s="13">
        <f t="shared" si="125"/>
        <v>1</v>
      </c>
      <c r="P481" s="601"/>
      <c r="Q481" s="13">
        <f t="shared" si="126"/>
        <v>0</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0</v>
      </c>
      <c r="F482" s="601"/>
      <c r="G482" s="13">
        <f t="shared" si="121"/>
        <v>0</v>
      </c>
      <c r="H482" s="601"/>
      <c r="I482" s="13">
        <f t="shared" si="122"/>
        <v>1</v>
      </c>
      <c r="J482" s="601"/>
      <c r="K482" s="13">
        <f t="shared" si="123"/>
        <v>1</v>
      </c>
      <c r="L482" s="601"/>
      <c r="M482" s="13">
        <f t="shared" si="124"/>
        <v>1</v>
      </c>
      <c r="N482" s="601"/>
      <c r="O482" s="13">
        <f t="shared" si="125"/>
        <v>1</v>
      </c>
      <c r="P482" s="601"/>
      <c r="Q482" s="13">
        <f t="shared" si="126"/>
        <v>0</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0</v>
      </c>
      <c r="F483" s="601"/>
      <c r="G483" s="13">
        <f t="shared" si="121"/>
        <v>0</v>
      </c>
      <c r="H483" s="601"/>
      <c r="I483" s="13">
        <f t="shared" si="122"/>
        <v>1</v>
      </c>
      <c r="J483" s="601"/>
      <c r="K483" s="13">
        <f t="shared" si="123"/>
        <v>1</v>
      </c>
      <c r="L483" s="601"/>
      <c r="M483" s="13">
        <f t="shared" si="124"/>
        <v>1</v>
      </c>
      <c r="N483" s="601"/>
      <c r="O483" s="13">
        <f t="shared" si="125"/>
        <v>1</v>
      </c>
      <c r="P483" s="601"/>
      <c r="Q483" s="13">
        <f t="shared" si="126"/>
        <v>0</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0</v>
      </c>
      <c r="F484" s="601"/>
      <c r="G484" s="13">
        <f t="shared" si="121"/>
        <v>0</v>
      </c>
      <c r="H484" s="601"/>
      <c r="I484" s="13">
        <f t="shared" si="122"/>
        <v>1</v>
      </c>
      <c r="J484" s="601"/>
      <c r="K484" s="13">
        <f t="shared" si="123"/>
        <v>1</v>
      </c>
      <c r="L484" s="601"/>
      <c r="M484" s="13">
        <f t="shared" si="124"/>
        <v>1</v>
      </c>
      <c r="N484" s="601"/>
      <c r="O484" s="13">
        <f t="shared" si="125"/>
        <v>1</v>
      </c>
      <c r="P484" s="601"/>
      <c r="Q484" s="13">
        <f t="shared" si="126"/>
        <v>0</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0</v>
      </c>
      <c r="F485" s="601"/>
      <c r="G485" s="13">
        <f t="shared" si="121"/>
        <v>0</v>
      </c>
      <c r="H485" s="601"/>
      <c r="I485" s="13">
        <f t="shared" si="122"/>
        <v>1</v>
      </c>
      <c r="J485" s="601"/>
      <c r="K485" s="13">
        <f t="shared" si="123"/>
        <v>1</v>
      </c>
      <c r="L485" s="601"/>
      <c r="M485" s="13">
        <f t="shared" si="124"/>
        <v>1</v>
      </c>
      <c r="N485" s="601"/>
      <c r="O485" s="13">
        <f t="shared" si="125"/>
        <v>1</v>
      </c>
      <c r="P485" s="601"/>
      <c r="Q485" s="13">
        <f t="shared" si="126"/>
        <v>0</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0</v>
      </c>
      <c r="F486" s="601"/>
      <c r="G486" s="13">
        <f t="shared" si="121"/>
        <v>0</v>
      </c>
      <c r="H486" s="601"/>
      <c r="I486" s="13">
        <f t="shared" si="122"/>
        <v>1</v>
      </c>
      <c r="J486" s="601"/>
      <c r="K486" s="13">
        <f t="shared" si="123"/>
        <v>1</v>
      </c>
      <c r="L486" s="601"/>
      <c r="M486" s="13">
        <f t="shared" si="124"/>
        <v>1</v>
      </c>
      <c r="N486" s="601"/>
      <c r="O486" s="13">
        <f t="shared" si="125"/>
        <v>1</v>
      </c>
      <c r="P486" s="601"/>
      <c r="Q486" s="13">
        <f t="shared" si="126"/>
        <v>0</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0</v>
      </c>
      <c r="F487" s="601"/>
      <c r="G487" s="13">
        <f t="shared" si="121"/>
        <v>0</v>
      </c>
      <c r="H487" s="601"/>
      <c r="I487" s="13">
        <f t="shared" si="122"/>
        <v>1</v>
      </c>
      <c r="J487" s="601"/>
      <c r="K487" s="13">
        <f t="shared" si="123"/>
        <v>1</v>
      </c>
      <c r="L487" s="601"/>
      <c r="M487" s="13">
        <f t="shared" si="124"/>
        <v>1</v>
      </c>
      <c r="N487" s="601"/>
      <c r="O487" s="13">
        <f t="shared" si="125"/>
        <v>1</v>
      </c>
      <c r="P487" s="601"/>
      <c r="Q487" s="13">
        <f t="shared" si="126"/>
        <v>0</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0</v>
      </c>
      <c r="F488" s="601"/>
      <c r="G488" s="13">
        <f t="shared" si="121"/>
        <v>0</v>
      </c>
      <c r="H488" s="601"/>
      <c r="I488" s="13">
        <f t="shared" si="122"/>
        <v>1</v>
      </c>
      <c r="J488" s="601"/>
      <c r="K488" s="13">
        <f t="shared" si="123"/>
        <v>1</v>
      </c>
      <c r="L488" s="601"/>
      <c r="M488" s="13">
        <f t="shared" si="124"/>
        <v>1</v>
      </c>
      <c r="N488" s="601"/>
      <c r="O488" s="13">
        <f t="shared" si="125"/>
        <v>1</v>
      </c>
      <c r="P488" s="601"/>
      <c r="Q488" s="13">
        <f t="shared" si="126"/>
        <v>0</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0</v>
      </c>
      <c r="F489" s="601"/>
      <c r="G489" s="13">
        <f t="shared" si="121"/>
        <v>0</v>
      </c>
      <c r="H489" s="601"/>
      <c r="I489" s="13">
        <f t="shared" si="122"/>
        <v>1</v>
      </c>
      <c r="J489" s="601"/>
      <c r="K489" s="13">
        <f t="shared" si="123"/>
        <v>1</v>
      </c>
      <c r="L489" s="601"/>
      <c r="M489" s="13">
        <f t="shared" si="124"/>
        <v>1</v>
      </c>
      <c r="N489" s="601"/>
      <c r="O489" s="13">
        <f t="shared" si="125"/>
        <v>1</v>
      </c>
      <c r="P489" s="601"/>
      <c r="Q489" s="13">
        <f t="shared" si="126"/>
        <v>0</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0</v>
      </c>
      <c r="F490" s="601"/>
      <c r="G490" s="13">
        <f t="shared" si="121"/>
        <v>0</v>
      </c>
      <c r="H490" s="601"/>
      <c r="I490" s="13">
        <f t="shared" si="122"/>
        <v>1</v>
      </c>
      <c r="J490" s="601"/>
      <c r="K490" s="13">
        <f t="shared" si="123"/>
        <v>1</v>
      </c>
      <c r="L490" s="601"/>
      <c r="M490" s="13">
        <f t="shared" si="124"/>
        <v>1</v>
      </c>
      <c r="N490" s="601"/>
      <c r="O490" s="13">
        <f t="shared" si="125"/>
        <v>1</v>
      </c>
      <c r="P490" s="601"/>
      <c r="Q490" s="13">
        <f t="shared" si="126"/>
        <v>0</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0</v>
      </c>
      <c r="F491" s="601"/>
      <c r="G491" s="13">
        <f t="shared" si="121"/>
        <v>0</v>
      </c>
      <c r="H491" s="601"/>
      <c r="I491" s="13">
        <f t="shared" si="122"/>
        <v>1</v>
      </c>
      <c r="J491" s="601"/>
      <c r="K491" s="13">
        <f t="shared" si="123"/>
        <v>1</v>
      </c>
      <c r="L491" s="601"/>
      <c r="M491" s="13">
        <f t="shared" si="124"/>
        <v>1</v>
      </c>
      <c r="N491" s="601"/>
      <c r="O491" s="13">
        <f t="shared" si="125"/>
        <v>1</v>
      </c>
      <c r="P491" s="601"/>
      <c r="Q491" s="13">
        <f t="shared" si="126"/>
        <v>0</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0</v>
      </c>
      <c r="F492" s="601"/>
      <c r="G492" s="13">
        <f t="shared" si="121"/>
        <v>0</v>
      </c>
      <c r="H492" s="601"/>
      <c r="I492" s="13">
        <f t="shared" si="122"/>
        <v>1</v>
      </c>
      <c r="J492" s="601"/>
      <c r="K492" s="13">
        <f t="shared" si="123"/>
        <v>1</v>
      </c>
      <c r="L492" s="601"/>
      <c r="M492" s="13">
        <f t="shared" si="124"/>
        <v>1</v>
      </c>
      <c r="N492" s="601"/>
      <c r="O492" s="13">
        <f t="shared" si="125"/>
        <v>1</v>
      </c>
      <c r="P492" s="601"/>
      <c r="Q492" s="13">
        <f t="shared" si="126"/>
        <v>0</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0</v>
      </c>
      <c r="F493" s="601"/>
      <c r="G493" s="13">
        <f t="shared" si="121"/>
        <v>0</v>
      </c>
      <c r="H493" s="601"/>
      <c r="I493" s="13">
        <f t="shared" si="122"/>
        <v>1</v>
      </c>
      <c r="J493" s="601"/>
      <c r="K493" s="13">
        <f t="shared" si="123"/>
        <v>1</v>
      </c>
      <c r="L493" s="601"/>
      <c r="M493" s="13">
        <f t="shared" si="124"/>
        <v>1</v>
      </c>
      <c r="N493" s="601"/>
      <c r="O493" s="13">
        <f t="shared" si="125"/>
        <v>1</v>
      </c>
      <c r="P493" s="601"/>
      <c r="Q493" s="13">
        <f t="shared" si="126"/>
        <v>0</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0</v>
      </c>
      <c r="F494" s="601"/>
      <c r="G494" s="13">
        <f t="shared" si="121"/>
        <v>0</v>
      </c>
      <c r="H494" s="601"/>
      <c r="I494" s="13">
        <f t="shared" si="122"/>
        <v>1</v>
      </c>
      <c r="J494" s="601"/>
      <c r="K494" s="13">
        <f t="shared" si="123"/>
        <v>1</v>
      </c>
      <c r="L494" s="601"/>
      <c r="M494" s="13">
        <f t="shared" si="124"/>
        <v>1</v>
      </c>
      <c r="N494" s="601"/>
      <c r="O494" s="13">
        <f t="shared" si="125"/>
        <v>1</v>
      </c>
      <c r="P494" s="601"/>
      <c r="Q494" s="13">
        <f t="shared" si="126"/>
        <v>0</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0</v>
      </c>
      <c r="F495" s="601"/>
      <c r="G495" s="13">
        <f t="shared" si="121"/>
        <v>0</v>
      </c>
      <c r="H495" s="601"/>
      <c r="I495" s="13">
        <f t="shared" si="122"/>
        <v>1</v>
      </c>
      <c r="J495" s="601"/>
      <c r="K495" s="13">
        <f t="shared" si="123"/>
        <v>1</v>
      </c>
      <c r="L495" s="601"/>
      <c r="M495" s="13">
        <f t="shared" si="124"/>
        <v>1</v>
      </c>
      <c r="N495" s="601"/>
      <c r="O495" s="13">
        <f t="shared" si="125"/>
        <v>1</v>
      </c>
      <c r="P495" s="601"/>
      <c r="Q495" s="13">
        <f t="shared" si="126"/>
        <v>0</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0</v>
      </c>
      <c r="F496" s="601"/>
      <c r="G496" s="13">
        <f t="shared" si="121"/>
        <v>0</v>
      </c>
      <c r="H496" s="601"/>
      <c r="I496" s="13">
        <f t="shared" si="122"/>
        <v>1</v>
      </c>
      <c r="J496" s="601"/>
      <c r="K496" s="13">
        <f t="shared" si="123"/>
        <v>1</v>
      </c>
      <c r="L496" s="601"/>
      <c r="M496" s="13">
        <f t="shared" si="124"/>
        <v>1</v>
      </c>
      <c r="N496" s="601"/>
      <c r="O496" s="13">
        <f t="shared" si="125"/>
        <v>1</v>
      </c>
      <c r="P496" s="601"/>
      <c r="Q496" s="13">
        <f t="shared" si="126"/>
        <v>0</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0</v>
      </c>
      <c r="F497" s="601"/>
      <c r="G497" s="13">
        <f t="shared" si="121"/>
        <v>0</v>
      </c>
      <c r="H497" s="601"/>
      <c r="I497" s="13">
        <f t="shared" si="122"/>
        <v>1</v>
      </c>
      <c r="J497" s="601"/>
      <c r="K497" s="13">
        <f t="shared" si="123"/>
        <v>1</v>
      </c>
      <c r="L497" s="601"/>
      <c r="M497" s="13">
        <f t="shared" si="124"/>
        <v>1</v>
      </c>
      <c r="N497" s="601"/>
      <c r="O497" s="13">
        <f t="shared" si="125"/>
        <v>1</v>
      </c>
      <c r="P497" s="601"/>
      <c r="Q497" s="13">
        <f t="shared" si="126"/>
        <v>0</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0</v>
      </c>
      <c r="F498" s="601"/>
      <c r="G498" s="13">
        <f t="shared" si="121"/>
        <v>0</v>
      </c>
      <c r="H498" s="601"/>
      <c r="I498" s="13">
        <f t="shared" si="122"/>
        <v>1</v>
      </c>
      <c r="J498" s="601"/>
      <c r="K498" s="13">
        <f t="shared" si="123"/>
        <v>1</v>
      </c>
      <c r="L498" s="601"/>
      <c r="M498" s="13">
        <f t="shared" si="124"/>
        <v>1</v>
      </c>
      <c r="N498" s="601"/>
      <c r="O498" s="13">
        <f t="shared" si="125"/>
        <v>1</v>
      </c>
      <c r="P498" s="601"/>
      <c r="Q498" s="13">
        <f t="shared" si="126"/>
        <v>0</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0</v>
      </c>
      <c r="F499" s="601"/>
      <c r="G499" s="13">
        <f t="shared" si="121"/>
        <v>0</v>
      </c>
      <c r="H499" s="601"/>
      <c r="I499" s="13">
        <f t="shared" si="122"/>
        <v>1</v>
      </c>
      <c r="J499" s="601"/>
      <c r="K499" s="13">
        <f t="shared" si="123"/>
        <v>1</v>
      </c>
      <c r="L499" s="601"/>
      <c r="M499" s="13">
        <f t="shared" si="124"/>
        <v>1</v>
      </c>
      <c r="N499" s="601"/>
      <c r="O499" s="13">
        <f t="shared" si="125"/>
        <v>1</v>
      </c>
      <c r="P499" s="601"/>
      <c r="Q499" s="13">
        <f t="shared" si="126"/>
        <v>0</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0</v>
      </c>
      <c r="F500" s="601"/>
      <c r="G500" s="13">
        <f t="shared" si="121"/>
        <v>0</v>
      </c>
      <c r="H500" s="601"/>
      <c r="I500" s="13">
        <f t="shared" si="122"/>
        <v>1</v>
      </c>
      <c r="J500" s="601"/>
      <c r="K500" s="13">
        <f t="shared" si="123"/>
        <v>1</v>
      </c>
      <c r="L500" s="601"/>
      <c r="M500" s="13">
        <f t="shared" si="124"/>
        <v>1</v>
      </c>
      <c r="N500" s="601"/>
      <c r="O500" s="13">
        <f t="shared" si="125"/>
        <v>1</v>
      </c>
      <c r="P500" s="601"/>
      <c r="Q500" s="13">
        <f t="shared" si="126"/>
        <v>0</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0</v>
      </c>
      <c r="F501" s="601"/>
      <c r="G501" s="13">
        <f t="shared" si="121"/>
        <v>0</v>
      </c>
      <c r="H501" s="601"/>
      <c r="I501" s="13">
        <f t="shared" si="122"/>
        <v>1</v>
      </c>
      <c r="J501" s="601"/>
      <c r="K501" s="13">
        <f t="shared" si="123"/>
        <v>1</v>
      </c>
      <c r="L501" s="601"/>
      <c r="M501" s="13">
        <f t="shared" si="124"/>
        <v>1</v>
      </c>
      <c r="N501" s="601"/>
      <c r="O501" s="13">
        <f t="shared" si="125"/>
        <v>1</v>
      </c>
      <c r="P501" s="601"/>
      <c r="Q501" s="13">
        <f t="shared" si="126"/>
        <v>0</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0</v>
      </c>
      <c r="F502" s="601"/>
      <c r="G502" s="13">
        <f t="shared" si="121"/>
        <v>0</v>
      </c>
      <c r="H502" s="601"/>
      <c r="I502" s="13">
        <f t="shared" si="122"/>
        <v>1</v>
      </c>
      <c r="J502" s="601"/>
      <c r="K502" s="13">
        <f t="shared" si="123"/>
        <v>1</v>
      </c>
      <c r="L502" s="601"/>
      <c r="M502" s="13">
        <f t="shared" si="124"/>
        <v>1</v>
      </c>
      <c r="N502" s="601"/>
      <c r="O502" s="13">
        <f t="shared" si="125"/>
        <v>1</v>
      </c>
      <c r="P502" s="601"/>
      <c r="Q502" s="13">
        <f t="shared" si="126"/>
        <v>0</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0</v>
      </c>
      <c r="F503" s="601"/>
      <c r="G503" s="13">
        <f t="shared" si="121"/>
        <v>0</v>
      </c>
      <c r="H503" s="601"/>
      <c r="I503" s="13">
        <f t="shared" si="122"/>
        <v>1</v>
      </c>
      <c r="J503" s="601"/>
      <c r="K503" s="13">
        <f t="shared" si="123"/>
        <v>1</v>
      </c>
      <c r="L503" s="601"/>
      <c r="M503" s="13">
        <f t="shared" si="124"/>
        <v>1</v>
      </c>
      <c r="N503" s="601"/>
      <c r="O503" s="13">
        <f t="shared" si="125"/>
        <v>1</v>
      </c>
      <c r="P503" s="601"/>
      <c r="Q503" s="13">
        <f t="shared" si="126"/>
        <v>0</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0</v>
      </c>
      <c r="F504" s="601"/>
      <c r="G504" s="13">
        <f t="shared" si="121"/>
        <v>0</v>
      </c>
      <c r="H504" s="601"/>
      <c r="I504" s="13">
        <f t="shared" si="122"/>
        <v>1</v>
      </c>
      <c r="J504" s="601"/>
      <c r="K504" s="13">
        <f t="shared" si="123"/>
        <v>1</v>
      </c>
      <c r="L504" s="601"/>
      <c r="M504" s="13">
        <f t="shared" si="124"/>
        <v>1</v>
      </c>
      <c r="N504" s="601"/>
      <c r="O504" s="13">
        <f t="shared" si="125"/>
        <v>1</v>
      </c>
      <c r="P504" s="601"/>
      <c r="Q504" s="13">
        <f t="shared" si="126"/>
        <v>0</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0</v>
      </c>
      <c r="F505" s="601"/>
      <c r="G505" s="13">
        <f t="shared" si="121"/>
        <v>0</v>
      </c>
      <c r="H505" s="601"/>
      <c r="I505" s="13">
        <f t="shared" si="122"/>
        <v>1</v>
      </c>
      <c r="J505" s="601"/>
      <c r="K505" s="13">
        <f t="shared" si="123"/>
        <v>1</v>
      </c>
      <c r="L505" s="601"/>
      <c r="M505" s="13">
        <f t="shared" si="124"/>
        <v>1</v>
      </c>
      <c r="N505" s="601"/>
      <c r="O505" s="13">
        <f t="shared" si="125"/>
        <v>1</v>
      </c>
      <c r="P505" s="601"/>
      <c r="Q505" s="13">
        <f t="shared" si="126"/>
        <v>0</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0</v>
      </c>
      <c r="F506" s="601"/>
      <c r="G506" s="13">
        <f t="shared" si="121"/>
        <v>0</v>
      </c>
      <c r="H506" s="601"/>
      <c r="I506" s="13">
        <f t="shared" si="122"/>
        <v>1</v>
      </c>
      <c r="J506" s="601"/>
      <c r="K506" s="13">
        <f t="shared" si="123"/>
        <v>1</v>
      </c>
      <c r="L506" s="601"/>
      <c r="M506" s="13">
        <f t="shared" si="124"/>
        <v>1</v>
      </c>
      <c r="N506" s="601"/>
      <c r="O506" s="13">
        <f t="shared" si="125"/>
        <v>1</v>
      </c>
      <c r="P506" s="601"/>
      <c r="Q506" s="13">
        <f t="shared" si="126"/>
        <v>0</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0</v>
      </c>
      <c r="F507" s="601"/>
      <c r="G507" s="13">
        <f t="shared" si="121"/>
        <v>0</v>
      </c>
      <c r="H507" s="601"/>
      <c r="I507" s="13">
        <f t="shared" si="122"/>
        <v>1</v>
      </c>
      <c r="J507" s="601"/>
      <c r="K507" s="13">
        <f t="shared" si="123"/>
        <v>1</v>
      </c>
      <c r="L507" s="601"/>
      <c r="M507" s="13">
        <f t="shared" si="124"/>
        <v>1</v>
      </c>
      <c r="N507" s="601"/>
      <c r="O507" s="13">
        <f t="shared" si="125"/>
        <v>1</v>
      </c>
      <c r="P507" s="601"/>
      <c r="Q507" s="13">
        <f t="shared" si="126"/>
        <v>0</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0</v>
      </c>
      <c r="F508" s="601"/>
      <c r="G508" s="13">
        <f t="shared" si="121"/>
        <v>0</v>
      </c>
      <c r="H508" s="601"/>
      <c r="I508" s="13">
        <f t="shared" si="122"/>
        <v>1</v>
      </c>
      <c r="J508" s="601"/>
      <c r="K508" s="13">
        <f t="shared" si="123"/>
        <v>1</v>
      </c>
      <c r="L508" s="601"/>
      <c r="M508" s="13">
        <f t="shared" si="124"/>
        <v>1</v>
      </c>
      <c r="N508" s="601"/>
      <c r="O508" s="13">
        <f t="shared" si="125"/>
        <v>1</v>
      </c>
      <c r="P508" s="601"/>
      <c r="Q508" s="13">
        <f t="shared" si="126"/>
        <v>0</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0</v>
      </c>
      <c r="F509" s="601"/>
      <c r="G509" s="13">
        <f t="shared" si="121"/>
        <v>0</v>
      </c>
      <c r="H509" s="601"/>
      <c r="I509" s="13">
        <f t="shared" si="122"/>
        <v>1</v>
      </c>
      <c r="J509" s="601"/>
      <c r="K509" s="13">
        <f t="shared" si="123"/>
        <v>1</v>
      </c>
      <c r="L509" s="601"/>
      <c r="M509" s="13">
        <f t="shared" si="124"/>
        <v>1</v>
      </c>
      <c r="N509" s="601"/>
      <c r="O509" s="13">
        <f t="shared" si="125"/>
        <v>1</v>
      </c>
      <c r="P509" s="601"/>
      <c r="Q509" s="13">
        <f t="shared" si="126"/>
        <v>0</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0</v>
      </c>
      <c r="F510" s="601"/>
      <c r="G510" s="13">
        <f t="shared" si="121"/>
        <v>0</v>
      </c>
      <c r="H510" s="601"/>
      <c r="I510" s="13">
        <f t="shared" si="122"/>
        <v>1</v>
      </c>
      <c r="J510" s="601"/>
      <c r="K510" s="13">
        <f t="shared" si="123"/>
        <v>1</v>
      </c>
      <c r="L510" s="601"/>
      <c r="M510" s="13">
        <f t="shared" si="124"/>
        <v>1</v>
      </c>
      <c r="N510" s="601"/>
      <c r="O510" s="13">
        <f t="shared" si="125"/>
        <v>1</v>
      </c>
      <c r="P510" s="601"/>
      <c r="Q510" s="13">
        <f t="shared" si="126"/>
        <v>0</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0</v>
      </c>
      <c r="F511" s="601"/>
      <c r="G511" s="13">
        <f t="shared" si="121"/>
        <v>0</v>
      </c>
      <c r="H511" s="601"/>
      <c r="I511" s="13">
        <f t="shared" si="122"/>
        <v>1</v>
      </c>
      <c r="J511" s="601"/>
      <c r="K511" s="13">
        <f t="shared" si="123"/>
        <v>1</v>
      </c>
      <c r="L511" s="601"/>
      <c r="M511" s="13">
        <f t="shared" si="124"/>
        <v>1</v>
      </c>
      <c r="N511" s="601"/>
      <c r="O511" s="13">
        <f t="shared" si="125"/>
        <v>1</v>
      </c>
      <c r="P511" s="601"/>
      <c r="Q511" s="13">
        <f t="shared" si="126"/>
        <v>0</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0</v>
      </c>
      <c r="F512" s="601"/>
      <c r="G512" s="13">
        <f t="shared" si="121"/>
        <v>0</v>
      </c>
      <c r="H512" s="601"/>
      <c r="I512" s="13">
        <f t="shared" si="122"/>
        <v>1</v>
      </c>
      <c r="J512" s="601"/>
      <c r="K512" s="13">
        <f t="shared" si="123"/>
        <v>1</v>
      </c>
      <c r="L512" s="601"/>
      <c r="M512" s="13">
        <f t="shared" si="124"/>
        <v>1</v>
      </c>
      <c r="N512" s="601"/>
      <c r="O512" s="13">
        <f t="shared" si="125"/>
        <v>1</v>
      </c>
      <c r="P512" s="601"/>
      <c r="Q512" s="13">
        <f t="shared" si="126"/>
        <v>0</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0</v>
      </c>
      <c r="F513" s="601"/>
      <c r="G513" s="13">
        <f t="shared" si="121"/>
        <v>0</v>
      </c>
      <c r="H513" s="601"/>
      <c r="I513" s="13">
        <f t="shared" si="122"/>
        <v>1</v>
      </c>
      <c r="J513" s="601"/>
      <c r="K513" s="13">
        <f t="shared" si="123"/>
        <v>1</v>
      </c>
      <c r="L513" s="601"/>
      <c r="M513" s="13">
        <f t="shared" si="124"/>
        <v>1</v>
      </c>
      <c r="N513" s="601"/>
      <c r="O513" s="13">
        <f t="shared" si="125"/>
        <v>1</v>
      </c>
      <c r="P513" s="601"/>
      <c r="Q513" s="13">
        <f t="shared" si="126"/>
        <v>0</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0</v>
      </c>
      <c r="F514" s="601"/>
      <c r="G514" s="13">
        <f t="shared" si="121"/>
        <v>0</v>
      </c>
      <c r="H514" s="601"/>
      <c r="I514" s="13">
        <f t="shared" si="122"/>
        <v>1</v>
      </c>
      <c r="J514" s="601"/>
      <c r="K514" s="13">
        <f t="shared" si="123"/>
        <v>1</v>
      </c>
      <c r="L514" s="601"/>
      <c r="M514" s="13">
        <f t="shared" si="124"/>
        <v>1</v>
      </c>
      <c r="N514" s="601"/>
      <c r="O514" s="13">
        <f t="shared" si="125"/>
        <v>1</v>
      </c>
      <c r="P514" s="601"/>
      <c r="Q514" s="13">
        <f t="shared" si="126"/>
        <v>0</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0</v>
      </c>
      <c r="F515" s="601"/>
      <c r="G515" s="13">
        <f t="shared" si="121"/>
        <v>0</v>
      </c>
      <c r="H515" s="601"/>
      <c r="I515" s="13">
        <f t="shared" si="122"/>
        <v>1</v>
      </c>
      <c r="J515" s="601"/>
      <c r="K515" s="13">
        <f t="shared" si="123"/>
        <v>1</v>
      </c>
      <c r="L515" s="601"/>
      <c r="M515" s="13">
        <f t="shared" si="124"/>
        <v>1</v>
      </c>
      <c r="N515" s="601"/>
      <c r="O515" s="13">
        <f t="shared" si="125"/>
        <v>1</v>
      </c>
      <c r="P515" s="601"/>
      <c r="Q515" s="13">
        <f t="shared" si="126"/>
        <v>0</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0</v>
      </c>
      <c r="F516" s="601"/>
      <c r="G516" s="13">
        <f t="shared" si="121"/>
        <v>0</v>
      </c>
      <c r="H516" s="601"/>
      <c r="I516" s="13">
        <f t="shared" si="122"/>
        <v>1</v>
      </c>
      <c r="J516" s="601"/>
      <c r="K516" s="13">
        <f t="shared" si="123"/>
        <v>1</v>
      </c>
      <c r="L516" s="601"/>
      <c r="M516" s="13">
        <f t="shared" si="124"/>
        <v>1</v>
      </c>
      <c r="N516" s="601"/>
      <c r="O516" s="13">
        <f t="shared" si="125"/>
        <v>1</v>
      </c>
      <c r="P516" s="601"/>
      <c r="Q516" s="13">
        <f t="shared" si="126"/>
        <v>0</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0</v>
      </c>
      <c r="F517" s="601"/>
      <c r="G517" s="13">
        <f t="shared" si="121"/>
        <v>0</v>
      </c>
      <c r="H517" s="601"/>
      <c r="I517" s="13">
        <f t="shared" si="122"/>
        <v>1</v>
      </c>
      <c r="J517" s="601"/>
      <c r="K517" s="13">
        <f t="shared" si="123"/>
        <v>1</v>
      </c>
      <c r="L517" s="601"/>
      <c r="M517" s="13">
        <f t="shared" si="124"/>
        <v>1</v>
      </c>
      <c r="N517" s="601"/>
      <c r="O517" s="13">
        <f t="shared" si="125"/>
        <v>1</v>
      </c>
      <c r="P517" s="601"/>
      <c r="Q517" s="13">
        <f t="shared" si="126"/>
        <v>0</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0</v>
      </c>
      <c r="F518" s="601"/>
      <c r="G518" s="13">
        <f t="shared" si="121"/>
        <v>0</v>
      </c>
      <c r="H518" s="601"/>
      <c r="I518" s="13">
        <f t="shared" si="122"/>
        <v>1</v>
      </c>
      <c r="J518" s="601"/>
      <c r="K518" s="13">
        <f t="shared" si="123"/>
        <v>1</v>
      </c>
      <c r="L518" s="601"/>
      <c r="M518" s="13">
        <f t="shared" si="124"/>
        <v>1</v>
      </c>
      <c r="N518" s="601"/>
      <c r="O518" s="13">
        <f t="shared" si="125"/>
        <v>1</v>
      </c>
      <c r="P518" s="601"/>
      <c r="Q518" s="13">
        <f t="shared" si="126"/>
        <v>0</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0</v>
      </c>
      <c r="F519" s="601"/>
      <c r="G519" s="13">
        <f t="shared" si="121"/>
        <v>0</v>
      </c>
      <c r="H519" s="601"/>
      <c r="I519" s="13">
        <f t="shared" si="122"/>
        <v>1</v>
      </c>
      <c r="J519" s="601"/>
      <c r="K519" s="13">
        <f t="shared" si="123"/>
        <v>1</v>
      </c>
      <c r="L519" s="601"/>
      <c r="M519" s="13">
        <f t="shared" si="124"/>
        <v>1</v>
      </c>
      <c r="N519" s="601"/>
      <c r="O519" s="13">
        <f t="shared" si="125"/>
        <v>1</v>
      </c>
      <c r="P519" s="601"/>
      <c r="Q519" s="13">
        <f t="shared" si="126"/>
        <v>0</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0</v>
      </c>
      <c r="F520" s="601"/>
      <c r="G520" s="13">
        <f t="shared" si="121"/>
        <v>0</v>
      </c>
      <c r="H520" s="601"/>
      <c r="I520" s="13">
        <f t="shared" si="122"/>
        <v>1</v>
      </c>
      <c r="J520" s="601"/>
      <c r="K520" s="13">
        <f t="shared" si="123"/>
        <v>1</v>
      </c>
      <c r="L520" s="601"/>
      <c r="M520" s="13">
        <f t="shared" si="124"/>
        <v>1</v>
      </c>
      <c r="N520" s="601"/>
      <c r="O520" s="13">
        <f t="shared" si="125"/>
        <v>1</v>
      </c>
      <c r="P520" s="601"/>
      <c r="Q520" s="13">
        <f t="shared" si="126"/>
        <v>0</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0</v>
      </c>
      <c r="F521" s="601"/>
      <c r="G521" s="13">
        <f t="shared" si="121"/>
        <v>0</v>
      </c>
      <c r="H521" s="601"/>
      <c r="I521" s="13">
        <f t="shared" si="122"/>
        <v>1</v>
      </c>
      <c r="J521" s="601"/>
      <c r="K521" s="13">
        <f t="shared" si="123"/>
        <v>1</v>
      </c>
      <c r="L521" s="601"/>
      <c r="M521" s="13">
        <f t="shared" si="124"/>
        <v>1</v>
      </c>
      <c r="N521" s="601"/>
      <c r="O521" s="13">
        <f t="shared" si="125"/>
        <v>1</v>
      </c>
      <c r="P521" s="601"/>
      <c r="Q521" s="13">
        <f t="shared" si="126"/>
        <v>0</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0</v>
      </c>
      <c r="F522" s="601"/>
      <c r="G522" s="13">
        <f t="shared" si="121"/>
        <v>0</v>
      </c>
      <c r="H522" s="601"/>
      <c r="I522" s="13">
        <f t="shared" si="122"/>
        <v>1</v>
      </c>
      <c r="J522" s="601"/>
      <c r="K522" s="13">
        <f t="shared" si="123"/>
        <v>1</v>
      </c>
      <c r="L522" s="601"/>
      <c r="M522" s="13">
        <f t="shared" si="124"/>
        <v>1</v>
      </c>
      <c r="N522" s="601"/>
      <c r="O522" s="13">
        <f t="shared" si="125"/>
        <v>1</v>
      </c>
      <c r="P522" s="601"/>
      <c r="Q522" s="13">
        <f t="shared" si="126"/>
        <v>0</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0</v>
      </c>
      <c r="F523" s="601"/>
      <c r="G523" s="13">
        <f t="shared" si="121"/>
        <v>0</v>
      </c>
      <c r="H523" s="601"/>
      <c r="I523" s="13">
        <f t="shared" si="122"/>
        <v>1</v>
      </c>
      <c r="J523" s="601"/>
      <c r="K523" s="13">
        <f t="shared" si="123"/>
        <v>1</v>
      </c>
      <c r="L523" s="601"/>
      <c r="M523" s="13">
        <f t="shared" si="124"/>
        <v>1</v>
      </c>
      <c r="N523" s="601"/>
      <c r="O523" s="13">
        <f t="shared" si="125"/>
        <v>1</v>
      </c>
      <c r="P523" s="601"/>
      <c r="Q523" s="13">
        <f t="shared" si="126"/>
        <v>0</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0</v>
      </c>
      <c r="F524" s="601"/>
      <c r="G524" s="13">
        <f t="shared" si="121"/>
        <v>0</v>
      </c>
      <c r="H524" s="601"/>
      <c r="I524" s="13">
        <f t="shared" si="122"/>
        <v>1</v>
      </c>
      <c r="J524" s="601"/>
      <c r="K524" s="13">
        <f t="shared" si="123"/>
        <v>1</v>
      </c>
      <c r="L524" s="601"/>
      <c r="M524" s="13">
        <f t="shared" si="124"/>
        <v>1</v>
      </c>
      <c r="N524" s="601"/>
      <c r="O524" s="13">
        <f t="shared" si="125"/>
        <v>1</v>
      </c>
      <c r="P524" s="601"/>
      <c r="Q524" s="13">
        <f t="shared" si="126"/>
        <v>0</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0</v>
      </c>
      <c r="F525" s="601"/>
      <c r="G525" s="13">
        <f t="shared" si="121"/>
        <v>0</v>
      </c>
      <c r="H525" s="601"/>
      <c r="I525" s="13">
        <f t="shared" si="122"/>
        <v>1</v>
      </c>
      <c r="J525" s="601"/>
      <c r="K525" s="13">
        <f t="shared" si="123"/>
        <v>1</v>
      </c>
      <c r="L525" s="601"/>
      <c r="M525" s="13">
        <f t="shared" si="124"/>
        <v>1</v>
      </c>
      <c r="N525" s="601"/>
      <c r="O525" s="13">
        <f t="shared" si="125"/>
        <v>1</v>
      </c>
      <c r="P525" s="601"/>
      <c r="Q525" s="13">
        <f t="shared" si="126"/>
        <v>0</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0</v>
      </c>
      <c r="F526" s="601"/>
      <c r="G526" s="13">
        <f t="shared" si="121"/>
        <v>0</v>
      </c>
      <c r="H526" s="601"/>
      <c r="I526" s="13">
        <f t="shared" si="122"/>
        <v>1</v>
      </c>
      <c r="J526" s="601"/>
      <c r="K526" s="13">
        <f t="shared" si="123"/>
        <v>1</v>
      </c>
      <c r="L526" s="601"/>
      <c r="M526" s="13">
        <f t="shared" si="124"/>
        <v>1</v>
      </c>
      <c r="N526" s="601"/>
      <c r="O526" s="13">
        <f t="shared" si="125"/>
        <v>1</v>
      </c>
      <c r="P526" s="601"/>
      <c r="Q526" s="13">
        <f t="shared" si="126"/>
        <v>0</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0</v>
      </c>
      <c r="F527" s="601"/>
      <c r="G527" s="13">
        <f t="shared" si="121"/>
        <v>0</v>
      </c>
      <c r="H527" s="601"/>
      <c r="I527" s="13">
        <f t="shared" si="122"/>
        <v>1</v>
      </c>
      <c r="J527" s="601"/>
      <c r="K527" s="13">
        <f t="shared" si="123"/>
        <v>1</v>
      </c>
      <c r="L527" s="601"/>
      <c r="M527" s="13">
        <f t="shared" si="124"/>
        <v>1</v>
      </c>
      <c r="N527" s="601"/>
      <c r="O527" s="13">
        <f t="shared" si="125"/>
        <v>1</v>
      </c>
      <c r="P527" s="601"/>
      <c r="Q527" s="13">
        <f t="shared" si="126"/>
        <v>0</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3:J46"/>
  <sheetViews>
    <sheetView topLeftCell="B1" workbookViewId="0">
      <selection activeCell="F46" sqref="F46"/>
    </sheetView>
  </sheetViews>
  <sheetFormatPr defaultRowHeight="13.5"/>
  <sheetData>
    <row r="43" spans="2:10">
      <c r="F43" s="1311" t="s">
        <v>1181</v>
      </c>
      <c r="H43" s="1311" t="s">
        <v>3023</v>
      </c>
      <c r="I43" s="1311" t="s">
        <v>3024</v>
      </c>
      <c r="J43" s="1311" t="s">
        <v>3026</v>
      </c>
    </row>
    <row r="44" spans="2:10">
      <c r="F44" s="1311" t="s">
        <v>3021</v>
      </c>
      <c r="H44">
        <v>1236</v>
      </c>
      <c r="I44" s="1311" t="s">
        <v>3025</v>
      </c>
      <c r="J44">
        <v>29900</v>
      </c>
    </row>
    <row r="45" spans="2:10">
      <c r="F45" s="1311" t="s">
        <v>3022</v>
      </c>
      <c r="H45">
        <v>120</v>
      </c>
      <c r="I45" s="1311" t="s">
        <v>3025</v>
      </c>
      <c r="J45">
        <v>25800</v>
      </c>
    </row>
    <row r="46" spans="2:10">
      <c r="B46" s="1311" t="s">
        <v>3020</v>
      </c>
      <c r="F46" s="1311" t="s">
        <v>3049</v>
      </c>
      <c r="H46">
        <v>600</v>
      </c>
      <c r="I46" s="1311" t="s">
        <v>3038</v>
      </c>
      <c r="J46">
        <v>26000</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
  <sheetViews>
    <sheetView workbookViewId="0">
      <selection activeCell="M35" sqref="M35"/>
    </sheetView>
  </sheetViews>
  <sheetFormatPr defaultRowHeight="13.5"/>
  <cols>
    <col min="1" max="1" width="19" customWidth="1"/>
  </cols>
  <sheetData>
    <row r="2" spans="1:6">
      <c r="A2" s="1311" t="s">
        <v>3029</v>
      </c>
      <c r="B2" s="1311" t="s">
        <v>3030</v>
      </c>
      <c r="C2" s="1311" t="s">
        <v>3031</v>
      </c>
      <c r="D2" s="1311" t="s">
        <v>3032</v>
      </c>
      <c r="E2">
        <v>701</v>
      </c>
      <c r="F2">
        <v>72.38</v>
      </c>
    </row>
    <row r="3" spans="1:6">
      <c r="E3">
        <v>702</v>
      </c>
      <c r="F3">
        <v>71.95</v>
      </c>
    </row>
    <row r="4" spans="1:6">
      <c r="E4">
        <v>703</v>
      </c>
      <c r="F4">
        <v>71.95</v>
      </c>
    </row>
    <row r="5" spans="1:6">
      <c r="E5">
        <v>704</v>
      </c>
      <c r="F5">
        <v>71.739999999999995</v>
      </c>
    </row>
    <row r="6" spans="1:6">
      <c r="E6">
        <v>705</v>
      </c>
      <c r="F6">
        <v>71.739999999999995</v>
      </c>
    </row>
    <row r="7" spans="1:6">
      <c r="E7">
        <v>706</v>
      </c>
      <c r="F7">
        <v>71.739999999999995</v>
      </c>
    </row>
    <row r="8" spans="1:6">
      <c r="E8">
        <v>707</v>
      </c>
      <c r="F8">
        <v>71.739999999999995</v>
      </c>
    </row>
    <row r="9" spans="1:6">
      <c r="E9">
        <v>708</v>
      </c>
      <c r="F9">
        <v>71.95</v>
      </c>
    </row>
    <row r="10" spans="1:6">
      <c r="E10">
        <v>709</v>
      </c>
      <c r="F10">
        <v>71.95</v>
      </c>
    </row>
    <row r="11" spans="1:6">
      <c r="E11">
        <v>710</v>
      </c>
      <c r="F11">
        <v>71.75</v>
      </c>
    </row>
    <row r="12" spans="1:6">
      <c r="F12">
        <f>SUM(F2:F11)</f>
        <v>718.8900000000001</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332"/>
      <c r="B3" s="1332"/>
      <c r="C3" s="1332"/>
      <c r="D3" s="1332"/>
      <c r="E3" s="1332"/>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329"/>
      <c r="B5" s="1333" t="s">
        <v>742</v>
      </c>
      <c r="C5" s="3348" t="s">
        <v>775</v>
      </c>
      <c r="D5" s="3349"/>
      <c r="E5" s="1329"/>
    </row>
    <row r="6" spans="1:5" ht="14.25">
      <c r="A6" s="1329"/>
      <c r="B6" s="1334" t="str">
        <f>项目基本情况!I1</f>
        <v>北京市房地产</v>
      </c>
      <c r="C6" s="3350">
        <f>项目基本情况!C12</f>
        <v>718.89</v>
      </c>
      <c r="D6" s="3350"/>
      <c r="E6" s="1329"/>
    </row>
    <row r="7" spans="1:5" ht="14.25">
      <c r="A7" s="1329"/>
      <c r="B7" s="3344" t="s">
        <v>776</v>
      </c>
      <c r="C7" s="1335" t="str">
        <f>IF('数据-取费表'!B3="万元","总价（万元）","总价（元）")</f>
        <v>总价（万元）</v>
      </c>
      <c r="D7" s="1336">
        <f ca="1">IF('数据-取费表'!E3="否",结果表!I102,'结果表 (1修多)'!I104)</f>
        <v>1812</v>
      </c>
      <c r="E7" s="1329"/>
    </row>
    <row r="8" spans="1:5" ht="14.25">
      <c r="A8" s="1329"/>
      <c r="B8" s="3344"/>
      <c r="C8" s="1337" t="s">
        <v>1106</v>
      </c>
      <c r="D8" s="1338" t="str">
        <f ca="1">IF('数据-取费表'!B3="万元",NUMBERSTRING(INT(D7*10000),2)&amp;"元整",NUMBERSTRING(INT(D7),2)&amp;"元整")</f>
        <v>壹仟捌佰壹拾贰万元整</v>
      </c>
      <c r="E8" s="1329"/>
    </row>
    <row r="9" spans="1:5" ht="14.25">
      <c r="A9" s="1329"/>
      <c r="B9" s="3344"/>
      <c r="C9" s="1339" t="s">
        <v>1202</v>
      </c>
      <c r="D9" s="1336">
        <f ca="1">IF('数据-取费表'!E3="否",结果表!I103,'结果表 (1修多)'!I105)</f>
        <v>25206</v>
      </c>
      <c r="E9" s="1329"/>
    </row>
    <row r="10" spans="1:5" ht="14.25">
      <c r="A10" s="1329"/>
      <c r="B10" s="3351"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51"/>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51" t="str">
        <f>IF('数据-取费表'!E3="否",结果表!F110,'结果表 (1修多)'!F112)</f>
        <v>3.房地产抵押价值</v>
      </c>
      <c r="C15" s="1330" t="str">
        <f>C7</f>
        <v>总价（万元）</v>
      </c>
      <c r="D15" s="1336">
        <f ca="1">IF('数据-取费表'!E3="否",结果表!I110,'结果表 (1修多)'!I112)</f>
        <v>1812</v>
      </c>
      <c r="E15" s="1329"/>
    </row>
    <row r="16" spans="1:5" ht="14.25">
      <c r="A16" s="1329"/>
      <c r="B16" s="3351"/>
      <c r="C16" s="1337" t="s">
        <v>1106</v>
      </c>
      <c r="D16" s="1336" t="str">
        <f ca="1">IF('数据-取费表'!B3="万元",NUMBERSTRING(INT(D15*10000),2)&amp;"元整",NUMBERSTRING(INT(D15),2)&amp;"元整")</f>
        <v>壹仟捌佰壹拾贰万元整</v>
      </c>
      <c r="E16" s="1329"/>
    </row>
    <row r="17" spans="1:5" ht="14.25">
      <c r="A17" s="1329"/>
      <c r="B17" s="3351"/>
      <c r="C17" s="1339" t="s">
        <v>1202</v>
      </c>
      <c r="D17" s="1336">
        <f ca="1">IF('数据-取费表'!E3="否",结果表!I111,'结果表 (1修多)'!I113)</f>
        <v>25206</v>
      </c>
      <c r="E17" s="1329"/>
    </row>
    <row r="18" spans="1:5" ht="14.25">
      <c r="A18" s="1329"/>
      <c r="B18" s="3351" t="str">
        <f>IF('数据-取费表'!E3="否",结果表!F112,'结果表 (1修多)'!F114)</f>
        <v>——</v>
      </c>
      <c r="C18" s="1330" t="str">
        <f>C7</f>
        <v>总价（万元）</v>
      </c>
      <c r="D18" s="1336" t="str">
        <f>IF('数据-取费表'!E3="否",结果表!I112,'结果表 (1修多)'!I114)</f>
        <v>——</v>
      </c>
      <c r="E18" s="1329"/>
    </row>
    <row r="19" spans="1:5" ht="14.25">
      <c r="A19" s="1329"/>
      <c r="B19" s="3351"/>
      <c r="C19" s="1337" t="s">
        <v>1106</v>
      </c>
      <c r="D19" s="1336" t="e">
        <f>IF('数据-取费表'!B3="万元",NUMBERSTRING(INT(D18*10000),2)&amp;"元整",NUMBERSTRING(INT(D18),2)&amp;"元整")</f>
        <v>#VALUE!</v>
      </c>
      <c r="E19" s="1329"/>
    </row>
    <row r="20" spans="1:5" ht="14.25">
      <c r="A20" s="1329"/>
      <c r="B20" s="3351"/>
      <c r="C20" s="1339" t="s">
        <v>1202</v>
      </c>
      <c r="D20" s="1336" t="str">
        <f>IF('数据-取费表'!E3="否",结果表!I113,'结果表 (1修多)'!I115)</f>
        <v>——</v>
      </c>
      <c r="E20" s="1329"/>
    </row>
    <row r="21" spans="1:5" ht="14.25">
      <c r="A21" s="1329"/>
      <c r="B21" s="3344" t="str">
        <f>IF('数据-取费表'!E3="否",结果表!F114,'结果表 (1修多)'!F116)</f>
        <v>——</v>
      </c>
      <c r="C21" s="1335" t="str">
        <f>C7</f>
        <v>总价（万元）</v>
      </c>
      <c r="D21" s="1336" t="str">
        <f>IF('数据-取费表'!E3="否",结果表!I114,'结果表 (1修多)'!I116)</f>
        <v>——</v>
      </c>
      <c r="E21" s="1329"/>
    </row>
    <row r="22" spans="1:5" ht="14.25">
      <c r="A22" s="1329"/>
      <c r="B22" s="3344"/>
      <c r="C22" s="1337" t="s">
        <v>1106</v>
      </c>
      <c r="D22" s="1338" t="e">
        <f>IF('数据-取费表'!B3="万元",NUMBERSTRING(INT(D21*10000),2)&amp;"元整",NUMBERSTRING(INT(D21),2)&amp;"元整")</f>
        <v>#VALUE!</v>
      </c>
      <c r="E22" s="1329"/>
    </row>
    <row r="23" spans="1:5" ht="15" thickBot="1">
      <c r="A23" s="1329"/>
      <c r="B23" s="3345"/>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 ca="1">IF('数据-取费表'!E3="否",结果表!I102,'结果表 (1修多)'!I104)</f>
        <v>1812</v>
      </c>
      <c r="E28" s="1329"/>
    </row>
    <row r="29" spans="1:5" ht="14.25">
      <c r="A29" s="1329"/>
      <c r="B29" s="3330"/>
      <c r="C29" s="1348" t="s">
        <v>1106</v>
      </c>
      <c r="D29" s="1349" t="str">
        <f ca="1">IF('数据-取费表'!B3="万元",NUMBERSTRING(INT(D28*10000),2)&amp;"元整",NUMBERSTRING(INT(D28),2)&amp;"元整")</f>
        <v>壹仟捌佰壹拾贰万元整</v>
      </c>
      <c r="E29" s="1329"/>
    </row>
    <row r="30" spans="1:5" ht="14.25">
      <c r="A30" s="1329"/>
      <c r="B30" s="3331"/>
      <c r="C30" s="1339" t="s">
        <v>1109</v>
      </c>
      <c r="D30" s="1350">
        <f ca="1">IF('数据-取费表'!E3="否",结果表!I103,'结果表 (1修多)'!I105)</f>
        <v>25206</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 ca="1">IF('数据-取费表'!E3="否",结果表!I110,'结果表 (1修多)'!I112)</f>
        <v>1812</v>
      </c>
      <c r="E36" s="1329"/>
    </row>
    <row r="37" spans="1:5" ht="14.25">
      <c r="A37" s="1329"/>
      <c r="B37" s="3332"/>
      <c r="C37" s="1348" t="s">
        <v>1106</v>
      </c>
      <c r="D37" s="1353" t="str">
        <f ca="1">IF('数据-取费表'!B3="万元",NUMBERSTRING(INT(D36*10000),2)&amp;"元整",NUMBERSTRING(INT(D36),2)&amp;"元整")</f>
        <v>壹仟捌佰壹拾贰万元整</v>
      </c>
      <c r="E37" s="1329"/>
    </row>
    <row r="38" spans="1:5" ht="14.25">
      <c r="A38" s="1329"/>
      <c r="B38" s="3332"/>
      <c r="C38" s="1339" t="s">
        <v>1110</v>
      </c>
      <c r="D38" s="1350">
        <f ca="1">IF('数据-取费表'!E3="否",结果表!D113,'结果表 (1修多)'!D117)</f>
        <v>25206</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1204</v>
      </c>
      <c r="B2" s="3359" t="s">
        <v>1205</v>
      </c>
      <c r="C2" s="3359" t="s">
        <v>1206</v>
      </c>
      <c r="D2" s="3359" t="str">
        <f>IF('数据-取费表'!E3="否",结果表!D119,'结果表 (1修多)'!D123)</f>
        <v>出让国有建设用地使用权价值</v>
      </c>
      <c r="E2" s="3359"/>
      <c r="F2" s="3359" t="s">
        <v>1207</v>
      </c>
      <c r="G2" s="3359"/>
      <c r="H2" s="3359" t="s">
        <v>1208</v>
      </c>
      <c r="I2" s="3359"/>
    </row>
    <row r="3" spans="1:9" ht="15">
      <c r="A3" s="3352"/>
      <c r="B3" s="3352"/>
      <c r="C3" s="3352"/>
      <c r="D3" s="818" t="s">
        <v>1209</v>
      </c>
      <c r="E3" s="818" t="s">
        <v>1210</v>
      </c>
      <c r="F3" s="818" t="s">
        <v>1209</v>
      </c>
      <c r="G3" s="818" t="s">
        <v>1211</v>
      </c>
      <c r="H3" s="818" t="s">
        <v>1209</v>
      </c>
      <c r="I3" s="818" t="s">
        <v>1211</v>
      </c>
    </row>
    <row r="4" spans="1:9" ht="46.5" customHeight="1">
      <c r="A4" s="818" t="str">
        <f>项目基本情况!I1</f>
        <v>北京市房地产</v>
      </c>
      <c r="B4" s="818">
        <f>结果表!B121</f>
        <v>718.89</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1812</v>
      </c>
      <c r="I4" s="818">
        <f ca="1">IF('数据-取费表'!E3="否",结果表!I121,'结果表 (1修多)'!I125)</f>
        <v>25206</v>
      </c>
    </row>
    <row r="5" spans="1:9" ht="15">
      <c r="A5" s="3352" t="s">
        <v>1212</v>
      </c>
      <c r="B5" s="3352"/>
      <c r="C5" s="3352"/>
      <c r="D5" s="3353" t="str">
        <f>IF('数据-取费表'!E3="否",结果表!D122,'结果表 (1修多)'!D126)</f>
        <v>零元整</v>
      </c>
      <c r="E5" s="3353"/>
      <c r="F5" s="3353" t="str">
        <f>IF('数据-取费表'!E3="否",结果表!F122,'结果表 (1修多)'!F126)</f>
        <v>零元整</v>
      </c>
      <c r="G5" s="3353"/>
      <c r="H5" s="3353" t="str">
        <f ca="1">IF('数据-取费表'!E3="否",结果表!H122,'结果表 (1修多)'!H126)</f>
        <v>壹仟捌佰壹拾贰万元整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2" t="s">
        <v>1212</v>
      </c>
      <c r="B7" s="3352"/>
      <c r="C7" s="3352"/>
      <c r="D7" s="3360">
        <f>IF('数据-取费表'!E3="否",结果表!D124,'结果表 (1修多)'!D128)</f>
        <v>0</v>
      </c>
      <c r="E7" s="3361"/>
      <c r="F7" s="3361"/>
      <c r="G7" s="3361"/>
      <c r="H7" s="3361"/>
      <c r="I7" s="3362"/>
    </row>
    <row r="8" spans="1:9" ht="15.75">
      <c r="A8" s="3354" t="str">
        <f>IF('数据-取费表'!E3="否",结果表!A125,'结果表 (1修多)'!A129)</f>
        <v>房地产抵押价值</v>
      </c>
      <c r="B8" s="3354"/>
      <c r="C8" s="3354"/>
      <c r="D8" s="3354">
        <f ca="1">IF('数据-取费表'!E3="否",结果表!D125,'结果表 (1修多)'!D129)</f>
        <v>1812</v>
      </c>
      <c r="E8" s="3354"/>
      <c r="F8" s="3354"/>
      <c r="G8" s="3354"/>
      <c r="H8" s="3354"/>
      <c r="I8" s="3354"/>
    </row>
    <row r="9" spans="1:9" ht="15">
      <c r="A9" s="3352" t="s">
        <v>1212</v>
      </c>
      <c r="B9" s="3352"/>
      <c r="C9" s="3352"/>
      <c r="D9" s="3353">
        <f ca="1">IF('数据-取费表'!E3="否",结果表!D126,'结果表 (1修多)'!D130)</f>
        <v>25206</v>
      </c>
      <c r="E9" s="3353"/>
      <c r="F9" s="3353"/>
      <c r="G9" s="3353"/>
      <c r="H9" s="3353"/>
      <c r="I9" s="3353"/>
    </row>
    <row r="10" spans="1:9" ht="15.75">
      <c r="A10" s="3354" t="str">
        <f>IF('数据-取费表'!E3="否",结果表!A127,'结果表 (1修多)'!A131)</f>
        <v/>
      </c>
      <c r="B10" s="3354"/>
      <c r="C10" s="3354"/>
      <c r="D10" s="3354">
        <f ca="1">IF('数据-取费表'!E3="否",结果表!D127,'结果表 (1修多)'!D130)</f>
        <v>25206</v>
      </c>
      <c r="E10" s="3354"/>
      <c r="F10" s="3354"/>
      <c r="G10" s="3354"/>
      <c r="H10" s="3354"/>
      <c r="I10" s="3354"/>
    </row>
    <row r="11" spans="1:9" ht="15">
      <c r="A11" s="3352" t="s">
        <v>1212</v>
      </c>
      <c r="B11" s="3352"/>
      <c r="C11" s="3352"/>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55" t="s">
        <v>1212</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4" t="s">
        <v>1225</v>
      </c>
      <c r="B1" s="3364"/>
      <c r="C1" s="3364"/>
      <c r="D1" s="3364"/>
    </row>
    <row r="2" spans="1:4" ht="18">
      <c r="A2" s="3363" t="s">
        <v>1214</v>
      </c>
      <c r="B2" s="3363"/>
      <c r="C2" s="3363"/>
      <c r="D2" s="3363"/>
    </row>
    <row r="3" spans="1:4" ht="18.75">
      <c r="A3" s="1358" t="s">
        <v>1215</v>
      </c>
      <c r="B3" s="1358" t="s">
        <v>1216</v>
      </c>
      <c r="C3" s="1358" t="s">
        <v>1217</v>
      </c>
      <c r="D3" s="1358" t="s">
        <v>1218</v>
      </c>
    </row>
    <row r="4" spans="1:4" ht="56.25" customHeight="1">
      <c r="A4" s="1359" t="str">
        <f>项目基本情况!B3</f>
        <v>崔锴</v>
      </c>
      <c r="B4" s="1360">
        <f ca="1">项目基本情况!C3</f>
        <v>1120100036</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63" t="s">
        <v>1219</v>
      </c>
      <c r="B7" s="3363"/>
      <c r="C7" s="3363"/>
      <c r="D7" s="336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5" t="s">
        <v>2676</v>
      </c>
      <c r="B12" s="3366"/>
      <c r="C12" s="3366"/>
      <c r="D12" s="3366"/>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5" t="str">
        <f>IF(项目基本情况!D4="抵押","4.本次评估估价师所知悉的法定优先受偿款情况说明如下：","——")</f>
        <v>4.本次评估估价师所知悉的法定优先受偿款情况说明如下：</v>
      </c>
      <c r="B15" s="3366"/>
      <c r="C15" s="3366"/>
      <c r="D15" s="3366"/>
    </row>
    <row r="16" spans="1:4" ht="75" customHeight="1">
      <c r="A16" s="336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5"/>
      <c r="C16" s="3365"/>
      <c r="D16" s="3365"/>
    </row>
    <row r="17" spans="1:4" ht="63.75" customHeight="1">
      <c r="A17" s="3367" t="s">
        <v>1227</v>
      </c>
      <c r="B17" s="3367"/>
      <c r="C17" s="3367"/>
      <c r="D17" s="3367"/>
    </row>
    <row r="18" spans="1:4" ht="15.75" customHeight="1">
      <c r="A18" s="3365" t="str">
        <f>IF(项目基本情况!D4="抵押",结果表!L106,"——")</f>
        <v>本次评估不存在估价师所知悉的法定优先受偿款。</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7" t="s">
        <v>2677</v>
      </c>
      <c r="B20" s="3367"/>
      <c r="C20" s="3367"/>
      <c r="D20" s="336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3" t="s">
        <v>1306</v>
      </c>
      <c r="B15" s="3368" t="s">
        <v>1307</v>
      </c>
      <c r="C15" s="3369"/>
    </row>
    <row r="16" spans="1:7" ht="14.25">
      <c r="A16" s="3374"/>
      <c r="B16" s="3368" t="s">
        <v>1308</v>
      </c>
      <c r="C16" s="3369"/>
    </row>
    <row r="17" spans="1:3" ht="14.25">
      <c r="A17" s="3374"/>
      <c r="B17" s="3368" t="s">
        <v>1309</v>
      </c>
      <c r="C17" s="3369"/>
    </row>
    <row r="18" spans="1:3" ht="14.25">
      <c r="A18" s="3375"/>
      <c r="B18" s="3370" t="s">
        <v>1310</v>
      </c>
      <c r="C18" s="3369"/>
    </row>
    <row r="19" spans="1:3" ht="14.25">
      <c r="A19" s="1382" t="s">
        <v>1311</v>
      </c>
      <c r="B19" s="1383"/>
      <c r="C19" s="1384"/>
    </row>
    <row r="20" spans="1:3" ht="14.25">
      <c r="A20" s="3371" t="s">
        <v>1312</v>
      </c>
      <c r="B20" s="3370" t="s">
        <v>1313</v>
      </c>
      <c r="C20" s="3369"/>
    </row>
    <row r="21" spans="1:3" ht="14.25">
      <c r="A21" s="3371"/>
      <c r="B21" s="3370" t="s">
        <v>1314</v>
      </c>
      <c r="C21" s="3369"/>
    </row>
    <row r="22" spans="1:3" ht="14.25">
      <c r="A22" s="3371"/>
      <c r="B22" s="3370" t="s">
        <v>1315</v>
      </c>
      <c r="C22" s="3369"/>
    </row>
    <row r="23" spans="1:3" ht="14.25">
      <c r="A23" s="3371"/>
      <c r="B23" s="3372" t="s">
        <v>1316</v>
      </c>
      <c r="C23" s="1385" t="s">
        <v>1317</v>
      </c>
    </row>
    <row r="24" spans="1:3" ht="14.25">
      <c r="A24" s="3371"/>
      <c r="B24" s="3372"/>
      <c r="C24" s="1385" t="s">
        <v>1318</v>
      </c>
    </row>
    <row r="25" spans="1:3" ht="14.25">
      <c r="A25" s="3371"/>
      <c r="B25" s="3372"/>
      <c r="C25" s="1385" t="s">
        <v>1319</v>
      </c>
    </row>
    <row r="26" spans="1:3" ht="14.25">
      <c r="A26" s="3371"/>
      <c r="B26" s="3372"/>
      <c r="C26" s="1385" t="s">
        <v>1320</v>
      </c>
    </row>
    <row r="27" spans="1:3" ht="14.25">
      <c r="A27" s="3371"/>
      <c r="B27" s="3372"/>
      <c r="C27" s="1385" t="s">
        <v>1321</v>
      </c>
    </row>
    <row r="28" spans="1:3" ht="14.25">
      <c r="A28" s="3371"/>
      <c r="B28" s="3372"/>
      <c r="C28" s="1385" t="s">
        <v>1322</v>
      </c>
    </row>
    <row r="29" spans="1:3" ht="14.25">
      <c r="A29" s="3371"/>
      <c r="B29" s="3372"/>
      <c r="C29" s="1385" t="s">
        <v>1323</v>
      </c>
    </row>
    <row r="30" spans="1:3" ht="14.25">
      <c r="A30" s="3371"/>
      <c r="B30" s="3372"/>
      <c r="C30" s="1385" t="s">
        <v>1324</v>
      </c>
    </row>
    <row r="31" spans="1:3" ht="14.25">
      <c r="A31" s="3371"/>
      <c r="B31" s="337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44673</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f ca="1">IF(C10&lt;B2,"已过期",1120100036)</f>
        <v>1120100036</v>
      </c>
      <c r="C10" s="3040">
        <v>44675</v>
      </c>
      <c r="D10" s="3048" t="str">
        <f t="shared" ca="1" si="0"/>
        <v>崔锴（注册号：1120100036）</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2654</v>
      </c>
      <c r="B12" s="1272">
        <f ca="1">IF(C12&lt;B2,"已过期",1120040230)</f>
        <v>1120040230</v>
      </c>
      <c r="C12" s="3040">
        <v>44864</v>
      </c>
      <c r="D12" s="3048" t="str">
        <f t="shared" ca="1" si="0"/>
        <v>苏海（注册号：1120040230）</v>
      </c>
      <c r="E12" s="3050" t="s">
        <v>2654</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2669</v>
      </c>
      <c r="B14" s="1272">
        <f ca="1">IF(C14&lt;B2,"已过期",1119980106)</f>
        <v>1119980106</v>
      </c>
      <c r="C14" s="3040">
        <v>44969</v>
      </c>
      <c r="D14" s="3048" t="str">
        <f t="shared" ca="1" si="0"/>
        <v>刘俊财（注册号：1119980106）</v>
      </c>
      <c r="E14" s="3050" t="s">
        <v>2769</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2773</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76" t="s">
        <v>762</v>
      </c>
      <c r="B17" s="3376"/>
      <c r="C17" s="3376"/>
      <c r="D17" s="3376"/>
      <c r="E17" s="3376"/>
      <c r="F17" s="3376"/>
      <c r="G17" s="3376"/>
      <c r="H17" s="3376"/>
    </row>
    <row r="18" spans="1:8" ht="24" customHeight="1">
      <c r="A18" s="3377" t="s">
        <v>763</v>
      </c>
      <c r="B18" s="3377"/>
      <c r="C18" s="3377"/>
      <c r="D18" s="3036"/>
      <c r="E18" s="3378" t="s">
        <v>764</v>
      </c>
      <c r="F18" s="3377"/>
      <c r="G18" s="337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2770</v>
      </c>
      <c r="B20" s="3043" t="s">
        <v>2771</v>
      </c>
      <c r="C20" s="3038">
        <v>44820</v>
      </c>
      <c r="D20" s="3051"/>
      <c r="E20" s="3053" t="s">
        <v>768</v>
      </c>
      <c r="F20" s="3043" t="s">
        <v>769</v>
      </c>
      <c r="G20" s="3044">
        <v>44377</v>
      </c>
    </row>
    <row r="21" spans="1:8" s="3026" customFormat="1" ht="24" customHeight="1">
      <c r="A21" s="3043"/>
      <c r="B21" s="3043"/>
      <c r="C21" s="3045"/>
      <c r="D21" s="3052"/>
      <c r="E21" s="3053" t="s">
        <v>770</v>
      </c>
      <c r="F21" s="3046" t="s">
        <v>2668</v>
      </c>
      <c r="G21" s="3047">
        <v>44012</v>
      </c>
    </row>
    <row r="22" spans="1:8" ht="24" customHeight="1">
      <c r="C22" s="3029"/>
      <c r="D22" s="3029"/>
      <c r="E22" s="3054"/>
      <c r="F22" s="3055"/>
      <c r="G22" s="3056" t="s">
        <v>2772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2969</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为估价委托人在向中国银行办理贷款手续过程中，确定房地产抵押贷款额度提供参考依据而评估房地产抵押价值。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陈庆文拟使用北京市房地产作为抵押担保物，向中国银行办理贷款手续。中国银行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本次估价的“房地产价值”是指在正常市场情况下，在价值时点2022年4月13日，估价对象规划用途为，假定未设立法定优先受偿款下的房地产市场价值。</v>
      </c>
    </row>
    <row r="54" spans="1:4">
      <c r="A54" s="3379"/>
      <c r="B54" s="9" t="s">
        <v>1462</v>
      </c>
      <c r="C54" s="9" t="s">
        <v>1463</v>
      </c>
    </row>
    <row r="55" spans="1:4">
      <c r="A55" s="3379"/>
      <c r="B55" s="9" t="s">
        <v>1464</v>
      </c>
      <c r="C55" s="9" t="s">
        <v>1465</v>
      </c>
    </row>
    <row r="56" spans="1:4">
      <c r="A56" s="3379"/>
      <c r="B56" s="9" t="s">
        <v>1466</v>
      </c>
      <c r="C56" s="9" t="s">
        <v>1467</v>
      </c>
    </row>
    <row r="57" spans="1:4">
      <c r="A57" s="337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案例</vt:lpstr>
      <vt:lpstr>面积指标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2022-04-22T02:36:59Z</dcterms:modified>
</cp:coreProperties>
</file>